
<file path=[Content_Types].xml><?xml version="1.0" encoding="utf-8"?>
<Types xmlns="http://schemas.openxmlformats.org/package/2006/content-types">
  <Default ContentType="application/vnd.openxmlformats-officedocument.spreadsheetml.printerSettings" Extension="bin"/>
  <Default ContentType="image/x-emf" Extension="emf"/>
  <Default ContentType="image/gif" Extension="gif"/>
  <Default ContentType="image/jpeg" Extension="jpeg"/>
  <Default ContentType="image/png" Extension="png"/>
  <Default ContentType="application/vnd.openxmlformats-package.relationships+xml" Extension="rels"/>
  <Default ContentType="application/vnd.openxmlformats-officedocument.vmlDrawing" Extension="vml"/>
  <Default ContentType="application/xml" Extension="xml"/>
  <Override ContentType="application/vnd.openxmlformats-officedocument.customXmlProperties+xml" PartName="/customXml/itemProps1.xml"/>
  <Override ContentType="application/vnd.openxmlformats-officedocument.customXmlProperties+xml" PartName="/customXml/itemProps2.xml"/>
  <Override ContentType="application/vnd.openxmlformats-officedocument.extended-properties+xml" PartName="/docProps/app.xml"/>
  <Override ContentType="application/vnd.openxmlformats-package.core-properties+xml" PartName="/docProps/core.xml"/>
  <Override ContentType="application/vnd.openxmlformats-officedocument.custom-properties+xml" PartName="/docProps/custom.xml"/>
  <Override ContentType="application/vnd.ms-office.activeX" PartName="/xl/activeX/activeX1.bin"/>
  <Override ContentType="application/vnd.ms-office.activeX+xml" PartName="/xl/activeX/activeX1.xml"/>
  <Override ContentType="application/vnd.openxmlformats-officedocument.spreadsheetml.calcChain+xml" PartName="/xl/calcChain.xml"/>
  <Override ContentType="application/vnd.openxmlformats-officedocument.drawingml.chart+xml" PartName="/xl/charts/chart1.xml"/>
  <Override ContentType="application/vnd.openxmlformats-officedocument.spreadsheetml.comments+xml" PartName="/xl/comments1.xml"/>
  <Override ContentType="application/vnd.openxmlformats-officedocument.spreadsheetml.comments+xml" PartName="/xl/comments10.xml"/>
  <Override ContentType="application/vnd.openxmlformats-officedocument.spreadsheetml.comments+xml" PartName="/xl/comments11.xml"/>
  <Override ContentType="application/vnd.openxmlformats-officedocument.spreadsheetml.comments+xml" PartName="/xl/comments12.xml"/>
  <Override ContentType="application/vnd.openxmlformats-officedocument.spreadsheetml.comments+xml" PartName="/xl/comments13.xml"/>
  <Override ContentType="application/vnd.openxmlformats-officedocument.spreadsheetml.comments+xml" PartName="/xl/comments2.xml"/>
  <Override ContentType="application/vnd.openxmlformats-officedocument.spreadsheetml.comments+xml" PartName="/xl/comments3.xml"/>
  <Override ContentType="application/vnd.openxmlformats-officedocument.spreadsheetml.comments+xml" PartName="/xl/comments4.xml"/>
  <Override ContentType="application/vnd.openxmlformats-officedocument.spreadsheetml.comments+xml" PartName="/xl/comments5.xml"/>
  <Override ContentType="application/vnd.openxmlformats-officedocument.spreadsheetml.comments+xml" PartName="/xl/comments6.xml"/>
  <Override ContentType="application/vnd.openxmlformats-officedocument.spreadsheetml.comments+xml" PartName="/xl/comments7.xml"/>
  <Override ContentType="application/vnd.openxmlformats-officedocument.spreadsheetml.comments+xml" PartName="/xl/comments8.xml"/>
  <Override ContentType="application/vnd.openxmlformats-officedocument.spreadsheetml.comments+xml" PartName="/xl/comments9.xml"/>
  <Override ContentType="application/vnd.openxmlformats-officedocument.spreadsheetml.customProperty" PartName="/xl/customProperty1.bin"/>
  <Override ContentType="application/vnd.openxmlformats-officedocument.drawing+xml" PartName="/xl/drawings/drawing1.xml"/>
  <Override ContentType="application/vnd.openxmlformats-officedocument.drawing+xml" PartName="/xl/drawings/drawing2.xml"/>
  <Override ContentType="application/vnd.openxmlformats-officedocument.drawing+xml" PartName="/xl/drawings/drawing3.xml"/>
  <Override ContentType="application/vnd.openxmlformats-officedocument.drawing+xml" PartName="/xl/drawings/drawing4.xml"/>
  <Override ContentType="application/vnd.openxmlformats-officedocument.spreadsheetml.externalLink+xml" PartName="/xl/externalLinks/externalLink1.xml"/>
  <Override ContentType="application/vnd.openxmlformats-officedocument.spreadsheetml.externalLink+xml" PartName="/xl/externalLinks/externalLink2.xml"/>
  <Override ContentType="application/vnd.openxmlformats-officedocument.spreadsheetml.externalLink+xml" PartName="/xl/externalLinks/externalLink3.xml"/>
  <Override ContentType="application/vnd.openxmlformats-officedocument.spreadsheetml.sharedStrings+xml" PartName="/xl/sharedStrings.xml"/>
  <Override ContentType="application/vnd.openxmlformats-officedocument.spreadsheetml.styles+xml" PartName="/xl/styles.xml"/>
  <Override ContentType="application/vnd.openxmlformats-officedocument.theme+xml" PartName="/xl/theme/theme1.xml"/>
  <Override ContentType="application/vnd.ms-office.vbaProject" PartName="/xl/vbaProject.bin"/>
  <Override ContentType="application/vnd.openxmlformats-officedocument.spreadsheetml.volatileDependencies+xml" PartName="/xl/volatileDependencies.xml"/>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10.xml"/>
  <Override ContentType="application/vnd.openxmlformats-officedocument.spreadsheetml.worksheet+xml" PartName="/xl/worksheets/sheet11.xml"/>
  <Override ContentType="application/vnd.openxmlformats-officedocument.spreadsheetml.worksheet+xml" PartName="/xl/worksheets/sheet12.xml"/>
  <Override ContentType="application/vnd.openxmlformats-officedocument.spreadsheetml.worksheet+xml" PartName="/xl/worksheets/sheet13.xml"/>
  <Override ContentType="application/vnd.openxmlformats-officedocument.spreadsheetml.worksheet+xml" PartName="/xl/worksheets/sheet14.xml"/>
  <Override ContentType="application/vnd.openxmlformats-officedocument.spreadsheetml.worksheet+xml" PartName="/xl/worksheets/sheet15.xml"/>
  <Override ContentType="application/vnd.openxmlformats-officedocument.spreadsheetml.worksheet+xml" PartName="/xl/worksheets/sheet16.xml"/>
  <Override ContentType="application/vnd.openxmlformats-officedocument.spreadsheetml.worksheet+xml" PartName="/xl/worksheets/sheet17.xml"/>
  <Override ContentType="application/vnd.openxmlformats-officedocument.spreadsheetml.worksheet+xml" PartName="/xl/worksheets/sheet18.xml"/>
  <Override ContentType="application/vnd.openxmlformats-officedocument.spreadsheetml.worksheet+xml" PartName="/xl/worksheets/sheet19.xml"/>
  <Override ContentType="application/vnd.openxmlformats-officedocument.spreadsheetml.worksheet+xml" PartName="/xl/worksheets/sheet2.xml"/>
  <Override ContentType="application/vnd.openxmlformats-officedocument.spreadsheetml.worksheet+xml" PartName="/xl/worksheets/sheet20.xml"/>
  <Override ContentType="application/vnd.openxmlformats-officedocument.spreadsheetml.worksheet+xml" PartName="/xl/worksheets/sheet21.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worksheet+xml" PartName="/xl/worksheets/sheet7.xml"/>
  <Override ContentType="application/vnd.openxmlformats-officedocument.spreadsheetml.worksheet+xml" PartName="/xl/worksheets/sheet8.xml"/>
  <Override ContentType="application/vnd.openxmlformats-officedocument.spreadsheetml.worksheet+xml" PartName="/xl/worksheets/sheet9.xml"/>
</Types>
</file>

<file path=_rels/.rels><?xml version="1.0" encoding="UTF-8" standalone="yes"?>
<Relationships xmlns="http://schemas.openxmlformats.org/package/2006/relationships">
<Relationship Id="rId1" Target="xl/workbook.xml" Type="http://schemas.openxmlformats.org/officeDocument/2006/relationships/officeDocument"/>
<Relationship Id="rId2" Target="docProps/core.xml" Type="http://schemas.openxmlformats.org/package/2006/relationships/metadata/core-properties"/>
<Relationship Id="rId3" Target="docProps/app.xml" Type="http://schemas.openxmlformats.org/officeDocument/2006/relationships/extended-properties"/>
<Relationship Id="rId4" Target="docProps/custom.xml" Type="http://schemas.openxmlformats.org/officeDocument/2006/relationships/custom-properties"/>
</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bookViews>
    <workbookView xWindow="-15" yWindow="45" windowWidth="19080" windowHeight="7890" tabRatio="837"/>
  </bookViews>
  <sheets>
    <sheet name="ImportantDisclosures" sheetId="82" r:id="rId1"/>
    <sheet name="Valuation" sheetId="66" r:id="rId2"/>
    <sheet name="Earnings" sheetId="59" r:id="rId3"/>
    <sheet name="DCF" sheetId="73" state="hidden" r:id="rId4"/>
    <sheet name="BullBaseBear" sheetId="63" r:id="rId5"/>
    <sheet name="sumry" sheetId="3" r:id="rId6"/>
    <sheet name="qtrSales" sheetId="5" r:id="rId7"/>
    <sheet name="__FDSCACHE__" sheetId="6" state="veryHidden" r:id="rId8"/>
    <sheet name="qtrP&amp;L" sheetId="7" r:id="rId9"/>
    <sheet name="yrSales" sheetId="8" r:id="rId10"/>
    <sheet name="yrP&amp;L" sheetId="9" r:id="rId11"/>
    <sheet name="bal" sheetId="10" r:id="rId12"/>
    <sheet name="flow" sheetId="11" r:id="rId13"/>
    <sheet name="dtc" sheetId="13" r:id="rId14"/>
    <sheet name="work" sheetId="21" r:id="rId15"/>
    <sheet name="turn" sheetId="12" r:id="rId16"/>
    <sheet name="MW-Cache" sheetId="51" state="veryHidden" r:id="rId17"/>
    <sheet name="Inv to Sales" sheetId="74" r:id="rId18"/>
    <sheet name="MWA Lease" sheetId="72" r:id="rId19"/>
    <sheet name="IndexInformation" sheetId="83" r:id="rId20"/>
    <sheet name="ModPubIndex" sheetId="84" r:id="rId21"/>
  </sheets>
  <functionGroups builtInGroupCount="17"/>
  <externalReferences>
    <externalReference r:id="rId22"/>
    <externalReference r:id="rId23"/>
    <externalReference r:id="rId24"/>
  </externalReferences>
  <definedNames>
    <definedName name="__FDS_HYPERLINK_TOGGLE_STATE__" hidden="1">"ON"</definedName>
    <definedName name="__FDS_UNIQUE_RANGE_ID_GENERATOR_COUNTER" hidden="1">1</definedName>
    <definedName name="__FDS_USED_FOR_REUSING_RANGE_IDS_RECYCLE">{1,1,1,1}</definedName>
    <definedName name="_1__FDSAUDITLINK__" hidden="1">{"fdsup://Directions/FactSet Auditing Viewer?action=AUDIT_VALUE&amp;DB=129&amp;ID1=87416110&amp;VALUEID=02101&amp;SDATE=201001&amp;PERIODTYPE=QTR_STD&amp;window=popup_no_bar&amp;width=385&amp;height=120&amp;START_MAXIMIZED=FALSE&amp;creator=factset&amp;display_string=Audit"}</definedName>
    <definedName name="_10__FDSAUDITLINK__" hidden="1">{"fdsup://Directions/FactSet Auditing Viewer?action=AUDIT_VALUE&amp;DB=129&amp;ID1=03611510&amp;VALUEID=02101&amp;SDATE=201001&amp;PERIODTYPE=QTR_STD&amp;window=popup_no_bar&amp;width=385&amp;height=120&amp;START_MAXIMIZED=FALSE&amp;creator=factset&amp;display_string=Audit"}</definedName>
    <definedName name="_100__FDSAUDITLINK__" hidden="1">{"fdsup://Directions/FactSet Auditing Viewer?action=AUDIT_VALUE&amp;DB=129&amp;ID1=00786510&amp;VALUEID=13040&amp;SDATE=200901&amp;PERIODTYPE=QTR_STD&amp;window=popup_no_bar&amp;width=385&amp;height=120&amp;START_MAXIMIZED=FALSE&amp;creator=factset&amp;display_string=Audit"}</definedName>
    <definedName name="_1000__FDSAUDITLINK__" hidden="1">{"fdsup://Directions/FactSet Auditing Viewer?action=AUDIT_VALUE&amp;DB=129&amp;ID1=00289620&amp;VALUEID=02101&amp;SDATE=201001&amp;PERIODTYPE=QTR_STD&amp;window=popup_no_bar&amp;width=385&amp;height=120&amp;START_MAXIMIZED=FALSE&amp;creator=factset&amp;display_string=Audit"}</definedName>
    <definedName name="_1001__FDSAUDITLINK__" hidden="1">{"fdsup://Directions/FactSet Auditing Viewer?action=AUDIT_VALUE&amp;DB=129&amp;ID1=00289620&amp;VALUEID=13040&amp;SDATE=201001&amp;PERIODTYPE=QTR_STD&amp;window=popup_no_bar&amp;width=385&amp;height=120&amp;START_MAXIMIZED=FALSE&amp;creator=factset&amp;display_string=Audit"}</definedName>
    <definedName name="_1002__FDSAUDITLINK__" hidden="1">{"fdsup://Directions/FactSet Auditing Viewer?action=AUDIT_VALUE&amp;DB=129&amp;ID1=87416110&amp;VALUEID=01001&amp;SDATE=200904&amp;PERIODTYPE=QTR_STD&amp;window=popup_no_bar&amp;width=385&amp;height=120&amp;START_MAXIMIZED=FALSE&amp;creator=factset&amp;display_string=Audit"}</definedName>
    <definedName name="_1003__FDSAUDITLINK__" hidden="1">{"fdsup://directions/FAT Viewer?action=UPDATE&amp;creator=factset&amp;DYN_ARGS=TRUE&amp;DOC_NAME=FAT:FQL_AUDITING_CLIENT_TEMPLATE.FAT&amp;display_string=Audit&amp;VAR:KEY=BIFCDOPIRG&amp;VAR:QUERY=RkZfUlRfU0ZfVE9UX0dST1NTKFFUUiwtMSk=&amp;WINDOW=FIRST_POPUP&amp;HEIGHT=450&amp;WIDTH=450&amp;START_MA","XIMIZED=FALSE&amp;VAR:CALENDAR=US&amp;VAR:SYMBOL=TLB&amp;VAR:INDEX=0"}</definedName>
    <definedName name="_1004__FDSAUDITLINK__" hidden="1">{"fdsup://Directions/FactSet Auditing Viewer?action=AUDIT_VALUE&amp;DB=129&amp;ID1=46612H40&amp;VALUEID=01001&amp;SDATE=200904&amp;PERIODTYPE=QTR_STD&amp;window=popup_no_bar&amp;width=385&amp;height=120&amp;START_MAXIMIZED=FALSE&amp;creator=factset&amp;display_string=Audit"}</definedName>
    <definedName name="_1005__FDSAUDITLINK__" hidden="1">{"fdsup://Directions/FactSet Auditing Viewer?action=AUDIT_VALUE&amp;DB=129&amp;ID1=36476010&amp;VALUEID=01001&amp;SDATE=200904&amp;PERIODTYPE=QTR_STD&amp;window=popup_no_bar&amp;width=385&amp;height=120&amp;START_MAXIMIZED=FALSE&amp;creator=factset&amp;display_string=Audit"}</definedName>
    <definedName name="_1006__FDSAUDITLINK__" hidden="1">{"fdsup://Directions/FactSet Auditing Viewer?action=AUDIT_VALUE&amp;DB=129&amp;ID1=03611510&amp;VALUEID=01001&amp;SDATE=200904&amp;PERIODTYPE=QTR_STD&amp;window=popup_no_bar&amp;width=385&amp;height=120&amp;START_MAXIMIZED=FALSE&amp;creator=factset&amp;display_string=Audit"}</definedName>
    <definedName name="_1007__FDSAUDITLINK__" hidden="1">{"fdsup://Directions/FactSet Auditing Viewer?action=AUDIT_VALUE&amp;DB=129&amp;ID1=16890510&amp;VALUEID=01001&amp;SDATE=200904&amp;PERIODTYPE=QTR_STD&amp;window=popup_no_bar&amp;width=385&amp;height=120&amp;START_MAXIMIZED=FALSE&amp;creator=factset&amp;display_string=Audit"}</definedName>
    <definedName name="_1008__FDSAUDITLINK__" hidden="1">{"fdsup://Directions/FactSet Auditing Viewer?action=AUDIT_VALUE&amp;DB=129&amp;ID1=91704710&amp;VALUEID=01001&amp;SDATE=200904&amp;PERIODTYPE=QTR_STD&amp;window=popup_no_bar&amp;width=385&amp;height=120&amp;START_MAXIMIZED=FALSE&amp;creator=factset&amp;display_string=Audit"}</definedName>
    <definedName name="_1009__FDSAUDITLINK__" hidden="1">{"fdsup://Directions/FactSet Auditing Viewer?action=AUDIT_VALUE&amp;DB=129&amp;ID1=02553E10&amp;VALUEID=01001&amp;SDATE=200904&amp;PERIODTYPE=QTR_STD&amp;window=popup_no_bar&amp;width=385&amp;height=120&amp;START_MAXIMIZED=FALSE&amp;creator=factset&amp;display_string=Audit"}</definedName>
    <definedName name="_101__FDSAUDITLINK__" hidden="1">{"fdsup://Directions/FactSet Auditing Viewer?action=AUDIT_VALUE&amp;DB=129&amp;ID1=00289620&amp;VALUEID=13040&amp;SDATE=200901&amp;PERIODTYPE=QTR_STD&amp;window=popup_no_bar&amp;width=385&amp;height=120&amp;START_MAXIMIZED=FALSE&amp;creator=factset&amp;display_string=Audit"}</definedName>
    <definedName name="_1010__FDSAUDITLINK__" hidden="1">{"fdsup://Directions/FactSet Auditing Viewer?action=AUDIT_VALUE&amp;DB=129&amp;ID1=00786510&amp;VALUEID=01001&amp;SDATE=200904&amp;PERIODTYPE=QTR_STD&amp;window=popup_no_bar&amp;width=385&amp;height=120&amp;START_MAXIMIZED=FALSE&amp;creator=factset&amp;display_string=Audit"}</definedName>
    <definedName name="_1011__FDSAUDITLINK__" hidden="1">{"fdsup://Directions/FactSet Auditing Viewer?action=AUDIT_VALUE&amp;DB=129&amp;ID1=87416110&amp;VALUEID=02101&amp;SDATE=200903&amp;PERIODTYPE=QTR_STD&amp;window=popup_no_bar&amp;width=385&amp;height=120&amp;START_MAXIMIZED=FALSE&amp;creator=factset&amp;display_string=Audit"}</definedName>
    <definedName name="_1012__FDSAUDITLINK__" hidden="1">{"fdsup://Directions/FactSet Auditing Viewer?action=AUDIT_VALUE&amp;DB=129&amp;ID1=87416110&amp;VALUEID=01001&amp;SDATE=200903&amp;PERIODTYPE=QTR_STD&amp;window=popup_no_bar&amp;width=385&amp;height=120&amp;START_MAXIMIZED=FALSE&amp;creator=factset&amp;display_string=Audit"}</definedName>
    <definedName name="_1013__FDSAUDITLINK__" hidden="1">{"fdsup://Directions/FactSet Auditing Viewer?action=AUDIT_VALUE&amp;DB=129&amp;ID1=87416110&amp;VALUEID=13040&amp;SDATE=200903&amp;PERIODTYPE=QTR_STD&amp;window=popup_no_bar&amp;width=385&amp;height=120&amp;START_MAXIMIZED=FALSE&amp;creator=factset&amp;display_string=Audit"}</definedName>
    <definedName name="_1014__FDSAUDITLINK__" hidden="1">{"fdsup://directions/FAT Viewer?action=UPDATE&amp;creator=factset&amp;DYN_ARGS=TRUE&amp;DOC_NAME=FAT:FQL_AUDITING_CLIENT_TEMPLATE.FAT&amp;display_string=Audit&amp;VAR:KEY=XAZODYBEXK&amp;VAR:QUERY=RkZfUlRfU0ZfVE9UX0dST1NTKFFUUiwtMik=&amp;WINDOW=FIRST_POPUP&amp;HEIGHT=450&amp;WIDTH=450&amp;START_MA","XIMIZED=FALSE&amp;VAR:CALENDAR=US&amp;VAR:SYMBOL=TLB&amp;VAR:INDEX=0"}</definedName>
    <definedName name="_1015__FDSAUDITLINK__" hidden="1">{"fdsup://Directions/FactSet Auditing Viewer?action=AUDIT_VALUE&amp;DB=129&amp;ID1=53271610&amp;VALUEID=02101&amp;SDATE=200903&amp;PERIODTYPE=QTR_STD&amp;window=popup_no_bar&amp;width=385&amp;height=120&amp;START_MAXIMIZED=FALSE&amp;creator=factset&amp;display_string=Audit"}</definedName>
    <definedName name="_1016__FDSAUDITLINK__" hidden="1">{"fdsup://Directions/FactSet Auditing Viewer?action=AUDIT_VALUE&amp;DB=129&amp;ID1=53271610&amp;VALUEID=01001&amp;SDATE=200903&amp;PERIODTYPE=QTR_STD&amp;window=popup_no_bar&amp;width=385&amp;height=120&amp;START_MAXIMIZED=FALSE&amp;creator=factset&amp;display_string=Audit"}</definedName>
    <definedName name="_1017__FDSAUDITLINK__" hidden="1">{"fdsup://Directions/FactSet Auditing Viewer?action=AUDIT_VALUE&amp;DB=129&amp;ID1=53271610&amp;VALUEID=13040&amp;SDATE=200903&amp;PERIODTYPE=QTR_STD&amp;window=popup_no_bar&amp;width=385&amp;height=120&amp;START_MAXIMIZED=FALSE&amp;creator=factset&amp;display_string=Audit"}</definedName>
    <definedName name="_1018__FDSAUDITLINK__" hidden="1">{"fdsup://Directions/FactSet Auditing Viewer?action=AUDIT_VALUE&amp;DB=129&amp;ID1=46612H40&amp;VALUEID=02101&amp;SDATE=200903&amp;PERIODTYPE=QTR_STD&amp;window=popup_no_bar&amp;width=385&amp;height=120&amp;START_MAXIMIZED=FALSE&amp;creator=factset&amp;display_string=Audit"}</definedName>
    <definedName name="_1019__FDSAUDITLINK__" hidden="1">{"fdsup://Directions/FactSet Auditing Viewer?action=AUDIT_VALUE&amp;DB=129&amp;ID1=46612H40&amp;VALUEID=01001&amp;SDATE=200903&amp;PERIODTYPE=QTR_STD&amp;window=popup_no_bar&amp;width=385&amp;height=120&amp;START_MAXIMIZED=FALSE&amp;creator=factset&amp;display_string=Audit"}</definedName>
    <definedName name="_102__FDSAUDITLINK__" hidden="1">{"fdsup://Directions/FactSet Auditing Viewer?action=AUDIT_VALUE&amp;DB=129&amp;ID1=87416110&amp;VALUEID=01001&amp;SDATE=200804&amp;PERIODTYPE=QTR_STD&amp;window=popup_no_bar&amp;width=385&amp;height=120&amp;START_MAXIMIZED=FALSE&amp;creator=factset&amp;display_string=Audit"}</definedName>
    <definedName name="_1020__FDSAUDITLINK__" hidden="1">{"fdsup://Directions/FactSet Auditing Viewer?action=AUDIT_VALUE&amp;DB=129&amp;ID1=46612H40&amp;VALUEID=13040&amp;SDATE=200903&amp;PERIODTYPE=QTR_STD&amp;window=popup_no_bar&amp;width=385&amp;height=120&amp;START_MAXIMIZED=FALSE&amp;creator=factset&amp;display_string=Audit"}</definedName>
    <definedName name="_1021__FDSAUDITLINK__" hidden="1">{"fdsup://Directions/FactSet Auditing Viewer?action=AUDIT_VALUE&amp;DB=129&amp;ID1=36476010&amp;VALUEID=02101&amp;SDATE=200903&amp;PERIODTYPE=QTR_STD&amp;window=popup_no_bar&amp;width=385&amp;height=120&amp;START_MAXIMIZED=FALSE&amp;creator=factset&amp;display_string=Audit"}</definedName>
    <definedName name="_1022__FDSAUDITLINK__" hidden="1">{"fdsup://Directions/FactSet Auditing Viewer?action=AUDIT_VALUE&amp;DB=129&amp;ID1=36476010&amp;VALUEID=01001&amp;SDATE=200903&amp;PERIODTYPE=QTR_STD&amp;window=popup_no_bar&amp;width=385&amp;height=120&amp;START_MAXIMIZED=FALSE&amp;creator=factset&amp;display_string=Audit"}</definedName>
    <definedName name="_1023__FDSAUDITLINK__" hidden="1">{"fdsup://Directions/FactSet Auditing Viewer?action=AUDIT_VALUE&amp;DB=129&amp;ID1=36476010&amp;VALUEID=13040&amp;SDATE=200903&amp;PERIODTYPE=QTR_STD&amp;window=popup_no_bar&amp;width=385&amp;height=120&amp;START_MAXIMIZED=FALSE&amp;creator=factset&amp;display_string=Audit"}</definedName>
    <definedName name="_1024__FDSAUDITLINK__" hidden="1">{"fdsup://Directions/FactSet Auditing Viewer?action=AUDIT_VALUE&amp;DB=129&amp;ID1=03611510&amp;VALUEID=02101&amp;SDATE=200903&amp;PERIODTYPE=QTR_STD&amp;window=popup_no_bar&amp;width=385&amp;height=120&amp;START_MAXIMIZED=FALSE&amp;creator=factset&amp;display_string=Audit"}</definedName>
    <definedName name="_1025__FDSAUDITLINK__" hidden="1">{"fdsup://Directions/FactSet Auditing Viewer?action=AUDIT_VALUE&amp;DB=129&amp;ID1=03611510&amp;VALUEID=01001&amp;SDATE=200903&amp;PERIODTYPE=QTR_STD&amp;window=popup_no_bar&amp;width=385&amp;height=120&amp;START_MAXIMIZED=FALSE&amp;creator=factset&amp;display_string=Audit"}</definedName>
    <definedName name="_1026__FDSAUDITLINK__" hidden="1">{"fdsup://Directions/FactSet Auditing Viewer?action=AUDIT_VALUE&amp;DB=129&amp;ID1=03611510&amp;VALUEID=13040&amp;SDATE=200903&amp;PERIODTYPE=QTR_STD&amp;window=popup_no_bar&amp;width=385&amp;height=120&amp;START_MAXIMIZED=FALSE&amp;creator=factset&amp;display_string=Audit"}</definedName>
    <definedName name="_1027__FDSAUDITLINK__" hidden="1">{"fdsup://Directions/FactSet Auditing Viewer?action=AUDIT_VALUE&amp;DB=129&amp;ID1=16890510&amp;VALUEID=02101&amp;SDATE=200903&amp;PERIODTYPE=QTR_STD&amp;window=popup_no_bar&amp;width=385&amp;height=120&amp;START_MAXIMIZED=FALSE&amp;creator=factset&amp;display_string=Audit"}</definedName>
    <definedName name="_1028__FDSAUDITLINK__" hidden="1">{"fdsup://Directions/FactSet Auditing Viewer?action=AUDIT_VALUE&amp;DB=129&amp;ID1=16890510&amp;VALUEID=01001&amp;SDATE=200903&amp;PERIODTYPE=QTR_STD&amp;window=popup_no_bar&amp;width=385&amp;height=120&amp;START_MAXIMIZED=FALSE&amp;creator=factset&amp;display_string=Audit"}</definedName>
    <definedName name="_1029__FDSAUDITLINK__" hidden="1">{"fdsup://Directions/FactSet Auditing Viewer?action=AUDIT_VALUE&amp;DB=129&amp;ID1=91704710&amp;VALUEID=02101&amp;SDATE=200903&amp;PERIODTYPE=QTR_STD&amp;window=popup_no_bar&amp;width=385&amp;height=120&amp;START_MAXIMIZED=FALSE&amp;creator=factset&amp;display_string=Audit"}</definedName>
    <definedName name="_103__FDSAUDITLINK__" hidden="1">{"fdsup://directions/FAT Viewer?action=UPDATE&amp;creator=factset&amp;DYN_ARGS=TRUE&amp;DOC_NAME=FAT:FQL_AUDITING_CLIENT_TEMPLATE.FAT&amp;display_string=Audit&amp;VAR:KEY=BSXQNALGBC&amp;VAR:QUERY=RkZfUlRfU0ZfVE9UX0dST1NTKFFUUiwtNSk=&amp;WINDOW=FIRST_POPUP&amp;HEIGHT=450&amp;WIDTH=450&amp;START_MA","XIMIZED=FALSE&amp;VAR:CALENDAR=US&amp;VAR:SYMBOL=TLB&amp;VAR:INDEX=0"}</definedName>
    <definedName name="_1030__FDSAUDITLINK__" hidden="1">{"fdsup://Directions/FactSet Auditing Viewer?action=AUDIT_VALUE&amp;DB=129&amp;ID1=91704710&amp;VALUEID=01001&amp;SDATE=200903&amp;PERIODTYPE=QTR_STD&amp;window=popup_no_bar&amp;width=385&amp;height=120&amp;START_MAXIMIZED=FALSE&amp;creator=factset&amp;display_string=Audit"}</definedName>
    <definedName name="_1031__FDSAUDITLINK__" hidden="1">{"fdsup://Directions/FactSet Auditing Viewer?action=AUDIT_VALUE&amp;DB=129&amp;ID1=91704710&amp;VALUEID=13040&amp;SDATE=200903&amp;PERIODTYPE=QTR_STD&amp;window=popup_no_bar&amp;width=385&amp;height=120&amp;START_MAXIMIZED=FALSE&amp;creator=factset&amp;display_string=Audit"}</definedName>
    <definedName name="_1032__FDSAUDITLINK__" hidden="1">{"fdsup://Directions/FactSet Auditing Viewer?action=AUDIT_VALUE&amp;DB=129&amp;ID1=02553E10&amp;VALUEID=02101&amp;SDATE=200903&amp;PERIODTYPE=QTR_STD&amp;window=popup_no_bar&amp;width=385&amp;height=120&amp;START_MAXIMIZED=FALSE&amp;creator=factset&amp;display_string=Audit"}</definedName>
    <definedName name="_1033__FDSAUDITLINK__" hidden="1">{"fdsup://Directions/FactSet Auditing Viewer?action=AUDIT_VALUE&amp;DB=129&amp;ID1=02553E10&amp;VALUEID=01001&amp;SDATE=200903&amp;PERIODTYPE=QTR_STD&amp;window=popup_no_bar&amp;width=385&amp;height=120&amp;START_MAXIMIZED=FALSE&amp;creator=factset&amp;display_string=Audit"}</definedName>
    <definedName name="_1034__FDSAUDITLINK__" hidden="1">{"fdsup://Directions/FactSet Auditing Viewer?action=AUDIT_VALUE&amp;DB=129&amp;ID1=00786510&amp;VALUEID=02101&amp;SDATE=200903&amp;PERIODTYPE=QTR_STD&amp;window=popup_no_bar&amp;width=385&amp;height=120&amp;START_MAXIMIZED=FALSE&amp;creator=factset&amp;display_string=Audit"}</definedName>
    <definedName name="_1035__FDSAUDITLINK__" hidden="1">{"fdsup://Directions/FactSet Auditing Viewer?action=AUDIT_VALUE&amp;DB=129&amp;ID1=00786510&amp;VALUEID=01001&amp;SDATE=200903&amp;PERIODTYPE=QTR_STD&amp;window=popup_no_bar&amp;width=385&amp;height=120&amp;START_MAXIMIZED=FALSE&amp;creator=factset&amp;display_string=Audit"}</definedName>
    <definedName name="_1036__FDSAUDITLINK__" hidden="1">{"fdsup://Directions/FactSet Auditing Viewer?action=AUDIT_VALUE&amp;DB=129&amp;ID1=00786510&amp;VALUEID=13040&amp;SDATE=200903&amp;PERIODTYPE=QTR_STD&amp;window=popup_no_bar&amp;width=385&amp;height=120&amp;START_MAXIMIZED=FALSE&amp;creator=factset&amp;display_string=Audit"}</definedName>
    <definedName name="_1037__FDSAUDITLINK__" hidden="1">{"fdsup://Directions/FactSet Auditing Viewer?action=AUDIT_VALUE&amp;DB=129&amp;ID1=00289620&amp;VALUEID=02101&amp;SDATE=200903&amp;PERIODTYPE=QTR_STD&amp;window=popup_no_bar&amp;width=385&amp;height=120&amp;START_MAXIMIZED=FALSE&amp;creator=factset&amp;display_string=Audit"}</definedName>
    <definedName name="_1038__FDSAUDITLINK__" hidden="1">{"fdsup://Directions/FactSet Auditing Viewer?action=AUDIT_VALUE&amp;DB=129&amp;ID1=00289620&amp;VALUEID=01001&amp;SDATE=200903&amp;PERIODTYPE=QTR_STD&amp;window=popup_no_bar&amp;width=385&amp;height=120&amp;START_MAXIMIZED=FALSE&amp;creator=factset&amp;display_string=Audit"}</definedName>
    <definedName name="_1039__FDSAUDITLINK__" hidden="1">{"fdsup://Directions/FactSet Auditing Viewer?action=AUDIT_VALUE&amp;DB=129&amp;ID1=00289620&amp;VALUEID=13040&amp;SDATE=200903&amp;PERIODTYPE=QTR_STD&amp;window=popup_no_bar&amp;width=385&amp;height=120&amp;START_MAXIMIZED=FALSE&amp;creator=factset&amp;display_string=Audit"}</definedName>
    <definedName name="_104__FDSAUDITLINK__" hidden="1">{"fdsup://Directions/FactSet Auditing Viewer?action=AUDIT_VALUE&amp;DB=129&amp;ID1=46612H40&amp;VALUEID=01001&amp;SDATE=200804&amp;PERIODTYPE=QTR_STD&amp;window=popup_no_bar&amp;width=385&amp;height=120&amp;START_MAXIMIZED=FALSE&amp;creator=factset&amp;display_string=Audit"}</definedName>
    <definedName name="_1040__FDSAUDITLINK__" hidden="1">{"fdsup://Directions/FactSet Auditing Viewer?action=AUDIT_VALUE&amp;DB=129&amp;ID1=87416110&amp;VALUEID=02101&amp;SDATE=200902&amp;PERIODTYPE=QTR_STD&amp;window=popup_no_bar&amp;width=385&amp;height=120&amp;START_MAXIMIZED=FALSE&amp;creator=factset&amp;display_string=Audit"}</definedName>
    <definedName name="_1041__FDSAUDITLINK__" hidden="1">{"fdsup://Directions/FactSet Auditing Viewer?action=AUDIT_VALUE&amp;DB=129&amp;ID1=87416110&amp;VALUEID=01001&amp;SDATE=200902&amp;PERIODTYPE=QTR_STD&amp;window=popup_no_bar&amp;width=385&amp;height=120&amp;START_MAXIMIZED=FALSE&amp;creator=factset&amp;display_string=Audit"}</definedName>
    <definedName name="_1042__FDSAUDITLINK__" hidden="1">{"fdsup://Directions/FactSet Auditing Viewer?action=AUDIT_VALUE&amp;DB=129&amp;ID1=53271610&amp;VALUEID=02101&amp;SDATE=200902&amp;PERIODTYPE=QTR_STD&amp;window=popup_no_bar&amp;width=385&amp;height=120&amp;START_MAXIMIZED=FALSE&amp;creator=factset&amp;display_string=Audit"}</definedName>
    <definedName name="_1043__FDSAUDITLINK__" hidden="1">{"fdsup://Directions/FactSet Auditing Viewer?action=AUDIT_VALUE&amp;DB=129&amp;ID1=53271610&amp;VALUEID=01001&amp;SDATE=200902&amp;PERIODTYPE=QTR_STD&amp;window=popup_no_bar&amp;width=385&amp;height=120&amp;START_MAXIMIZED=FALSE&amp;creator=factset&amp;display_string=Audit"}</definedName>
    <definedName name="_1044__FDSAUDITLINK__" hidden="1">{"fdsup://Directions/FactSet Auditing Viewer?action=AUDIT_VALUE&amp;DB=129&amp;ID1=53271610&amp;VALUEID=13040&amp;SDATE=200902&amp;PERIODTYPE=QTR_STD&amp;window=popup_no_bar&amp;width=385&amp;height=120&amp;START_MAXIMIZED=FALSE&amp;creator=factset&amp;display_string=Audit"}</definedName>
    <definedName name="_1045__FDSAUDITLINK__" hidden="1">{"fdsup://Directions/FactSet Auditing Viewer?action=AUDIT_VALUE&amp;DB=129&amp;ID1=46612H40&amp;VALUEID=02101&amp;SDATE=200902&amp;PERIODTYPE=QTR_STD&amp;window=popup_no_bar&amp;width=385&amp;height=120&amp;START_MAXIMIZED=FALSE&amp;creator=factset&amp;display_string=Audit"}</definedName>
    <definedName name="_1046__FDSAUDITLINK__" hidden="1">{"fdsup://Directions/FactSet Auditing Viewer?action=AUDIT_VALUE&amp;DB=129&amp;ID1=46612H40&amp;VALUEID=01001&amp;SDATE=200902&amp;PERIODTYPE=QTR_STD&amp;window=popup_no_bar&amp;width=385&amp;height=120&amp;START_MAXIMIZED=FALSE&amp;creator=factset&amp;display_string=Audit"}</definedName>
    <definedName name="_1047__FDSAUDITLINK__" hidden="1">{"fdsup://Directions/FactSet Auditing Viewer?action=AUDIT_VALUE&amp;DB=129&amp;ID1=46612H40&amp;VALUEID=13040&amp;SDATE=200902&amp;PERIODTYPE=QTR_STD&amp;window=popup_no_bar&amp;width=385&amp;height=120&amp;START_MAXIMIZED=FALSE&amp;creator=factset&amp;display_string=Audit"}</definedName>
    <definedName name="_1048__FDSAUDITLINK__" hidden="1">{"fdsup://Directions/FactSet Auditing Viewer?action=AUDIT_VALUE&amp;DB=129&amp;ID1=36476010&amp;VALUEID=02101&amp;SDATE=200902&amp;PERIODTYPE=QTR_STD&amp;window=popup_no_bar&amp;width=385&amp;height=120&amp;START_MAXIMIZED=FALSE&amp;creator=factset&amp;display_string=Audit"}</definedName>
    <definedName name="_1049__FDSAUDITLINK__" hidden="1">{"fdsup://Directions/FactSet Auditing Viewer?action=AUDIT_VALUE&amp;DB=129&amp;ID1=36476010&amp;VALUEID=01001&amp;SDATE=200902&amp;PERIODTYPE=QTR_STD&amp;window=popup_no_bar&amp;width=385&amp;height=120&amp;START_MAXIMIZED=FALSE&amp;creator=factset&amp;display_string=Audit"}</definedName>
    <definedName name="_105__FDSAUDITLINK__" hidden="1">{"fdsup://Directions/FactSet Auditing Viewer?action=AUDIT_VALUE&amp;DB=129&amp;ID1=46612H40&amp;VALUEID=13040&amp;SDATE=200804&amp;PERIODTYPE=QTR_STD&amp;window=popup_no_bar&amp;width=385&amp;height=120&amp;START_MAXIMIZED=FALSE&amp;creator=factset&amp;display_string=Audit"}</definedName>
    <definedName name="_1050__FDSAUDITLINK__" hidden="1">{"fdsup://Directions/FactSet Auditing Viewer?action=AUDIT_VALUE&amp;DB=129&amp;ID1=36476010&amp;VALUEID=13040&amp;SDATE=200902&amp;PERIODTYPE=QTR_STD&amp;window=popup_no_bar&amp;width=385&amp;height=120&amp;START_MAXIMIZED=FALSE&amp;creator=factset&amp;display_string=Audit"}</definedName>
    <definedName name="_1051__FDSAUDITLINK__" hidden="1">{"fdsup://Directions/FactSet Auditing Viewer?action=AUDIT_VALUE&amp;DB=129&amp;ID1=03611510&amp;VALUEID=02101&amp;SDATE=200902&amp;PERIODTYPE=QTR_STD&amp;window=popup_no_bar&amp;width=385&amp;height=120&amp;START_MAXIMIZED=FALSE&amp;creator=factset&amp;display_string=Audit"}</definedName>
    <definedName name="_1052__FDSAUDITLINK__" hidden="1">{"fdsup://Directions/FactSet Auditing Viewer?action=AUDIT_VALUE&amp;DB=129&amp;ID1=03611510&amp;VALUEID=01001&amp;SDATE=200902&amp;PERIODTYPE=QTR_STD&amp;window=popup_no_bar&amp;width=385&amp;height=120&amp;START_MAXIMIZED=FALSE&amp;creator=factset&amp;display_string=Audit"}</definedName>
    <definedName name="_1053__FDSAUDITLINK__" hidden="1">{"fdsup://Directions/FactSet Auditing Viewer?action=AUDIT_VALUE&amp;DB=129&amp;ID1=03611510&amp;VALUEID=13040&amp;SDATE=200902&amp;PERIODTYPE=QTR_STD&amp;window=popup_no_bar&amp;width=385&amp;height=120&amp;START_MAXIMIZED=FALSE&amp;creator=factset&amp;display_string=Audit"}</definedName>
    <definedName name="_1054__FDSAUDITLINK__" hidden="1">{"fdsup://Directions/FactSet Auditing Viewer?action=AUDIT_VALUE&amp;DB=129&amp;ID1=16890510&amp;VALUEID=02101&amp;SDATE=200902&amp;PERIODTYPE=QTR_STD&amp;window=popup_no_bar&amp;width=385&amp;height=120&amp;START_MAXIMIZED=FALSE&amp;creator=factset&amp;display_string=Audit"}</definedName>
    <definedName name="_1055__FDSAUDITLINK__" hidden="1">{"fdsup://Directions/FactSet Auditing Viewer?action=AUDIT_VALUE&amp;DB=129&amp;ID1=16890510&amp;VALUEID=01001&amp;SDATE=200902&amp;PERIODTYPE=QTR_STD&amp;window=popup_no_bar&amp;width=385&amp;height=120&amp;START_MAXIMIZED=FALSE&amp;creator=factset&amp;display_string=Audit"}</definedName>
    <definedName name="_1056__FDSAUDITLINK__" hidden="1">{"fdsup://Directions/FactSet Auditing Viewer?action=AUDIT_VALUE&amp;DB=129&amp;ID1=91704710&amp;VALUEID=02101&amp;SDATE=200902&amp;PERIODTYPE=QTR_STD&amp;window=popup_no_bar&amp;width=385&amp;height=120&amp;START_MAXIMIZED=FALSE&amp;creator=factset&amp;display_string=Audit"}</definedName>
    <definedName name="_1057__FDSAUDITLINK__" hidden="1">{"fdsup://Directions/FactSet Auditing Viewer?action=AUDIT_VALUE&amp;DB=129&amp;ID1=91704710&amp;VALUEID=01001&amp;SDATE=200902&amp;PERIODTYPE=QTR_STD&amp;window=popup_no_bar&amp;width=385&amp;height=120&amp;START_MAXIMIZED=FALSE&amp;creator=factset&amp;display_string=Audit"}</definedName>
    <definedName name="_1058__FDSAUDITLINK__" hidden="1">{"fdsup://Directions/FactSet Auditing Viewer?action=AUDIT_VALUE&amp;DB=129&amp;ID1=02553E10&amp;VALUEID=02101&amp;SDATE=200902&amp;PERIODTYPE=QTR_STD&amp;window=popup_no_bar&amp;width=385&amp;height=120&amp;START_MAXIMIZED=FALSE&amp;creator=factset&amp;display_string=Audit"}</definedName>
    <definedName name="_1059__FDSAUDITLINK__" hidden="1">{"fdsup://Directions/FactSet Auditing Viewer?action=AUDIT_VALUE&amp;DB=129&amp;ID1=02553E10&amp;VALUEID=01001&amp;SDATE=200902&amp;PERIODTYPE=QTR_STD&amp;window=popup_no_bar&amp;width=385&amp;height=120&amp;START_MAXIMIZED=FALSE&amp;creator=factset&amp;display_string=Audit"}</definedName>
    <definedName name="_106__FDSAUDITLINK__" hidden="1">{"fdsup://Directions/FactSet Auditing Viewer?action=AUDIT_VALUE&amp;DB=129&amp;ID1=36476010&amp;VALUEID=01001&amp;SDATE=200804&amp;PERIODTYPE=QTR_STD&amp;window=popup_no_bar&amp;width=385&amp;height=120&amp;START_MAXIMIZED=FALSE&amp;creator=factset&amp;display_string=Audit"}</definedName>
    <definedName name="_1060__FDSAUDITLINK__" hidden="1">{"fdsup://Directions/FactSet Auditing Viewer?action=AUDIT_VALUE&amp;DB=129&amp;ID1=02553E10&amp;VALUEID=13040&amp;SDATE=200902&amp;PERIODTYPE=QTR_STD&amp;window=popup_no_bar&amp;width=385&amp;height=120&amp;START_MAXIMIZED=FALSE&amp;creator=factset&amp;display_string=Audit"}</definedName>
    <definedName name="_1061__FDSAUDITLINK__" hidden="1">{"fdsup://Directions/FactSet Auditing Viewer?action=AUDIT_VALUE&amp;DB=129&amp;ID1=00786510&amp;VALUEID=02101&amp;SDATE=200902&amp;PERIODTYPE=QTR_STD&amp;window=popup_no_bar&amp;width=385&amp;height=120&amp;START_MAXIMIZED=FALSE&amp;creator=factset&amp;display_string=Audit"}</definedName>
    <definedName name="_1062__FDSAUDITLINK__" hidden="1">{"fdsup://Directions/FactSet Auditing Viewer?action=AUDIT_VALUE&amp;DB=129&amp;ID1=00786510&amp;VALUEID=01001&amp;SDATE=200902&amp;PERIODTYPE=QTR_STD&amp;window=popup_no_bar&amp;width=385&amp;height=120&amp;START_MAXIMIZED=FALSE&amp;creator=factset&amp;display_string=Audit"}</definedName>
    <definedName name="_1063__FDSAUDITLINK__" hidden="1">{"fdsup://Directions/FactSet Auditing Viewer?action=AUDIT_VALUE&amp;DB=129&amp;ID1=00786510&amp;VALUEID=13040&amp;SDATE=200902&amp;PERIODTYPE=QTR_STD&amp;window=popup_no_bar&amp;width=385&amp;height=120&amp;START_MAXIMIZED=FALSE&amp;creator=factset&amp;display_string=Audit"}</definedName>
    <definedName name="_1064__FDSAUDITLINK__" hidden="1">{"fdsup://Directions/FactSet Auditing Viewer?action=AUDIT_VALUE&amp;DB=129&amp;ID1=00289620&amp;VALUEID=02101&amp;SDATE=200902&amp;PERIODTYPE=QTR_STD&amp;window=popup_no_bar&amp;width=385&amp;height=120&amp;START_MAXIMIZED=FALSE&amp;creator=factset&amp;display_string=Audit"}</definedName>
    <definedName name="_1065__FDSAUDITLINK__" hidden="1">{"fdsup://Directions/FactSet Auditing Viewer?action=AUDIT_VALUE&amp;DB=129&amp;ID1=00289620&amp;VALUEID=01001&amp;SDATE=200902&amp;PERIODTYPE=QTR_STD&amp;window=popup_no_bar&amp;width=385&amp;height=120&amp;START_MAXIMIZED=FALSE&amp;creator=factset&amp;display_string=Audit"}</definedName>
    <definedName name="_1066__FDSAUDITLINK__" hidden="1">{"fdsup://Directions/FactSet Auditing Viewer?action=AUDIT_VALUE&amp;DB=129&amp;ID1=00289620&amp;VALUEID=13040&amp;SDATE=200902&amp;PERIODTYPE=QTR_STD&amp;window=popup_no_bar&amp;width=385&amp;height=120&amp;START_MAXIMIZED=FALSE&amp;creator=factset&amp;display_string=Audit"}</definedName>
    <definedName name="_1067__FDSAUDITLINK__" hidden="1">{"fdsup://Directions/FactSet Auditing Viewer?action=AUDIT_VALUE&amp;DB=129&amp;ID1=87416110&amp;VALUEID=02101&amp;SDATE=200901&amp;PERIODTYPE=QTR_STD&amp;window=popup_no_bar&amp;width=385&amp;height=120&amp;START_MAXIMIZED=FALSE&amp;creator=factset&amp;display_string=Audit"}</definedName>
    <definedName name="_1068__FDSAUDITLINK__" hidden="1">{"fdsup://Directions/FactSet Auditing Viewer?action=AUDIT_VALUE&amp;DB=129&amp;ID1=87416110&amp;VALUEID=01001&amp;SDATE=200901&amp;PERIODTYPE=QTR_STD&amp;window=popup_no_bar&amp;width=385&amp;height=120&amp;START_MAXIMIZED=FALSE&amp;creator=factset&amp;display_string=Audit"}</definedName>
    <definedName name="_1069__FDSAUDITLINK__" hidden="1">{"fdsup://Directions/FactSet Auditing Viewer?action=AUDIT_VALUE&amp;DB=129&amp;ID1=87416110&amp;VALUEID=13040&amp;SDATE=200901&amp;PERIODTYPE=QTR_STD&amp;window=popup_no_bar&amp;width=385&amp;height=120&amp;START_MAXIMIZED=FALSE&amp;creator=factset&amp;display_string=Audit"}</definedName>
    <definedName name="_107__FDSAUDITLINK__" hidden="1">{"fdsup://Directions/FactSet Auditing Viewer?action=AUDIT_VALUE&amp;DB=129&amp;ID1=03611510&amp;VALUEID=01001&amp;SDATE=200804&amp;PERIODTYPE=QTR_STD&amp;window=popup_no_bar&amp;width=385&amp;height=120&amp;START_MAXIMIZED=FALSE&amp;creator=factset&amp;display_string=Audit"}</definedName>
    <definedName name="_1070__FDSAUDITLINK__" hidden="1">{"fdsup://directions/FAT Viewer?action=UPDATE&amp;creator=factset&amp;DYN_ARGS=TRUE&amp;DOC_NAME=FAT:FQL_AUDITING_CLIENT_TEMPLATE.FAT&amp;display_string=Audit&amp;VAR:KEY=RSZCXYZEJW&amp;VAR:QUERY=RkZfUlRfU0ZfVE9UX0dST1NTKFFUUiwtNCk=&amp;WINDOW=FIRST_POPUP&amp;HEIGHT=450&amp;WIDTH=450&amp;START_MA","XIMIZED=FALSE&amp;VAR:CALENDAR=US&amp;VAR:SYMBOL=TLB&amp;VAR:INDEX=0"}</definedName>
    <definedName name="_1071__FDSAUDITLINK__" hidden="1">{"fdsup://Directions/FactSet Auditing Viewer?action=AUDIT_VALUE&amp;DB=129&amp;ID1=53271610&amp;VALUEID=13040&amp;SDATE=200901&amp;PERIODTYPE=QTR_STD&amp;window=popup_no_bar&amp;width=385&amp;height=120&amp;START_MAXIMIZED=FALSE&amp;creator=factset&amp;display_string=Audit"}</definedName>
    <definedName name="_1072__FDSAUDITLINK__" hidden="1">{"fdsup://Directions/FactSet Auditing Viewer?action=AUDIT_VALUE&amp;DB=129&amp;ID1=46612H40&amp;VALUEID=02101&amp;SDATE=200901&amp;PERIODTYPE=QTR_STD&amp;window=popup_no_bar&amp;width=385&amp;height=120&amp;START_MAXIMIZED=FALSE&amp;creator=factset&amp;display_string=Audit"}</definedName>
    <definedName name="_1073__FDSAUDITLINK__" hidden="1">{"fdsup://Directions/FactSet Auditing Viewer?action=AUDIT_VALUE&amp;DB=129&amp;ID1=46612H40&amp;VALUEID=01001&amp;SDATE=200901&amp;PERIODTYPE=QTR_STD&amp;window=popup_no_bar&amp;width=385&amp;height=120&amp;START_MAXIMIZED=FALSE&amp;creator=factset&amp;display_string=Audit"}</definedName>
    <definedName name="_1074__FDSAUDITLINK__" hidden="1">{"fdsup://Directions/FactSet Auditing Viewer?action=AUDIT_VALUE&amp;DB=129&amp;ID1=46612H40&amp;VALUEID=13040&amp;SDATE=200901&amp;PERIODTYPE=QTR_STD&amp;window=popup_no_bar&amp;width=385&amp;height=120&amp;START_MAXIMIZED=FALSE&amp;creator=factset&amp;display_string=Audit"}</definedName>
    <definedName name="_1075__FDSAUDITLINK__" hidden="1">{"fdsup://Directions/FactSet Auditing Viewer?action=AUDIT_VALUE&amp;DB=129&amp;ID1=03611510&amp;VALUEID=02101&amp;SDATE=200901&amp;PERIODTYPE=QTR_STD&amp;window=popup_no_bar&amp;width=385&amp;height=120&amp;START_MAXIMIZED=FALSE&amp;creator=factset&amp;display_string=Audit"}</definedName>
    <definedName name="_1076__FDSAUDITLINK__" hidden="1">{"fdsup://Directions/FactSet Auditing Viewer?action=AUDIT_VALUE&amp;DB=129&amp;ID1=03611510&amp;VALUEID=01001&amp;SDATE=200901&amp;PERIODTYPE=QTR_STD&amp;window=popup_no_bar&amp;width=385&amp;height=120&amp;START_MAXIMIZED=FALSE&amp;creator=factset&amp;display_string=Audit"}</definedName>
    <definedName name="_1077__FDSAUDITLINK__" hidden="1">{"fdsup://Directions/FactSet Auditing Viewer?action=AUDIT_VALUE&amp;DB=129&amp;ID1=16890510&amp;VALUEID=02101&amp;SDATE=200901&amp;PERIODTYPE=QTR_STD&amp;window=popup_no_bar&amp;width=385&amp;height=120&amp;START_MAXIMIZED=FALSE&amp;creator=factset&amp;display_string=Audit"}</definedName>
    <definedName name="_1078__FDSAUDITLINK__" hidden="1">{"fdsup://Directions/FactSet Auditing Viewer?action=AUDIT_VALUE&amp;DB=129&amp;ID1=16890510&amp;VALUEID=01001&amp;SDATE=200901&amp;PERIODTYPE=QTR_STD&amp;window=popup_no_bar&amp;width=385&amp;height=120&amp;START_MAXIMIZED=FALSE&amp;creator=factset&amp;display_string=Audit"}</definedName>
    <definedName name="_1079__FDSAUDITLINK__" hidden="1">{"fdsup://Directions/FactSet Auditing Viewer?action=AUDIT_VALUE&amp;DB=129&amp;ID1=00786510&amp;VALUEID=02101&amp;SDATE=200901&amp;PERIODTYPE=QTR_STD&amp;window=popup_no_bar&amp;width=385&amp;height=120&amp;START_MAXIMIZED=FALSE&amp;creator=factset&amp;display_string=Audit"}</definedName>
    <definedName name="_108__FDSAUDITLINK__" hidden="1">{"fdsup://Directions/FactSet Auditing Viewer?action=AUDIT_VALUE&amp;DB=129&amp;ID1=16890510&amp;VALUEID=01001&amp;SDATE=200804&amp;PERIODTYPE=QTR_STD&amp;window=popup_no_bar&amp;width=385&amp;height=120&amp;START_MAXIMIZED=FALSE&amp;creator=factset&amp;display_string=Audit"}</definedName>
    <definedName name="_1080__FDSAUDITLINK__" hidden="1">{"fdsup://Directions/FactSet Auditing Viewer?action=AUDIT_VALUE&amp;DB=129&amp;ID1=00786510&amp;VALUEID=01001&amp;SDATE=200901&amp;PERIODTYPE=QTR_STD&amp;window=popup_no_bar&amp;width=385&amp;height=120&amp;START_MAXIMIZED=FALSE&amp;creator=factset&amp;display_string=Audit"}</definedName>
    <definedName name="_1081__FDSAUDITLINK__" hidden="1">{"fdsup://Directions/FactSet Auditing Viewer?action=AUDIT_VALUE&amp;DB=129&amp;ID1=00786510&amp;VALUEID=13040&amp;SDATE=200901&amp;PERIODTYPE=QTR_STD&amp;window=popup_no_bar&amp;width=385&amp;height=120&amp;START_MAXIMIZED=FALSE&amp;creator=factset&amp;display_string=Audit"}</definedName>
    <definedName name="_1082__FDSAUDITLINK__" hidden="1">{"fdsup://Directions/FactSet Auditing Viewer?action=AUDIT_VALUE&amp;DB=129&amp;ID1=00289620&amp;VALUEID=13040&amp;SDATE=200901&amp;PERIODTYPE=QTR_STD&amp;window=popup_no_bar&amp;width=385&amp;height=120&amp;START_MAXIMIZED=FALSE&amp;creator=factset&amp;display_string=Audit"}</definedName>
    <definedName name="_1083__FDSAUDITLINK__" hidden="1">{"fdsup://Directions/FactSet Auditing Viewer?action=AUDIT_VALUE&amp;DB=129&amp;ID1=87416110&amp;VALUEID=01001&amp;SDATE=200804&amp;PERIODTYPE=QTR_STD&amp;window=popup_no_bar&amp;width=385&amp;height=120&amp;START_MAXIMIZED=FALSE&amp;creator=factset&amp;display_string=Audit"}</definedName>
    <definedName name="_1084__FDSAUDITLINK__" hidden="1">{"fdsup://directions/FAT Viewer?action=UPDATE&amp;creator=factset&amp;DYN_ARGS=TRUE&amp;DOC_NAME=FAT:FQL_AUDITING_CLIENT_TEMPLATE.FAT&amp;display_string=Audit&amp;VAR:KEY=BSXQNALGBC&amp;VAR:QUERY=RkZfUlRfU0ZfVE9UX0dST1NTKFFUUiwtNSk=&amp;WINDOW=FIRST_POPUP&amp;HEIGHT=450&amp;WIDTH=450&amp;START_MA","XIMIZED=FALSE&amp;VAR:CALENDAR=US&amp;VAR:SYMBOL=TLB&amp;VAR:INDEX=0"}</definedName>
    <definedName name="_1085__FDSAUDITLINK__" hidden="1">{"fdsup://Directions/FactSet Auditing Viewer?action=AUDIT_VALUE&amp;DB=129&amp;ID1=46612H40&amp;VALUEID=01001&amp;SDATE=200804&amp;PERIODTYPE=QTR_STD&amp;window=popup_no_bar&amp;width=385&amp;height=120&amp;START_MAXIMIZED=FALSE&amp;creator=factset&amp;display_string=Audit"}</definedName>
    <definedName name="_1086__FDSAUDITLINK__" hidden="1">{"fdsup://Directions/FactSet Auditing Viewer?action=AUDIT_VALUE&amp;DB=129&amp;ID1=46612H40&amp;VALUEID=13040&amp;SDATE=200804&amp;PERIODTYPE=QTR_STD&amp;window=popup_no_bar&amp;width=385&amp;height=120&amp;START_MAXIMIZED=FALSE&amp;creator=factset&amp;display_string=Audit"}</definedName>
    <definedName name="_1087__FDSAUDITLINK__" hidden="1">{"fdsup://Directions/FactSet Auditing Viewer?action=AUDIT_VALUE&amp;DB=129&amp;ID1=36476010&amp;VALUEID=01001&amp;SDATE=200804&amp;PERIODTYPE=QTR_STD&amp;window=popup_no_bar&amp;width=385&amp;height=120&amp;START_MAXIMIZED=FALSE&amp;creator=factset&amp;display_string=Audit"}</definedName>
    <definedName name="_1088__FDSAUDITLINK__" hidden="1">{"fdsup://Directions/FactSet Auditing Viewer?action=AUDIT_VALUE&amp;DB=129&amp;ID1=03611510&amp;VALUEID=01001&amp;SDATE=200804&amp;PERIODTYPE=QTR_STD&amp;window=popup_no_bar&amp;width=385&amp;height=120&amp;START_MAXIMIZED=FALSE&amp;creator=factset&amp;display_string=Audit"}</definedName>
    <definedName name="_1089__FDSAUDITLINK__" hidden="1">{"fdsup://Directions/FactSet Auditing Viewer?action=AUDIT_VALUE&amp;DB=129&amp;ID1=16890510&amp;VALUEID=01001&amp;SDATE=200804&amp;PERIODTYPE=QTR_STD&amp;window=popup_no_bar&amp;width=385&amp;height=120&amp;START_MAXIMIZED=FALSE&amp;creator=factset&amp;display_string=Audit"}</definedName>
    <definedName name="_109__FDSAUDITLINK__" hidden="1">{"fdsup://Directions/FactSet Auditing Viewer?action=AUDIT_VALUE&amp;DB=129&amp;ID1=00786510&amp;VALUEID=01001&amp;SDATE=200804&amp;PERIODTYPE=QTR_STD&amp;window=popup_no_bar&amp;width=385&amp;height=120&amp;START_MAXIMIZED=FALSE&amp;creator=factset&amp;display_string=Audit"}</definedName>
    <definedName name="_1090__FDSAUDITLINK__" hidden="1">{"fdsup://Directions/FactSet Auditing Viewer?action=AUDIT_VALUE&amp;DB=129&amp;ID1=00786510&amp;VALUEID=01001&amp;SDATE=200804&amp;PERIODTYPE=QTR_STD&amp;window=popup_no_bar&amp;width=385&amp;height=120&amp;START_MAXIMIZED=FALSE&amp;creator=factset&amp;display_string=Audit"}</definedName>
    <definedName name="_1091__FDSAUDITLINK__" hidden="1">{"fdsup://Directions/FactSet Auditing Viewer?action=AUDIT_VALUE&amp;DB=129&amp;ID1=87416110&amp;VALUEID=02101&amp;SDATE=200803&amp;PERIODTYPE=QTR_STD&amp;window=popup_no_bar&amp;width=385&amp;height=120&amp;START_MAXIMIZED=FALSE&amp;creator=factset&amp;display_string=Audit"}</definedName>
    <definedName name="_1092__FDSAUDITLINK__" hidden="1">{"fdsup://Directions/FactSet Auditing Viewer?action=AUDIT_VALUE&amp;DB=129&amp;ID1=87416110&amp;VALUEID=01001&amp;SDATE=200803&amp;PERIODTYPE=QTR_STD&amp;window=popup_no_bar&amp;width=385&amp;height=120&amp;START_MAXIMIZED=FALSE&amp;creator=factset&amp;display_string=Audit"}</definedName>
    <definedName name="_1093__FDSAUDITLINK__" hidden="1">{"fdsup://Directions/FactSet Auditing Viewer?action=AUDIT_VALUE&amp;DB=129&amp;ID1=87416110&amp;VALUEID=13040&amp;SDATE=200803&amp;PERIODTYPE=QTR_STD&amp;window=popup_no_bar&amp;width=385&amp;height=120&amp;START_MAXIMIZED=FALSE&amp;creator=factset&amp;display_string=Audit"}</definedName>
    <definedName name="_1094__FDSAUDITLINK__" hidden="1">{"fdsup://directions/FAT Viewer?action=UPDATE&amp;creator=factset&amp;DYN_ARGS=TRUE&amp;DOC_NAME=FAT:FQL_AUDITING_CLIENT_TEMPLATE.FAT&amp;display_string=Audit&amp;VAR:KEY=VAFWFCDYFC&amp;VAR:QUERY=RkZfUlRfU0ZfVE9UX0dST1NTKFFUUiwtNik=&amp;WINDOW=FIRST_POPUP&amp;HEIGHT=450&amp;WIDTH=450&amp;START_MA","XIMIZED=FALSE&amp;VAR:CALENDAR=US&amp;VAR:SYMBOL=TLB&amp;VAR:INDEX=0"}</definedName>
    <definedName name="_1095__FDSAUDITLINK__" hidden="1">{"fdsup://Directions/FactSet Auditing Viewer?action=AUDIT_VALUE&amp;DB=129&amp;ID1=46612H40&amp;VALUEID=02101&amp;SDATE=200803&amp;PERIODTYPE=QTR_STD&amp;window=popup_no_bar&amp;width=385&amp;height=120&amp;START_MAXIMIZED=FALSE&amp;creator=factset&amp;display_string=Audit"}</definedName>
    <definedName name="_1096__FDSAUDITLINK__" hidden="1">{"fdsup://Directions/FactSet Auditing Viewer?action=AUDIT_VALUE&amp;DB=129&amp;ID1=46612H40&amp;VALUEID=01001&amp;SDATE=200803&amp;PERIODTYPE=QTR_STD&amp;window=popup_no_bar&amp;width=385&amp;height=120&amp;START_MAXIMIZED=FALSE&amp;creator=factset&amp;display_string=Audit"}</definedName>
    <definedName name="_1097__FDSAUDITLINK__" hidden="1">{"fdsup://Directions/FactSet Auditing Viewer?action=AUDIT_VALUE&amp;DB=129&amp;ID1=46612H40&amp;VALUEID=13040&amp;SDATE=200803&amp;PERIODTYPE=QTR_STD&amp;window=popup_no_bar&amp;width=385&amp;height=120&amp;START_MAXIMIZED=FALSE&amp;creator=factset&amp;display_string=Audit"}</definedName>
    <definedName name="_1098__FDSAUDITLINK__" hidden="1">{"fdsup://Directions/FactSet Auditing Viewer?action=AUDIT_VALUE&amp;DB=129&amp;ID1=36476010&amp;VALUEID=02101&amp;SDATE=200803&amp;PERIODTYPE=QTR_STD&amp;window=popup_no_bar&amp;width=385&amp;height=120&amp;START_MAXIMIZED=FALSE&amp;creator=factset&amp;display_string=Audit"}</definedName>
    <definedName name="_1099__FDSAUDITLINK__" hidden="1">{"fdsup://Directions/FactSet Auditing Viewer?action=AUDIT_VALUE&amp;DB=129&amp;ID1=36476010&amp;VALUEID=01001&amp;SDATE=200803&amp;PERIODTYPE=QTR_STD&amp;window=popup_no_bar&amp;width=385&amp;height=120&amp;START_MAXIMIZED=FALSE&amp;creator=factset&amp;display_string=Audit"}</definedName>
    <definedName name="_11__123Graph_XLIQUIDS" hidden="1">[1]P!$R$29:$AK$29</definedName>
    <definedName name="_11__FDSAUDITLINK__" hidden="1">{"fdsup://Directions/FactSet Auditing Viewer?action=AUDIT_VALUE&amp;DB=129&amp;ID1=03611510&amp;VALUEID=13040&amp;SDATE=201001&amp;PERIODTYPE=QTR_STD&amp;window=popup_no_bar&amp;width=385&amp;height=120&amp;START_MAXIMIZED=FALSE&amp;creator=factset&amp;display_string=Audit"}</definedName>
    <definedName name="_110__FDSAUDITLINK__" hidden="1">{"fdsup://Directions/FactSet Auditing Viewer?action=AUDIT_VALUE&amp;DB=129&amp;ID1=87416110&amp;VALUEID=02101&amp;SDATE=200803&amp;PERIODTYPE=QTR_STD&amp;window=popup_no_bar&amp;width=385&amp;height=120&amp;START_MAXIMIZED=FALSE&amp;creator=factset&amp;display_string=Audit"}</definedName>
    <definedName name="_1100__FDSAUDITLINK__" hidden="1">{"fdsup://Directions/FactSet Auditing Viewer?action=AUDIT_VALUE&amp;DB=129&amp;ID1=36476010&amp;VALUEID=13040&amp;SDATE=200803&amp;PERIODTYPE=QTR_STD&amp;window=popup_no_bar&amp;width=385&amp;height=120&amp;START_MAXIMIZED=FALSE&amp;creator=factset&amp;display_string=Audit"}</definedName>
    <definedName name="_1101__FDSAUDITLINK__" hidden="1">{"fdsup://Directions/FactSet Auditing Viewer?action=AUDIT_VALUE&amp;DB=129&amp;ID1=03611510&amp;VALUEID=02101&amp;SDATE=200803&amp;PERIODTYPE=QTR_STD&amp;window=popup_no_bar&amp;width=385&amp;height=120&amp;START_MAXIMIZED=FALSE&amp;creator=factset&amp;display_string=Audit"}</definedName>
    <definedName name="_1102__FDSAUDITLINK__" hidden="1">{"fdsup://Directions/FactSet Auditing Viewer?action=AUDIT_VALUE&amp;DB=129&amp;ID1=03611510&amp;VALUEID=01001&amp;SDATE=200803&amp;PERIODTYPE=QTR_STD&amp;window=popup_no_bar&amp;width=385&amp;height=120&amp;START_MAXIMIZED=FALSE&amp;creator=factset&amp;display_string=Audit"}</definedName>
    <definedName name="_1103__FDSAUDITLINK__" hidden="1">{"fdsup://Directions/FactSet Auditing Viewer?action=AUDIT_VALUE&amp;DB=129&amp;ID1=16890510&amp;VALUEID=02101&amp;SDATE=200803&amp;PERIODTYPE=QTR_STD&amp;window=popup_no_bar&amp;width=385&amp;height=120&amp;START_MAXIMIZED=FALSE&amp;creator=factset&amp;display_string=Audit"}</definedName>
    <definedName name="_1104__FDSAUDITLINK__" hidden="1">{"fdsup://Directions/FactSet Auditing Viewer?action=AUDIT_VALUE&amp;DB=129&amp;ID1=16890510&amp;VALUEID=01001&amp;SDATE=200803&amp;PERIODTYPE=QTR_STD&amp;window=popup_no_bar&amp;width=385&amp;height=120&amp;START_MAXIMIZED=FALSE&amp;creator=factset&amp;display_string=Audit"}</definedName>
    <definedName name="_1105__FDSAUDITLINK__" hidden="1">{"fdsup://Directions/FactSet Auditing Viewer?action=AUDIT_VALUE&amp;DB=129&amp;ID1=91704710&amp;VALUEID=02101&amp;SDATE=200803&amp;PERIODTYPE=QTR_STD&amp;window=popup_no_bar&amp;width=385&amp;height=120&amp;START_MAXIMIZED=FALSE&amp;creator=factset&amp;display_string=Audit"}</definedName>
    <definedName name="_1106__FDSAUDITLINK__" hidden="1">{"fdsup://Directions/FactSet Auditing Viewer?action=AUDIT_VALUE&amp;DB=129&amp;ID1=91704710&amp;VALUEID=01001&amp;SDATE=200803&amp;PERIODTYPE=QTR_STD&amp;window=popup_no_bar&amp;width=385&amp;height=120&amp;START_MAXIMIZED=FALSE&amp;creator=factset&amp;display_string=Audit"}</definedName>
    <definedName name="_1107__FDSAUDITLINK__" hidden="1">{"fdsup://Directions/FactSet Auditing Viewer?action=AUDIT_VALUE&amp;DB=129&amp;ID1=91704710&amp;VALUEID=13040&amp;SDATE=200803&amp;PERIODTYPE=QTR_STD&amp;window=popup_no_bar&amp;width=385&amp;height=120&amp;START_MAXIMIZED=FALSE&amp;creator=factset&amp;display_string=Audit"}</definedName>
    <definedName name="_1108__FDSAUDITLINK__" hidden="1">{"fdsup://Directions/FactSet Auditing Viewer?action=AUDIT_VALUE&amp;DB=129&amp;ID1=02553E10&amp;VALUEID=02101&amp;SDATE=200803&amp;PERIODTYPE=QTR_STD&amp;window=popup_no_bar&amp;width=385&amp;height=120&amp;START_MAXIMIZED=FALSE&amp;creator=factset&amp;display_string=Audit"}</definedName>
    <definedName name="_1109__FDSAUDITLINK__" hidden="1">{"fdsup://Directions/FactSet Auditing Viewer?action=AUDIT_VALUE&amp;DB=129&amp;ID1=02553E10&amp;VALUEID=01001&amp;SDATE=200803&amp;PERIODTYPE=QTR_STD&amp;window=popup_no_bar&amp;width=385&amp;height=120&amp;START_MAXIMIZED=FALSE&amp;creator=factset&amp;display_string=Audit"}</definedName>
    <definedName name="_111__FDSAUDITLINK__" hidden="1">{"fdsup://Directions/FactSet Auditing Viewer?action=AUDIT_VALUE&amp;DB=129&amp;ID1=87416110&amp;VALUEID=01001&amp;SDATE=200803&amp;PERIODTYPE=QTR_STD&amp;window=popup_no_bar&amp;width=385&amp;height=120&amp;START_MAXIMIZED=FALSE&amp;creator=factset&amp;display_string=Audit"}</definedName>
    <definedName name="_1110__FDSAUDITLINK__" hidden="1">{"fdsup://Directions/FactSet Auditing Viewer?action=AUDIT_VALUE&amp;DB=129&amp;ID1=02553E10&amp;VALUEID=13040&amp;SDATE=200803&amp;PERIODTYPE=QTR_STD&amp;window=popup_no_bar&amp;width=385&amp;height=120&amp;START_MAXIMIZED=FALSE&amp;creator=factset&amp;display_string=Audit"}</definedName>
    <definedName name="_1111__FDSAUDITLINK__" hidden="1">{"fdsup://Directions/FactSet Auditing Viewer?action=AUDIT_VALUE&amp;DB=129&amp;ID1=00786510&amp;VALUEID=02101&amp;SDATE=200803&amp;PERIODTYPE=QTR_STD&amp;window=popup_no_bar&amp;width=385&amp;height=120&amp;START_MAXIMIZED=FALSE&amp;creator=factset&amp;display_string=Audit"}</definedName>
    <definedName name="_1112__FDSAUDITLINK__" hidden="1">{"fdsup://Directions/FactSet Auditing Viewer?action=AUDIT_VALUE&amp;DB=129&amp;ID1=00786510&amp;VALUEID=01001&amp;SDATE=200803&amp;PERIODTYPE=QTR_STD&amp;window=popup_no_bar&amp;width=385&amp;height=120&amp;START_MAXIMIZED=FALSE&amp;creator=factset&amp;display_string=Audit"}</definedName>
    <definedName name="_1113__FDSAUDITLINK__" hidden="1">{"fdsup://Directions/FactSet Auditing Viewer?action=AUDIT_VALUE&amp;DB=129&amp;ID1=00786510&amp;VALUEID=13040&amp;SDATE=200803&amp;PERIODTYPE=QTR_STD&amp;window=popup_no_bar&amp;width=385&amp;height=120&amp;START_MAXIMIZED=FALSE&amp;creator=factset&amp;display_string=Audit"}</definedName>
    <definedName name="_1114__FDSAUDITLINK__" hidden="1">{"fdsup://Directions/FactSet Auditing Viewer?action=AUDIT_VALUE&amp;DB=129&amp;ID1=00289620&amp;VALUEID=02101&amp;SDATE=200803&amp;PERIODTYPE=QTR_STD&amp;window=popup_no_bar&amp;width=385&amp;height=120&amp;START_MAXIMIZED=FALSE&amp;creator=factset&amp;display_string=Audit"}</definedName>
    <definedName name="_1115__FDSAUDITLINK__" hidden="1">{"fdsup://Directions/FactSet Auditing Viewer?action=AUDIT_VALUE&amp;DB=129&amp;ID1=00289620&amp;VALUEID=01001&amp;SDATE=200803&amp;PERIODTYPE=QTR_STD&amp;window=popup_no_bar&amp;width=385&amp;height=120&amp;START_MAXIMIZED=FALSE&amp;creator=factset&amp;display_string=Audit"}</definedName>
    <definedName name="_1116__FDSAUDITLINK__" hidden="1">{"fdsup://Directions/FactSet Auditing Viewer?action=AUDIT_VALUE&amp;DB=129&amp;ID1=00289620&amp;VALUEID=13040&amp;SDATE=200803&amp;PERIODTYPE=QTR_STD&amp;window=popup_no_bar&amp;width=385&amp;height=120&amp;START_MAXIMIZED=FALSE&amp;creator=factset&amp;display_string=Audit"}</definedName>
    <definedName name="_1117__FDSAUDITLINK__" hidden="1">{"fdsup://Directions/FactSet Auditing Viewer?action=AUDIT_VALUE&amp;DB=129&amp;ID1=87416110&amp;VALUEID=02101&amp;SDATE=200802&amp;PERIODTYPE=QTR_STD&amp;window=popup_no_bar&amp;width=385&amp;height=120&amp;START_MAXIMIZED=FALSE&amp;creator=factset&amp;display_string=Audit"}</definedName>
    <definedName name="_1118__FDSAUDITLINK__" hidden="1">{"fdsup://Directions/FactSet Auditing Viewer?action=AUDIT_VALUE&amp;DB=129&amp;ID1=87416110&amp;VALUEID=01001&amp;SDATE=200802&amp;PERIODTYPE=QTR_STD&amp;window=popup_no_bar&amp;width=385&amp;height=120&amp;START_MAXIMIZED=FALSE&amp;creator=factset&amp;display_string=Audit"}</definedName>
    <definedName name="_1119__FDSAUDITLINK__" hidden="1">{"fdsup://Directions/FactSet Auditing Viewer?action=AUDIT_VALUE&amp;DB=129&amp;ID1=53271610&amp;VALUEID=02101&amp;SDATE=200802&amp;PERIODTYPE=QTR_STD&amp;window=popup_no_bar&amp;width=385&amp;height=120&amp;START_MAXIMIZED=FALSE&amp;creator=factset&amp;display_string=Audit"}</definedName>
    <definedName name="_112__FDSAUDITLINK__" hidden="1">{"fdsup://Directions/FactSet Auditing Viewer?action=AUDIT_VALUE&amp;DB=129&amp;ID1=87416110&amp;VALUEID=13040&amp;SDATE=200803&amp;PERIODTYPE=QTR_STD&amp;window=popup_no_bar&amp;width=385&amp;height=120&amp;START_MAXIMIZED=FALSE&amp;creator=factset&amp;display_string=Audit"}</definedName>
    <definedName name="_1120__FDSAUDITLINK__" hidden="1">{"fdsup://Directions/FactSet Auditing Viewer?action=AUDIT_VALUE&amp;DB=129&amp;ID1=53271610&amp;VALUEID=01001&amp;SDATE=200802&amp;PERIODTYPE=QTR_STD&amp;window=popup_no_bar&amp;width=385&amp;height=120&amp;START_MAXIMIZED=FALSE&amp;creator=factset&amp;display_string=Audit"}</definedName>
    <definedName name="_1121__FDSAUDITLINK__" hidden="1">{"fdsup://Directions/FactSet Auditing Viewer?action=AUDIT_VALUE&amp;DB=129&amp;ID1=53271610&amp;VALUEID=13040&amp;SDATE=200802&amp;PERIODTYPE=QTR_STD&amp;window=popup_no_bar&amp;width=385&amp;height=120&amp;START_MAXIMIZED=FALSE&amp;creator=factset&amp;display_string=Audit"}</definedName>
    <definedName name="_1122__FDSAUDITLINK__" hidden="1">{"fdsup://Directions/FactSet Auditing Viewer?action=AUDIT_VALUE&amp;DB=129&amp;ID1=46612H40&amp;VALUEID=02101&amp;SDATE=200802&amp;PERIODTYPE=QTR_STD&amp;window=popup_no_bar&amp;width=385&amp;height=120&amp;START_MAXIMIZED=FALSE&amp;creator=factset&amp;display_string=Audit"}</definedName>
    <definedName name="_1123__FDSAUDITLINK__" hidden="1">{"fdsup://Directions/FactSet Auditing Viewer?action=AUDIT_VALUE&amp;DB=129&amp;ID1=46612H40&amp;VALUEID=01001&amp;SDATE=200802&amp;PERIODTYPE=QTR_STD&amp;window=popup_no_bar&amp;width=385&amp;height=120&amp;START_MAXIMIZED=FALSE&amp;creator=factset&amp;display_string=Audit"}</definedName>
    <definedName name="_1124__FDSAUDITLINK__" hidden="1">{"fdsup://Directions/FactSet Auditing Viewer?action=AUDIT_VALUE&amp;DB=129&amp;ID1=46612H40&amp;VALUEID=13040&amp;SDATE=200802&amp;PERIODTYPE=QTR_STD&amp;window=popup_no_bar&amp;width=385&amp;height=120&amp;START_MAXIMIZED=FALSE&amp;creator=factset&amp;display_string=Audit"}</definedName>
    <definedName name="_1125__FDSAUDITLINK__" hidden="1">{"fdsup://Directions/FactSet Auditing Viewer?action=AUDIT_VALUE&amp;DB=129&amp;ID1=36476010&amp;VALUEID=02101&amp;SDATE=200802&amp;PERIODTYPE=QTR_STD&amp;window=popup_no_bar&amp;width=385&amp;height=120&amp;START_MAXIMIZED=FALSE&amp;creator=factset&amp;display_string=Audit"}</definedName>
    <definedName name="_1126__FDSAUDITLINK__" hidden="1">{"fdsup://Directions/FactSet Auditing Viewer?action=AUDIT_VALUE&amp;DB=129&amp;ID1=36476010&amp;VALUEID=01001&amp;SDATE=200802&amp;PERIODTYPE=QTR_STD&amp;window=popup_no_bar&amp;width=385&amp;height=120&amp;START_MAXIMIZED=FALSE&amp;creator=factset&amp;display_string=Audit"}</definedName>
    <definedName name="_1127__FDSAUDITLINK__" hidden="1">{"fdsup://Directions/FactSet Auditing Viewer?action=AUDIT_VALUE&amp;DB=129&amp;ID1=36476010&amp;VALUEID=13040&amp;SDATE=200802&amp;PERIODTYPE=QTR_STD&amp;window=popup_no_bar&amp;width=385&amp;height=120&amp;START_MAXIMIZED=FALSE&amp;creator=factset&amp;display_string=Audit"}</definedName>
    <definedName name="_1128__FDSAUDITLINK__" hidden="1">{"fdsup://Directions/FactSet Auditing Viewer?action=AUDIT_VALUE&amp;DB=129&amp;ID1=03611510&amp;VALUEID=02101&amp;SDATE=200802&amp;PERIODTYPE=QTR_STD&amp;window=popup_no_bar&amp;width=385&amp;height=120&amp;START_MAXIMIZED=FALSE&amp;creator=factset&amp;display_string=Audit"}</definedName>
    <definedName name="_1129__FDSAUDITLINK__" hidden="1">{"fdsup://Directions/FactSet Auditing Viewer?action=AUDIT_VALUE&amp;DB=129&amp;ID1=03611510&amp;VALUEID=01001&amp;SDATE=200802&amp;PERIODTYPE=QTR_STD&amp;window=popup_no_bar&amp;width=385&amp;height=120&amp;START_MAXIMIZED=FALSE&amp;creator=factset&amp;display_string=Audit"}</definedName>
    <definedName name="_113__FDSAUDITLINK__" hidden="1">{"fdsup://directions/FAT Viewer?action=UPDATE&amp;creator=factset&amp;DYN_ARGS=TRUE&amp;DOC_NAME=FAT:FQL_AUDITING_CLIENT_TEMPLATE.FAT&amp;display_string=Audit&amp;VAR:KEY=VAFWFCDYFC&amp;VAR:QUERY=RkZfUlRfU0ZfVE9UX0dST1NTKFFUUiwtNik=&amp;WINDOW=FIRST_POPUP&amp;HEIGHT=450&amp;WIDTH=450&amp;START_MA","XIMIZED=FALSE&amp;VAR:CALENDAR=US&amp;VAR:SYMBOL=TLB&amp;VAR:INDEX=0"}</definedName>
    <definedName name="_1130__FDSAUDITLINK__" hidden="1">{"fdsup://Directions/FactSet Auditing Viewer?action=AUDIT_VALUE&amp;DB=129&amp;ID1=16890510&amp;VALUEID=02101&amp;SDATE=200802&amp;PERIODTYPE=QTR_STD&amp;window=popup_no_bar&amp;width=385&amp;height=120&amp;START_MAXIMIZED=FALSE&amp;creator=factset&amp;display_string=Audit"}</definedName>
    <definedName name="_1131__FDSAUDITLINK__" hidden="1">{"fdsup://Directions/FactSet Auditing Viewer?action=AUDIT_VALUE&amp;DB=129&amp;ID1=16890510&amp;VALUEID=01001&amp;SDATE=200802&amp;PERIODTYPE=QTR_STD&amp;window=popup_no_bar&amp;width=385&amp;height=120&amp;START_MAXIMIZED=FALSE&amp;creator=factset&amp;display_string=Audit"}</definedName>
    <definedName name="_1132__FDSAUDITLINK__" hidden="1">{"fdsup://Directions/FactSet Auditing Viewer?action=AUDIT_VALUE&amp;DB=129&amp;ID1=91704710&amp;VALUEID=02101&amp;SDATE=200802&amp;PERIODTYPE=QTR_STD&amp;window=popup_no_bar&amp;width=385&amp;height=120&amp;START_MAXIMIZED=FALSE&amp;creator=factset&amp;display_string=Audit"}</definedName>
    <definedName name="_1133__FDSAUDITLINK__" hidden="1">{"fdsup://Directions/FactSet Auditing Viewer?action=AUDIT_VALUE&amp;DB=129&amp;ID1=91704710&amp;VALUEID=01001&amp;SDATE=200802&amp;PERIODTYPE=QTR_STD&amp;window=popup_no_bar&amp;width=385&amp;height=120&amp;START_MAXIMIZED=FALSE&amp;creator=factset&amp;display_string=Audit"}</definedName>
    <definedName name="_1134__FDSAUDITLINK__" hidden="1">{"fdsup://Directions/FactSet Auditing Viewer?action=AUDIT_VALUE&amp;DB=129&amp;ID1=91704710&amp;VALUEID=13040&amp;SDATE=200802&amp;PERIODTYPE=QTR_STD&amp;window=popup_no_bar&amp;width=385&amp;height=120&amp;START_MAXIMIZED=FALSE&amp;creator=factset&amp;display_string=Audit"}</definedName>
    <definedName name="_1135__FDSAUDITLINK__" hidden="1">{"fdsup://Directions/FactSet Auditing Viewer?action=AUDIT_VALUE&amp;DB=129&amp;ID1=02553E10&amp;VALUEID=02101&amp;SDATE=200802&amp;PERIODTYPE=QTR_STD&amp;window=popup_no_bar&amp;width=385&amp;height=120&amp;START_MAXIMIZED=FALSE&amp;creator=factset&amp;display_string=Audit"}</definedName>
    <definedName name="_1136__FDSAUDITLINK__" hidden="1">{"fdsup://Directions/FactSet Auditing Viewer?action=AUDIT_VALUE&amp;DB=129&amp;ID1=02553E10&amp;VALUEID=01001&amp;SDATE=200802&amp;PERIODTYPE=QTR_STD&amp;window=popup_no_bar&amp;width=385&amp;height=120&amp;START_MAXIMIZED=FALSE&amp;creator=factset&amp;display_string=Audit"}</definedName>
    <definedName name="_1137__FDSAUDITLINK__" hidden="1">{"fdsup://Directions/FactSet Auditing Viewer?action=AUDIT_VALUE&amp;DB=129&amp;ID1=02553E10&amp;VALUEID=13040&amp;SDATE=200802&amp;PERIODTYPE=QTR_STD&amp;window=popup_no_bar&amp;width=385&amp;height=120&amp;START_MAXIMIZED=FALSE&amp;creator=factset&amp;display_string=Audit"}</definedName>
    <definedName name="_1138__FDSAUDITLINK__" hidden="1">{"fdsup://Directions/FactSet Auditing Viewer?action=AUDIT_VALUE&amp;DB=129&amp;ID1=00786510&amp;VALUEID=02101&amp;SDATE=200802&amp;PERIODTYPE=QTR_STD&amp;window=popup_no_bar&amp;width=385&amp;height=120&amp;START_MAXIMIZED=FALSE&amp;creator=factset&amp;display_string=Audit"}</definedName>
    <definedName name="_1139__FDSAUDITLINK__" hidden="1">{"fdsup://Directions/FactSet Auditing Viewer?action=AUDIT_VALUE&amp;DB=129&amp;ID1=00786510&amp;VALUEID=01001&amp;SDATE=200802&amp;PERIODTYPE=QTR_STD&amp;window=popup_no_bar&amp;width=385&amp;height=120&amp;START_MAXIMIZED=FALSE&amp;creator=factset&amp;display_string=Audit"}</definedName>
    <definedName name="_114__FDSAUDITLINK__" hidden="1">{"fdsup://Directions/FactSet Auditing Viewer?action=AUDIT_VALUE&amp;DB=129&amp;ID1=46612H40&amp;VALUEID=02101&amp;SDATE=200803&amp;PERIODTYPE=QTR_STD&amp;window=popup_no_bar&amp;width=385&amp;height=120&amp;START_MAXIMIZED=FALSE&amp;creator=factset&amp;display_string=Audit"}</definedName>
    <definedName name="_1140__FDSAUDITLINK__" hidden="1">{"fdsup://Directions/FactSet Auditing Viewer?action=AUDIT_VALUE&amp;DB=129&amp;ID1=00786510&amp;VALUEID=13040&amp;SDATE=200802&amp;PERIODTYPE=QTR_STD&amp;window=popup_no_bar&amp;width=385&amp;height=120&amp;START_MAXIMIZED=FALSE&amp;creator=factset&amp;display_string=Audit"}</definedName>
    <definedName name="_1141__FDSAUDITLINK__" hidden="1">{"fdsup://Directions/FactSet Auditing Viewer?action=AUDIT_VALUE&amp;DB=129&amp;ID1=00289620&amp;VALUEID=02101&amp;SDATE=200802&amp;PERIODTYPE=QTR_STD&amp;window=popup_no_bar&amp;width=385&amp;height=120&amp;START_MAXIMIZED=FALSE&amp;creator=factset&amp;display_string=Audit"}</definedName>
    <definedName name="_1142__FDSAUDITLINK__" hidden="1">{"fdsup://Directions/FactSet Auditing Viewer?action=AUDIT_VALUE&amp;DB=129&amp;ID1=00289620&amp;VALUEID=01001&amp;SDATE=200802&amp;PERIODTYPE=QTR_STD&amp;window=popup_no_bar&amp;width=385&amp;height=120&amp;START_MAXIMIZED=FALSE&amp;creator=factset&amp;display_string=Audit"}</definedName>
    <definedName name="_1143__FDSAUDITLINK__" hidden="1">{"fdsup://Directions/FactSet Auditing Viewer?action=AUDIT_VALUE&amp;DB=129&amp;ID1=00289620&amp;VALUEID=13040&amp;SDATE=200802&amp;PERIODTYPE=QTR_STD&amp;window=popup_no_bar&amp;width=385&amp;height=120&amp;START_MAXIMIZED=FALSE&amp;creator=factset&amp;display_string=Audit"}</definedName>
    <definedName name="_1144__FDSAUDITLINK__" hidden="1">{"fdsup://Directions/FactSet Auditing Viewer?action=AUDIT_VALUE&amp;DB=129&amp;ID1=87416110&amp;VALUEID=02101&amp;SDATE=200801&amp;PERIODTYPE=QTR_STD&amp;window=popup_no_bar&amp;width=385&amp;height=120&amp;START_MAXIMIZED=FALSE&amp;creator=factset&amp;display_string=Audit"}</definedName>
    <definedName name="_1145__FDSAUDITLINK__" hidden="1">{"fdsup://Directions/FactSet Auditing Viewer?action=AUDIT_VALUE&amp;DB=129&amp;ID1=87416110&amp;VALUEID=01001&amp;SDATE=200801&amp;PERIODTYPE=QTR_STD&amp;window=popup_no_bar&amp;width=385&amp;height=120&amp;START_MAXIMIZED=FALSE&amp;creator=factset&amp;display_string=Audit"}</definedName>
    <definedName name="_1146__FDSAUDITLINK__" hidden="1">{"fdsup://Directions/FactSet Auditing Viewer?action=AUDIT_VALUE&amp;DB=129&amp;ID1=53271610&amp;VALUEID=02101&amp;SDATE=200801&amp;PERIODTYPE=QTR_STD&amp;window=popup_no_bar&amp;width=385&amp;height=120&amp;START_MAXIMIZED=FALSE&amp;creator=factset&amp;display_string=Audit"}</definedName>
    <definedName name="_1147__FDSAUDITLINK__" hidden="1">{"fdsup://Directions/FactSet Auditing Viewer?action=AUDIT_VALUE&amp;DB=129&amp;ID1=53271610&amp;VALUEID=01001&amp;SDATE=200801&amp;PERIODTYPE=QTR_STD&amp;window=popup_no_bar&amp;width=385&amp;height=120&amp;START_MAXIMIZED=FALSE&amp;creator=factset&amp;display_string=Audit"}</definedName>
    <definedName name="_1148__FDSAUDITLINK__" hidden="1">{"fdsup://Directions/FactSet Auditing Viewer?action=AUDIT_VALUE&amp;DB=129&amp;ID1=53271610&amp;VALUEID=13040&amp;SDATE=200801&amp;PERIODTYPE=QTR_STD&amp;window=popup_no_bar&amp;width=385&amp;height=120&amp;START_MAXIMIZED=FALSE&amp;creator=factset&amp;display_string=Audit"}</definedName>
    <definedName name="_1149__FDSAUDITLINK__" hidden="1">{"fdsup://Directions/FactSet Auditing Viewer?action=AUDIT_VALUE&amp;DB=129&amp;ID1=46612H40&amp;VALUEID=02101&amp;SDATE=200801&amp;PERIODTYPE=QTR_STD&amp;window=popup_no_bar&amp;width=385&amp;height=120&amp;START_MAXIMIZED=FALSE&amp;creator=factset&amp;display_string=Audit"}</definedName>
    <definedName name="_115__FDSAUDITLINK__" hidden="1">{"fdsup://Directions/FactSet Auditing Viewer?action=AUDIT_VALUE&amp;DB=129&amp;ID1=46612H40&amp;VALUEID=01001&amp;SDATE=200803&amp;PERIODTYPE=QTR_STD&amp;window=popup_no_bar&amp;width=385&amp;height=120&amp;START_MAXIMIZED=FALSE&amp;creator=factset&amp;display_string=Audit"}</definedName>
    <definedName name="_1150__FDSAUDITLINK__" hidden="1">{"fdsup://Directions/FactSet Auditing Viewer?action=AUDIT_VALUE&amp;DB=129&amp;ID1=46612H40&amp;VALUEID=01001&amp;SDATE=200801&amp;PERIODTYPE=QTR_STD&amp;window=popup_no_bar&amp;width=385&amp;height=120&amp;START_MAXIMIZED=FALSE&amp;creator=factset&amp;display_string=Audit"}</definedName>
    <definedName name="_1151__FDSAUDITLINK__" hidden="1">{"fdsup://Directions/FactSet Auditing Viewer?action=AUDIT_VALUE&amp;DB=129&amp;ID1=46612H40&amp;VALUEID=13040&amp;SDATE=200801&amp;PERIODTYPE=QTR_STD&amp;window=popup_no_bar&amp;width=385&amp;height=120&amp;START_MAXIMIZED=FALSE&amp;creator=factset&amp;display_string=Audit"}</definedName>
    <definedName name="_1152__FDSAUDITLINK__" hidden="1">{"fdsup://Directions/FactSet Auditing Viewer?action=AUDIT_VALUE&amp;DB=129&amp;ID1=36476010&amp;VALUEID=02101&amp;SDATE=200801&amp;PERIODTYPE=QTR_STD&amp;window=popup_no_bar&amp;width=385&amp;height=120&amp;START_MAXIMIZED=FALSE&amp;creator=factset&amp;display_string=Audit"}</definedName>
    <definedName name="_1153__FDSAUDITLINK__" hidden="1">{"fdsup://Directions/FactSet Auditing Viewer?action=AUDIT_VALUE&amp;DB=129&amp;ID1=36476010&amp;VALUEID=01001&amp;SDATE=200801&amp;PERIODTYPE=QTR_STD&amp;window=popup_no_bar&amp;width=385&amp;height=120&amp;START_MAXIMIZED=FALSE&amp;creator=factset&amp;display_string=Audit"}</definedName>
    <definedName name="_1154__FDSAUDITLINK__" hidden="1">{"fdsup://Directions/FactSet Auditing Viewer?action=AUDIT_VALUE&amp;DB=129&amp;ID1=36476010&amp;VALUEID=13040&amp;SDATE=200801&amp;PERIODTYPE=QTR_STD&amp;window=popup_no_bar&amp;width=385&amp;height=120&amp;START_MAXIMIZED=FALSE&amp;creator=factset&amp;display_string=Audit"}</definedName>
    <definedName name="_1155__FDSAUDITLINK__" hidden="1">{"fdsup://Directions/FactSet Auditing Viewer?action=AUDIT_VALUE&amp;DB=129&amp;ID1=03611510&amp;VALUEID=02101&amp;SDATE=200801&amp;PERIODTYPE=QTR_STD&amp;window=popup_no_bar&amp;width=385&amp;height=120&amp;START_MAXIMIZED=FALSE&amp;creator=factset&amp;display_string=Audit"}</definedName>
    <definedName name="_1156__FDSAUDITLINK__" hidden="1">{"fdsup://Directions/FactSet Auditing Viewer?action=AUDIT_VALUE&amp;DB=129&amp;ID1=03611510&amp;VALUEID=01001&amp;SDATE=200801&amp;PERIODTYPE=QTR_STD&amp;window=popup_no_bar&amp;width=385&amp;height=120&amp;START_MAXIMIZED=FALSE&amp;creator=factset&amp;display_string=Audit"}</definedName>
    <definedName name="_1157__FDSAUDITLINK__" hidden="1">{"fdsup://Directions/FactSet Auditing Viewer?action=AUDIT_VALUE&amp;DB=129&amp;ID1=03611510&amp;VALUEID=13040&amp;SDATE=200801&amp;PERIODTYPE=QTR_STD&amp;window=popup_no_bar&amp;width=385&amp;height=120&amp;START_MAXIMIZED=FALSE&amp;creator=factset&amp;display_string=Audit"}</definedName>
    <definedName name="_1158__FDSAUDITLINK__" hidden="1">{"fdsup://Directions/FactSet Auditing Viewer?action=AUDIT_VALUE&amp;DB=129&amp;ID1=16890510&amp;VALUEID=02101&amp;SDATE=200801&amp;PERIODTYPE=QTR_STD&amp;window=popup_no_bar&amp;width=385&amp;height=120&amp;START_MAXIMIZED=FALSE&amp;creator=factset&amp;display_string=Audit"}</definedName>
    <definedName name="_1159__FDSAUDITLINK__" hidden="1">{"fdsup://Directions/FactSet Auditing Viewer?action=AUDIT_VALUE&amp;DB=129&amp;ID1=16890510&amp;VALUEID=01001&amp;SDATE=200801&amp;PERIODTYPE=QTR_STD&amp;window=popup_no_bar&amp;width=385&amp;height=120&amp;START_MAXIMIZED=FALSE&amp;creator=factset&amp;display_string=Audit"}</definedName>
    <definedName name="_116__FDSAUDITLINK__" hidden="1">{"fdsup://Directions/FactSet Auditing Viewer?action=AUDIT_VALUE&amp;DB=129&amp;ID1=46612H40&amp;VALUEID=13040&amp;SDATE=200803&amp;PERIODTYPE=QTR_STD&amp;window=popup_no_bar&amp;width=385&amp;height=120&amp;START_MAXIMIZED=FALSE&amp;creator=factset&amp;display_string=Audit"}</definedName>
    <definedName name="_1160__FDSAUDITLINK__" hidden="1">{"fdsup://Directions/FactSet Auditing Viewer?action=AUDIT_VALUE&amp;DB=129&amp;ID1=91704710&amp;VALUEID=02101&amp;SDATE=200801&amp;PERIODTYPE=QTR_STD&amp;window=popup_no_bar&amp;width=385&amp;height=120&amp;START_MAXIMIZED=FALSE&amp;creator=factset&amp;display_string=Audit"}</definedName>
    <definedName name="_1161__FDSAUDITLINK__" hidden="1">{"fdsup://Directions/FactSet Auditing Viewer?action=AUDIT_VALUE&amp;DB=129&amp;ID1=91704710&amp;VALUEID=01001&amp;SDATE=200801&amp;PERIODTYPE=QTR_STD&amp;window=popup_no_bar&amp;width=385&amp;height=120&amp;START_MAXIMIZED=FALSE&amp;creator=factset&amp;display_string=Audit"}</definedName>
    <definedName name="_1162__FDSAUDITLINK__" hidden="1">{"fdsup://Directions/FactSet Auditing Viewer?action=AUDIT_VALUE&amp;DB=129&amp;ID1=91704710&amp;VALUEID=13040&amp;SDATE=200801&amp;PERIODTYPE=QTR_STD&amp;window=popup_no_bar&amp;width=385&amp;height=120&amp;START_MAXIMIZED=FALSE&amp;creator=factset&amp;display_string=Audit"}</definedName>
    <definedName name="_1163__FDSAUDITLINK__" hidden="1">{"fdsup://Directions/FactSet Auditing Viewer?action=AUDIT_VALUE&amp;DB=129&amp;ID1=02553E10&amp;VALUEID=02101&amp;SDATE=200801&amp;PERIODTYPE=QTR_STD&amp;window=popup_no_bar&amp;width=385&amp;height=120&amp;START_MAXIMIZED=FALSE&amp;creator=factset&amp;display_string=Audit"}</definedName>
    <definedName name="_1164__FDSAUDITLINK__" hidden="1">{"fdsup://Directions/FactSet Auditing Viewer?action=AUDIT_VALUE&amp;DB=129&amp;ID1=02553E10&amp;VALUEID=01001&amp;SDATE=200801&amp;PERIODTYPE=QTR_STD&amp;window=popup_no_bar&amp;width=385&amp;height=120&amp;START_MAXIMIZED=FALSE&amp;creator=factset&amp;display_string=Audit"}</definedName>
    <definedName name="_1165__FDSAUDITLINK__" hidden="1">{"fdsup://Directions/FactSet Auditing Viewer?action=AUDIT_VALUE&amp;DB=129&amp;ID1=02553E10&amp;VALUEID=13040&amp;SDATE=200801&amp;PERIODTYPE=QTR_STD&amp;window=popup_no_bar&amp;width=385&amp;height=120&amp;START_MAXIMIZED=FALSE&amp;creator=factset&amp;display_string=Audit"}</definedName>
    <definedName name="_1166__FDSAUDITLINK__" hidden="1">{"fdsup://Directions/FactSet Auditing Viewer?action=AUDIT_VALUE&amp;DB=129&amp;ID1=00786510&amp;VALUEID=02101&amp;SDATE=200801&amp;PERIODTYPE=QTR_STD&amp;window=popup_no_bar&amp;width=385&amp;height=120&amp;START_MAXIMIZED=FALSE&amp;creator=factset&amp;display_string=Audit"}</definedName>
    <definedName name="_1167__FDSAUDITLINK__" hidden="1">{"fdsup://Directions/FactSet Auditing Viewer?action=AUDIT_VALUE&amp;DB=129&amp;ID1=00786510&amp;VALUEID=01001&amp;SDATE=200801&amp;PERIODTYPE=QTR_STD&amp;window=popup_no_bar&amp;width=385&amp;height=120&amp;START_MAXIMIZED=FALSE&amp;creator=factset&amp;display_string=Audit"}</definedName>
    <definedName name="_1168__FDSAUDITLINK__" hidden="1">{"fdsup://Directions/FactSet Auditing Viewer?action=AUDIT_VALUE&amp;DB=129&amp;ID1=00786510&amp;VALUEID=13040&amp;SDATE=200801&amp;PERIODTYPE=QTR_STD&amp;window=popup_no_bar&amp;width=385&amp;height=120&amp;START_MAXIMIZED=FALSE&amp;creator=factset&amp;display_string=Audit"}</definedName>
    <definedName name="_1169__FDSAUDITLINK__" hidden="1">{"fdsup://Directions/FactSet Auditing Viewer?action=AUDIT_VALUE&amp;DB=129&amp;ID1=00289620&amp;VALUEID=02101&amp;SDATE=200801&amp;PERIODTYPE=QTR_STD&amp;window=popup_no_bar&amp;width=385&amp;height=120&amp;START_MAXIMIZED=FALSE&amp;creator=factset&amp;display_string=Audit"}</definedName>
    <definedName name="_117__FDSAUDITLINK__" hidden="1">{"fdsup://Directions/FactSet Auditing Viewer?action=AUDIT_VALUE&amp;DB=129&amp;ID1=36476010&amp;VALUEID=02101&amp;SDATE=200803&amp;PERIODTYPE=QTR_STD&amp;window=popup_no_bar&amp;width=385&amp;height=120&amp;START_MAXIMIZED=FALSE&amp;creator=factset&amp;display_string=Audit"}</definedName>
    <definedName name="_1170__FDSAUDITLINK__" hidden="1">{"fdsup://Directions/FactSet Auditing Viewer?action=AUDIT_VALUE&amp;DB=129&amp;ID1=00289620&amp;VALUEID=01001&amp;SDATE=200801&amp;PERIODTYPE=QTR_STD&amp;window=popup_no_bar&amp;width=385&amp;height=120&amp;START_MAXIMIZED=FALSE&amp;creator=factset&amp;display_string=Audit"}</definedName>
    <definedName name="_1171__FDSAUDITLINK__" hidden="1">{"fdsup://Directions/FactSet Auditing Viewer?action=AUDIT_VALUE&amp;DB=129&amp;ID1=00289620&amp;VALUEID=13040&amp;SDATE=200801&amp;PERIODTYPE=QTR_STD&amp;window=popup_no_bar&amp;width=385&amp;height=120&amp;START_MAXIMIZED=FALSE&amp;creator=factset&amp;display_string=Audit"}</definedName>
    <definedName name="_1172__FDSAUDITLINK__" hidden="1">{"fdsup://Directions/FactSet Auditing Viewer?action=AUDIT_VALUE&amp;DB=129&amp;ID1=87416110&amp;VALUEID=01001&amp;SDATE=200704&amp;PERIODTYPE=QTR_STD&amp;window=popup_no_bar&amp;width=385&amp;height=120&amp;START_MAXIMIZED=FALSE&amp;creator=factset&amp;display_string=Audit"}</definedName>
    <definedName name="_1173__FDSAUDITLINK__" hidden="1">{"fdsup://Directions/FactSet Auditing Viewer?action=AUDIT_VALUE&amp;DB=129&amp;ID1=46612H40&amp;VALUEID=01001&amp;SDATE=200704&amp;PERIODTYPE=QTR_STD&amp;window=popup_no_bar&amp;width=385&amp;height=120&amp;START_MAXIMIZED=FALSE&amp;creator=factset&amp;display_string=Audit"}</definedName>
    <definedName name="_1174__FDSAUDITLINK__" hidden="1">{"fdsup://Directions/FactSet Auditing Viewer?action=AUDIT_VALUE&amp;DB=129&amp;ID1=46612H40&amp;VALUEID=13040&amp;SDATE=200704&amp;PERIODTYPE=QTR_STD&amp;window=popup_no_bar&amp;width=385&amp;height=120&amp;START_MAXIMIZED=FALSE&amp;creator=factset&amp;display_string=Audit"}</definedName>
    <definedName name="_1175__FDSAUDITLINK__" hidden="1">{"fdsup://Directions/FactSet Auditing Viewer?action=AUDIT_VALUE&amp;DB=129&amp;ID1=36476010&amp;VALUEID=01001&amp;SDATE=200704&amp;PERIODTYPE=QTR_STD&amp;window=popup_no_bar&amp;width=385&amp;height=120&amp;START_MAXIMIZED=FALSE&amp;creator=factset&amp;display_string=Audit"}</definedName>
    <definedName name="_1176__FDSAUDITLINK__" hidden="1">{"fdsup://Directions/FactSet Auditing Viewer?action=AUDIT_VALUE&amp;DB=129&amp;ID1=03611510&amp;VALUEID=01001&amp;SDATE=200704&amp;PERIODTYPE=QTR_STD&amp;window=popup_no_bar&amp;width=385&amp;height=120&amp;START_MAXIMIZED=FALSE&amp;creator=factset&amp;display_string=Audit"}</definedName>
    <definedName name="_1177__FDSAUDITLINK__" hidden="1">{"fdsup://Directions/FactSet Auditing Viewer?action=AUDIT_VALUE&amp;DB=129&amp;ID1=03611510&amp;VALUEID=13040&amp;SDATE=200704&amp;PERIODTYPE=QTR_STD&amp;window=popup_no_bar&amp;width=385&amp;height=120&amp;START_MAXIMIZED=FALSE&amp;creator=factset&amp;display_string=Audit"}</definedName>
    <definedName name="_1178__FDSAUDITLINK__" hidden="1">{"fdsup://Directions/FactSet Auditing Viewer?action=AUDIT_VALUE&amp;DB=129&amp;ID1=16890510&amp;VALUEID=01001&amp;SDATE=200704&amp;PERIODTYPE=QTR_STD&amp;window=popup_no_bar&amp;width=385&amp;height=120&amp;START_MAXIMIZED=FALSE&amp;creator=factset&amp;display_string=Audit"}</definedName>
    <definedName name="_1179__FDSAUDITLINK__" hidden="1">{"fdsup://Directions/FactSet Auditing Viewer?action=AUDIT_VALUE&amp;DB=129&amp;ID1=00786510&amp;VALUEID=01001&amp;SDATE=200704&amp;PERIODTYPE=QTR_STD&amp;window=popup_no_bar&amp;width=385&amp;height=120&amp;START_MAXIMIZED=FALSE&amp;creator=factset&amp;display_string=Audit"}</definedName>
    <definedName name="_118__FDSAUDITLINK__" hidden="1">{"fdsup://Directions/FactSet Auditing Viewer?action=AUDIT_VALUE&amp;DB=129&amp;ID1=36476010&amp;VALUEID=01001&amp;SDATE=200803&amp;PERIODTYPE=QTR_STD&amp;window=popup_no_bar&amp;width=385&amp;height=120&amp;START_MAXIMIZED=FALSE&amp;creator=factset&amp;display_string=Audit"}</definedName>
    <definedName name="_1180__FDSAUDITLINK__" hidden="1">{"fdsup://Directions/FactSet Auditing Viewer?action=AUDIT_VALUE&amp;DB=129&amp;ID1=87416110&amp;VALUEID=02101&amp;SDATE=200703&amp;PERIODTYPE=QTR_STD&amp;window=popup_no_bar&amp;width=385&amp;height=120&amp;START_MAXIMIZED=FALSE&amp;creator=factset&amp;display_string=Audit"}</definedName>
    <definedName name="_1181__FDSAUDITLINK__" hidden="1">{"fdsup://Directions/FactSet Auditing Viewer?action=AUDIT_VALUE&amp;DB=129&amp;ID1=87416110&amp;VALUEID=01001&amp;SDATE=200703&amp;PERIODTYPE=QTR_STD&amp;window=popup_no_bar&amp;width=385&amp;height=120&amp;START_MAXIMIZED=FALSE&amp;creator=factset&amp;display_string=Audit"}</definedName>
    <definedName name="_1182__FDSAUDITLINK__" hidden="1">{"fdsup://Directions/FactSet Auditing Viewer?action=AUDIT_VALUE&amp;DB=129&amp;ID1=53271610&amp;VALUEID=02101&amp;SDATE=200703&amp;PERIODTYPE=QTR_STD&amp;window=popup_no_bar&amp;width=385&amp;height=120&amp;START_MAXIMIZED=FALSE&amp;creator=factset&amp;display_string=Audit"}</definedName>
    <definedName name="_1183__FDSAUDITLINK__" hidden="1">{"fdsup://Directions/FactSet Auditing Viewer?action=AUDIT_VALUE&amp;DB=129&amp;ID1=53271610&amp;VALUEID=01001&amp;SDATE=200703&amp;PERIODTYPE=QTR_STD&amp;window=popup_no_bar&amp;width=385&amp;height=120&amp;START_MAXIMIZED=FALSE&amp;creator=factset&amp;display_string=Audit"}</definedName>
    <definedName name="_1184__FDSAUDITLINK__" hidden="1">{"fdsup://Directions/FactSet Auditing Viewer?action=AUDIT_VALUE&amp;DB=129&amp;ID1=53271610&amp;VALUEID=13040&amp;SDATE=200703&amp;PERIODTYPE=QTR_STD&amp;window=popup_no_bar&amp;width=385&amp;height=120&amp;START_MAXIMIZED=FALSE&amp;creator=factset&amp;display_string=Audit"}</definedName>
    <definedName name="_1185__FDSAUDITLINK__" hidden="1">{"fdsup://Directions/FactSet Auditing Viewer?action=AUDIT_VALUE&amp;DB=129&amp;ID1=46612H40&amp;VALUEID=02101&amp;SDATE=200703&amp;PERIODTYPE=QTR_STD&amp;window=popup_no_bar&amp;width=385&amp;height=120&amp;START_MAXIMIZED=FALSE&amp;creator=factset&amp;display_string=Audit"}</definedName>
    <definedName name="_1186__FDSAUDITLINK__" hidden="1">{"fdsup://Directions/FactSet Auditing Viewer?action=AUDIT_VALUE&amp;DB=129&amp;ID1=46612H40&amp;VALUEID=01001&amp;SDATE=200703&amp;PERIODTYPE=QTR_STD&amp;window=popup_no_bar&amp;width=385&amp;height=120&amp;START_MAXIMIZED=FALSE&amp;creator=factset&amp;display_string=Audit"}</definedName>
    <definedName name="_1187__FDSAUDITLINK__" hidden="1">{"fdsup://Directions/FactSet Auditing Viewer?action=AUDIT_VALUE&amp;DB=129&amp;ID1=46612H40&amp;VALUEID=13040&amp;SDATE=200703&amp;PERIODTYPE=QTR_STD&amp;window=popup_no_bar&amp;width=385&amp;height=120&amp;START_MAXIMIZED=FALSE&amp;creator=factset&amp;display_string=Audit"}</definedName>
    <definedName name="_1188__FDSAUDITLINK__" hidden="1">{"fdsup://Directions/FactSet Auditing Viewer?action=AUDIT_VALUE&amp;DB=129&amp;ID1=36476010&amp;VALUEID=02101&amp;SDATE=200703&amp;PERIODTYPE=QTR_STD&amp;window=popup_no_bar&amp;width=385&amp;height=120&amp;START_MAXIMIZED=FALSE&amp;creator=factset&amp;display_string=Audit"}</definedName>
    <definedName name="_1189__FDSAUDITLINK__" hidden="1">{"fdsup://Directions/FactSet Auditing Viewer?action=AUDIT_VALUE&amp;DB=129&amp;ID1=36476010&amp;VALUEID=01001&amp;SDATE=200703&amp;PERIODTYPE=QTR_STD&amp;window=popup_no_bar&amp;width=385&amp;height=120&amp;START_MAXIMIZED=FALSE&amp;creator=factset&amp;display_string=Audit"}</definedName>
    <definedName name="_119__FDSAUDITLINK__" hidden="1">{"fdsup://Directions/FactSet Auditing Viewer?action=AUDIT_VALUE&amp;DB=129&amp;ID1=36476010&amp;VALUEID=13040&amp;SDATE=200803&amp;PERIODTYPE=QTR_STD&amp;window=popup_no_bar&amp;width=385&amp;height=120&amp;START_MAXIMIZED=FALSE&amp;creator=factset&amp;display_string=Audit"}</definedName>
    <definedName name="_1190__FDSAUDITLINK__" hidden="1">{"fdsup://Directions/FactSet Auditing Viewer?action=AUDIT_VALUE&amp;DB=129&amp;ID1=36476010&amp;VALUEID=13040&amp;SDATE=200703&amp;PERIODTYPE=QTR_STD&amp;window=popup_no_bar&amp;width=385&amp;height=120&amp;START_MAXIMIZED=FALSE&amp;creator=factset&amp;display_string=Audit"}</definedName>
    <definedName name="_1191__FDSAUDITLINK__" hidden="1">{"fdsup://Directions/FactSet Auditing Viewer?action=AUDIT_VALUE&amp;DB=129&amp;ID1=03611510&amp;VALUEID=02101&amp;SDATE=200703&amp;PERIODTYPE=QTR_STD&amp;window=popup_no_bar&amp;width=385&amp;height=120&amp;START_MAXIMIZED=FALSE&amp;creator=factset&amp;display_string=Audit"}</definedName>
    <definedName name="_1192__FDSAUDITLINK__" hidden="1">{"fdsup://Directions/FactSet Auditing Viewer?action=AUDIT_VALUE&amp;DB=129&amp;ID1=03611510&amp;VALUEID=01001&amp;SDATE=200703&amp;PERIODTYPE=QTR_STD&amp;window=popup_no_bar&amp;width=385&amp;height=120&amp;START_MAXIMIZED=FALSE&amp;creator=factset&amp;display_string=Audit"}</definedName>
    <definedName name="_1193__FDSAUDITLINK__" hidden="1">{"fdsup://Directions/FactSet Auditing Viewer?action=AUDIT_VALUE&amp;DB=129&amp;ID1=03611510&amp;VALUEID=13040&amp;SDATE=200703&amp;PERIODTYPE=QTR_STD&amp;window=popup_no_bar&amp;width=385&amp;height=120&amp;START_MAXIMIZED=FALSE&amp;creator=factset&amp;display_string=Audit"}</definedName>
    <definedName name="_1194__FDSAUDITLINK__" hidden="1">{"fdsup://Directions/FactSet Auditing Viewer?action=AUDIT_VALUE&amp;DB=129&amp;ID1=16890510&amp;VALUEID=02101&amp;SDATE=200703&amp;PERIODTYPE=QTR_STD&amp;window=popup_no_bar&amp;width=385&amp;height=120&amp;START_MAXIMIZED=FALSE&amp;creator=factset&amp;display_string=Audit"}</definedName>
    <definedName name="_1195__FDSAUDITLINK__" hidden="1">{"fdsup://Directions/FactSet Auditing Viewer?action=AUDIT_VALUE&amp;DB=129&amp;ID1=16890510&amp;VALUEID=01001&amp;SDATE=200703&amp;PERIODTYPE=QTR_STD&amp;window=popup_no_bar&amp;width=385&amp;height=120&amp;START_MAXIMIZED=FALSE&amp;creator=factset&amp;display_string=Audit"}</definedName>
    <definedName name="_1196__FDSAUDITLINK__" hidden="1">{"fdsup://Directions/FactSet Auditing Viewer?action=AUDIT_VALUE&amp;DB=129&amp;ID1=91704710&amp;VALUEID=02101&amp;SDATE=200703&amp;PERIODTYPE=QTR_STD&amp;window=popup_no_bar&amp;width=385&amp;height=120&amp;START_MAXIMIZED=FALSE&amp;creator=factset&amp;display_string=Audit"}</definedName>
    <definedName name="_1197__FDSAUDITLINK__" hidden="1">{"fdsup://Directions/FactSet Auditing Viewer?action=AUDIT_VALUE&amp;DB=129&amp;ID1=91704710&amp;VALUEID=01001&amp;SDATE=200703&amp;PERIODTYPE=QTR_STD&amp;window=popup_no_bar&amp;width=385&amp;height=120&amp;START_MAXIMIZED=FALSE&amp;creator=factset&amp;display_string=Audit"}</definedName>
    <definedName name="_1198__FDSAUDITLINK__" hidden="1">{"fdsup://Directions/FactSet Auditing Viewer?action=AUDIT_VALUE&amp;DB=129&amp;ID1=91704710&amp;VALUEID=13040&amp;SDATE=200703&amp;PERIODTYPE=QTR_STD&amp;window=popup_no_bar&amp;width=385&amp;height=120&amp;START_MAXIMIZED=FALSE&amp;creator=factset&amp;display_string=Audit"}</definedName>
    <definedName name="_1199__FDSAUDITLINK__" hidden="1">{"fdsup://Directions/FactSet Auditing Viewer?action=AUDIT_VALUE&amp;DB=129&amp;ID1=02553E10&amp;VALUEID=02101&amp;SDATE=200703&amp;PERIODTYPE=QTR_STD&amp;window=popup_no_bar&amp;width=385&amp;height=120&amp;START_MAXIMIZED=FALSE&amp;creator=factset&amp;display_string=Audit"}</definedName>
    <definedName name="_12__FDSAUDITLINK__" hidden="1">{"fdsup://Directions/FactSet Auditing Viewer?action=AUDIT_VALUE&amp;DB=129&amp;ID1=16890510&amp;VALUEID=02101&amp;SDATE=201001&amp;PERIODTYPE=QTR_STD&amp;window=popup_no_bar&amp;width=385&amp;height=120&amp;START_MAXIMIZED=FALSE&amp;creator=factset&amp;display_string=Audit"}</definedName>
    <definedName name="_120__FDSAUDITLINK__" hidden="1">{"fdsup://Directions/FactSet Auditing Viewer?action=AUDIT_VALUE&amp;DB=129&amp;ID1=03611510&amp;VALUEID=02101&amp;SDATE=200803&amp;PERIODTYPE=QTR_STD&amp;window=popup_no_bar&amp;width=385&amp;height=120&amp;START_MAXIMIZED=FALSE&amp;creator=factset&amp;display_string=Audit"}</definedName>
    <definedName name="_1200__FDSAUDITLINK__" hidden="1">{"fdsup://Directions/FactSet Auditing Viewer?action=AUDIT_VALUE&amp;DB=129&amp;ID1=02553E10&amp;VALUEID=01001&amp;SDATE=200703&amp;PERIODTYPE=QTR_STD&amp;window=popup_no_bar&amp;width=385&amp;height=120&amp;START_MAXIMIZED=FALSE&amp;creator=factset&amp;display_string=Audit"}</definedName>
    <definedName name="_1201__FDSAUDITLINK__" hidden="1">{"fdsup://Directions/FactSet Auditing Viewer?action=AUDIT_VALUE&amp;DB=129&amp;ID1=00786510&amp;VALUEID=02101&amp;SDATE=200703&amp;PERIODTYPE=QTR_STD&amp;window=popup_no_bar&amp;width=385&amp;height=120&amp;START_MAXIMIZED=FALSE&amp;creator=factset&amp;display_string=Audit"}</definedName>
    <definedName name="_1202__FDSAUDITLINK__" hidden="1">{"fdsup://Directions/FactSet Auditing Viewer?action=AUDIT_VALUE&amp;DB=129&amp;ID1=00786510&amp;VALUEID=01001&amp;SDATE=200703&amp;PERIODTYPE=QTR_STD&amp;window=popup_no_bar&amp;width=385&amp;height=120&amp;START_MAXIMIZED=FALSE&amp;creator=factset&amp;display_string=Audit"}</definedName>
    <definedName name="_1203__FDSAUDITLINK__" hidden="1">{"fdsup://Directions/FactSet Auditing Viewer?action=AUDIT_VALUE&amp;DB=129&amp;ID1=00786510&amp;VALUEID=13040&amp;SDATE=200703&amp;PERIODTYPE=QTR_STD&amp;window=popup_no_bar&amp;width=385&amp;height=120&amp;START_MAXIMIZED=FALSE&amp;creator=factset&amp;display_string=Audit"}</definedName>
    <definedName name="_1204__FDSAUDITLINK__" hidden="1">{"fdsup://Directions/FactSet Auditing Viewer?action=AUDIT_VALUE&amp;DB=129&amp;ID1=00289620&amp;VALUEID=02101&amp;SDATE=200703&amp;PERIODTYPE=QTR_STD&amp;window=popup_no_bar&amp;width=385&amp;height=120&amp;START_MAXIMIZED=FALSE&amp;creator=factset&amp;display_string=Audit"}</definedName>
    <definedName name="_1205__FDSAUDITLINK__" hidden="1">{"fdsup://Directions/FactSet Auditing Viewer?action=AUDIT_VALUE&amp;DB=129&amp;ID1=00289620&amp;VALUEID=01001&amp;SDATE=200703&amp;PERIODTYPE=QTR_STD&amp;window=popup_no_bar&amp;width=385&amp;height=120&amp;START_MAXIMIZED=FALSE&amp;creator=factset&amp;display_string=Audit"}</definedName>
    <definedName name="_1206__FDSAUDITLINK__" hidden="1">{"fdsup://Directions/FactSet Auditing Viewer?action=AUDIT_VALUE&amp;DB=129&amp;ID1=00289620&amp;VALUEID=13040&amp;SDATE=200703&amp;PERIODTYPE=QTR_STD&amp;window=popup_no_bar&amp;width=385&amp;height=120&amp;START_MAXIMIZED=FALSE&amp;creator=factset&amp;display_string=Audit"}</definedName>
    <definedName name="_1207__FDSAUDITLINK__" hidden="1">{"fdsup://Directions/FactSet Auditing Viewer?action=AUDIT_VALUE&amp;DB=129&amp;ID1=87416110&amp;VALUEID=02101&amp;SDATE=200702&amp;PERIODTYPE=QTR_STD&amp;window=popup_no_bar&amp;width=385&amp;height=120&amp;START_MAXIMIZED=FALSE&amp;creator=factset&amp;display_string=Audit"}</definedName>
    <definedName name="_1208__FDSAUDITLINK__" hidden="1">{"fdsup://Directions/FactSet Auditing Viewer?action=AUDIT_VALUE&amp;DB=129&amp;ID1=87416110&amp;VALUEID=01001&amp;SDATE=200702&amp;PERIODTYPE=QTR_STD&amp;window=popup_no_bar&amp;width=385&amp;height=120&amp;START_MAXIMIZED=FALSE&amp;creator=factset&amp;display_string=Audit"}</definedName>
    <definedName name="_1209__FDSAUDITLINK__" hidden="1">{"fdsup://Directions/FactSet Auditing Viewer?action=AUDIT_VALUE&amp;DB=129&amp;ID1=53271610&amp;VALUEID=02101&amp;SDATE=200702&amp;PERIODTYPE=QTR_STD&amp;window=popup_no_bar&amp;width=385&amp;height=120&amp;START_MAXIMIZED=FALSE&amp;creator=factset&amp;display_string=Audit"}</definedName>
    <definedName name="_121__FDSAUDITLINK__" hidden="1">{"fdsup://Directions/FactSet Auditing Viewer?action=AUDIT_VALUE&amp;DB=129&amp;ID1=03611510&amp;VALUEID=01001&amp;SDATE=200803&amp;PERIODTYPE=QTR_STD&amp;window=popup_no_bar&amp;width=385&amp;height=120&amp;START_MAXIMIZED=FALSE&amp;creator=factset&amp;display_string=Audit"}</definedName>
    <definedName name="_1210__FDSAUDITLINK__" hidden="1">{"fdsup://Directions/FactSet Auditing Viewer?action=AUDIT_VALUE&amp;DB=129&amp;ID1=53271610&amp;VALUEID=01001&amp;SDATE=200702&amp;PERIODTYPE=QTR_STD&amp;window=popup_no_bar&amp;width=385&amp;height=120&amp;START_MAXIMIZED=FALSE&amp;creator=factset&amp;display_string=Audit"}</definedName>
    <definedName name="_1211__FDSAUDITLINK__" hidden="1">{"fdsup://Directions/FactSet Auditing Viewer?action=AUDIT_VALUE&amp;DB=129&amp;ID1=53271610&amp;VALUEID=13040&amp;SDATE=200702&amp;PERIODTYPE=QTR_STD&amp;window=popup_no_bar&amp;width=385&amp;height=120&amp;START_MAXIMIZED=FALSE&amp;creator=factset&amp;display_string=Audit"}</definedName>
    <definedName name="_1212__FDSAUDITLINK__" hidden="1">{"fdsup://Directions/FactSet Auditing Viewer?action=AUDIT_VALUE&amp;DB=129&amp;ID1=46612H40&amp;VALUEID=02101&amp;SDATE=200702&amp;PERIODTYPE=QTR_STD&amp;window=popup_no_bar&amp;width=385&amp;height=120&amp;START_MAXIMIZED=FALSE&amp;creator=factset&amp;display_string=Audit"}</definedName>
    <definedName name="_1213__FDSAUDITLINK__" hidden="1">{"fdsup://Directions/FactSet Auditing Viewer?action=AUDIT_VALUE&amp;DB=129&amp;ID1=46612H40&amp;VALUEID=01001&amp;SDATE=200702&amp;PERIODTYPE=QTR_STD&amp;window=popup_no_bar&amp;width=385&amp;height=120&amp;START_MAXIMIZED=FALSE&amp;creator=factset&amp;display_string=Audit"}</definedName>
    <definedName name="_1214__FDSAUDITLINK__" hidden="1">{"fdsup://Directions/FactSet Auditing Viewer?action=AUDIT_VALUE&amp;DB=129&amp;ID1=46612H40&amp;VALUEID=13040&amp;SDATE=200702&amp;PERIODTYPE=QTR_STD&amp;window=popup_no_bar&amp;width=385&amp;height=120&amp;START_MAXIMIZED=FALSE&amp;creator=factset&amp;display_string=Audit"}</definedName>
    <definedName name="_1215__FDSAUDITLINK__" hidden="1">{"fdsup://Directions/FactSet Auditing Viewer?action=AUDIT_VALUE&amp;DB=129&amp;ID1=36476010&amp;VALUEID=02101&amp;SDATE=200702&amp;PERIODTYPE=QTR_STD&amp;window=popup_no_bar&amp;width=385&amp;height=120&amp;START_MAXIMIZED=FALSE&amp;creator=factset&amp;display_string=Audit"}</definedName>
    <definedName name="_1216__FDSAUDITLINK__" hidden="1">{"fdsup://Directions/FactSet Auditing Viewer?action=AUDIT_VALUE&amp;DB=129&amp;ID1=36476010&amp;VALUEID=01001&amp;SDATE=200702&amp;PERIODTYPE=QTR_STD&amp;window=popup_no_bar&amp;width=385&amp;height=120&amp;START_MAXIMIZED=FALSE&amp;creator=factset&amp;display_string=Audit"}</definedName>
    <definedName name="_1217__FDSAUDITLINK__" hidden="1">{"fdsup://Directions/FactSet Auditing Viewer?action=AUDIT_VALUE&amp;DB=129&amp;ID1=03611510&amp;VALUEID=02101&amp;SDATE=200702&amp;PERIODTYPE=QTR_STD&amp;window=popup_no_bar&amp;width=385&amp;height=120&amp;START_MAXIMIZED=FALSE&amp;creator=factset&amp;display_string=Audit"}</definedName>
    <definedName name="_1218__FDSAUDITLINK__" hidden="1">{"fdsup://Directions/FactSet Auditing Viewer?action=AUDIT_VALUE&amp;DB=129&amp;ID1=03611510&amp;VALUEID=01001&amp;SDATE=200702&amp;PERIODTYPE=QTR_STD&amp;window=popup_no_bar&amp;width=385&amp;height=120&amp;START_MAXIMIZED=FALSE&amp;creator=factset&amp;display_string=Audit"}</definedName>
    <definedName name="_1219__FDSAUDITLINK__" hidden="1">{"fdsup://Directions/FactSet Auditing Viewer?action=AUDIT_VALUE&amp;DB=129&amp;ID1=03611510&amp;VALUEID=13040&amp;SDATE=200702&amp;PERIODTYPE=QTR_STD&amp;window=popup_no_bar&amp;width=385&amp;height=120&amp;START_MAXIMIZED=FALSE&amp;creator=factset&amp;display_string=Audit"}</definedName>
    <definedName name="_122__FDSAUDITLINK__" hidden="1">{"fdsup://Directions/FactSet Auditing Viewer?action=AUDIT_VALUE&amp;DB=129&amp;ID1=16890510&amp;VALUEID=02101&amp;SDATE=200803&amp;PERIODTYPE=QTR_STD&amp;window=popup_no_bar&amp;width=385&amp;height=120&amp;START_MAXIMIZED=FALSE&amp;creator=factset&amp;display_string=Audit"}</definedName>
    <definedName name="_1220__FDSAUDITLINK__" hidden="1">{"fdsup://Directions/FactSet Auditing Viewer?action=AUDIT_VALUE&amp;DB=129&amp;ID1=16890510&amp;VALUEID=02101&amp;SDATE=200702&amp;PERIODTYPE=QTR_STD&amp;window=popup_no_bar&amp;width=385&amp;height=120&amp;START_MAXIMIZED=FALSE&amp;creator=factset&amp;display_string=Audit"}</definedName>
    <definedName name="_1221__FDSAUDITLINK__" hidden="1">{"fdsup://Directions/FactSet Auditing Viewer?action=AUDIT_VALUE&amp;DB=129&amp;ID1=16890510&amp;VALUEID=01001&amp;SDATE=200702&amp;PERIODTYPE=QTR_STD&amp;window=popup_no_bar&amp;width=385&amp;height=120&amp;START_MAXIMIZED=FALSE&amp;creator=factset&amp;display_string=Audit"}</definedName>
    <definedName name="_1222__FDSAUDITLINK__" hidden="1">{"fdsup://Directions/FactSet Auditing Viewer?action=AUDIT_VALUE&amp;DB=129&amp;ID1=91704710&amp;VALUEID=02101&amp;SDATE=200702&amp;PERIODTYPE=QTR_STD&amp;window=popup_no_bar&amp;width=385&amp;height=120&amp;START_MAXIMIZED=FALSE&amp;creator=factset&amp;display_string=Audit"}</definedName>
    <definedName name="_1223__FDSAUDITLINK__" hidden="1">{"fdsup://Directions/FactSet Auditing Viewer?action=AUDIT_VALUE&amp;DB=129&amp;ID1=91704710&amp;VALUEID=01001&amp;SDATE=200702&amp;PERIODTYPE=QTR_STD&amp;window=popup_no_bar&amp;width=385&amp;height=120&amp;START_MAXIMIZED=FALSE&amp;creator=factset&amp;display_string=Audit"}</definedName>
    <definedName name="_1224__FDSAUDITLINK__" hidden="1">{"fdsup://Directions/FactSet Auditing Viewer?action=AUDIT_VALUE&amp;DB=129&amp;ID1=91704710&amp;VALUEID=13040&amp;SDATE=200702&amp;PERIODTYPE=QTR_STD&amp;window=popup_no_bar&amp;width=385&amp;height=120&amp;START_MAXIMIZED=FALSE&amp;creator=factset&amp;display_string=Audit"}</definedName>
    <definedName name="_1225__FDSAUDITLINK__" hidden="1">{"fdsup://Directions/FactSet Auditing Viewer?action=AUDIT_VALUE&amp;DB=129&amp;ID1=02553E10&amp;VALUEID=02101&amp;SDATE=200702&amp;PERIODTYPE=QTR_STD&amp;window=popup_no_bar&amp;width=385&amp;height=120&amp;START_MAXIMIZED=FALSE&amp;creator=factset&amp;display_string=Audit"}</definedName>
    <definedName name="_1226__FDSAUDITLINK__" hidden="1">{"fdsup://Directions/FactSet Auditing Viewer?action=AUDIT_VALUE&amp;DB=129&amp;ID1=02553E10&amp;VALUEID=01001&amp;SDATE=200702&amp;PERIODTYPE=QTR_STD&amp;window=popup_no_bar&amp;width=385&amp;height=120&amp;START_MAXIMIZED=FALSE&amp;creator=factset&amp;display_string=Audit"}</definedName>
    <definedName name="_1227__FDSAUDITLINK__" hidden="1">{"fdsup://Directions/FactSet Auditing Viewer?action=AUDIT_VALUE&amp;DB=129&amp;ID1=02553E10&amp;VALUEID=13040&amp;SDATE=200702&amp;PERIODTYPE=QTR_STD&amp;window=popup_no_bar&amp;width=385&amp;height=120&amp;START_MAXIMIZED=FALSE&amp;creator=factset&amp;display_string=Audit"}</definedName>
    <definedName name="_1228__FDSAUDITLINK__" hidden="1">{"fdsup://Directions/FactSet Auditing Viewer?action=AUDIT_VALUE&amp;DB=129&amp;ID1=00786510&amp;VALUEID=02101&amp;SDATE=200702&amp;PERIODTYPE=QTR_STD&amp;window=popup_no_bar&amp;width=385&amp;height=120&amp;START_MAXIMIZED=FALSE&amp;creator=factset&amp;display_string=Audit"}</definedName>
    <definedName name="_1229__FDSAUDITLINK__" hidden="1">{"fdsup://Directions/FactSet Auditing Viewer?action=AUDIT_VALUE&amp;DB=129&amp;ID1=00786510&amp;VALUEID=01001&amp;SDATE=200702&amp;PERIODTYPE=QTR_STD&amp;window=popup_no_bar&amp;width=385&amp;height=120&amp;START_MAXIMIZED=FALSE&amp;creator=factset&amp;display_string=Audit"}</definedName>
    <definedName name="_123__FDSAUDITLINK__" hidden="1">{"fdsup://Directions/FactSet Auditing Viewer?action=AUDIT_VALUE&amp;DB=129&amp;ID1=16890510&amp;VALUEID=01001&amp;SDATE=200803&amp;PERIODTYPE=QTR_STD&amp;window=popup_no_bar&amp;width=385&amp;height=120&amp;START_MAXIMIZED=FALSE&amp;creator=factset&amp;display_string=Audit"}</definedName>
    <definedName name="_1230__FDSAUDITLINK__" hidden="1">{"fdsup://Directions/FactSet Auditing Viewer?action=AUDIT_VALUE&amp;DB=129&amp;ID1=00786510&amp;VALUEID=13040&amp;SDATE=200702&amp;PERIODTYPE=QTR_STD&amp;window=popup_no_bar&amp;width=385&amp;height=120&amp;START_MAXIMIZED=FALSE&amp;creator=factset&amp;display_string=Audit"}</definedName>
    <definedName name="_1231__FDSAUDITLINK__" hidden="1">{"fdsup://Directions/FactSet Auditing Viewer?action=AUDIT_VALUE&amp;DB=129&amp;ID1=00289620&amp;VALUEID=02101&amp;SDATE=200702&amp;PERIODTYPE=QTR_STD&amp;window=popup_no_bar&amp;width=385&amp;height=120&amp;START_MAXIMIZED=FALSE&amp;creator=factset&amp;display_string=Audit"}</definedName>
    <definedName name="_1232__FDSAUDITLINK__" hidden="1">{"fdsup://Directions/FactSet Auditing Viewer?action=AUDIT_VALUE&amp;DB=129&amp;ID1=00289620&amp;VALUEID=01001&amp;SDATE=200702&amp;PERIODTYPE=QTR_STD&amp;window=popup_no_bar&amp;width=385&amp;height=120&amp;START_MAXIMIZED=FALSE&amp;creator=factset&amp;display_string=Audit"}</definedName>
    <definedName name="_1233__FDSAUDITLINK__" hidden="1">{"fdsup://Directions/FactSet Auditing Viewer?action=AUDIT_VALUE&amp;DB=129&amp;ID1=87416110&amp;VALUEID=02101&amp;SDATE=200701&amp;PERIODTYPE=QTR_STD&amp;window=popup_no_bar&amp;width=385&amp;height=120&amp;START_MAXIMIZED=FALSE&amp;creator=factset&amp;display_string=Audit"}</definedName>
    <definedName name="_1234__FDSAUDITLINK__" hidden="1">{"fdsup://Directions/FactSet Auditing Viewer?action=AUDIT_VALUE&amp;DB=129&amp;ID1=87416110&amp;VALUEID=01001&amp;SDATE=200701&amp;PERIODTYPE=QTR_STD&amp;window=popup_no_bar&amp;width=385&amp;height=120&amp;START_MAXIMIZED=FALSE&amp;creator=factset&amp;display_string=Audit"}</definedName>
    <definedName name="_1235__FDSAUDITLINK__" hidden="1">{"fdsup://Directions/FactSet Auditing Viewer?action=AUDIT_VALUE&amp;DB=129&amp;ID1=53271610&amp;VALUEID=02101&amp;SDATE=200701&amp;PERIODTYPE=QTR_STD&amp;window=popup_no_bar&amp;width=385&amp;height=120&amp;START_MAXIMIZED=FALSE&amp;creator=factset&amp;display_string=Audit"}</definedName>
    <definedName name="_1236__FDSAUDITLINK__" hidden="1">{"fdsup://Directions/FactSet Auditing Viewer?action=AUDIT_VALUE&amp;DB=129&amp;ID1=53271610&amp;VALUEID=01001&amp;SDATE=200701&amp;PERIODTYPE=QTR_STD&amp;window=popup_no_bar&amp;width=385&amp;height=120&amp;START_MAXIMIZED=FALSE&amp;creator=factset&amp;display_string=Audit"}</definedName>
    <definedName name="_1237__FDSAUDITLINK__" hidden="1">{"fdsup://Directions/FactSet Auditing Viewer?action=AUDIT_VALUE&amp;DB=129&amp;ID1=53271610&amp;VALUEID=13040&amp;SDATE=200701&amp;PERIODTYPE=QTR_STD&amp;window=popup_no_bar&amp;width=385&amp;height=120&amp;START_MAXIMIZED=FALSE&amp;creator=factset&amp;display_string=Audit"}</definedName>
    <definedName name="_1238__FDSAUDITLINK__" hidden="1">{"fdsup://Directions/FactSet Auditing Viewer?action=AUDIT_VALUE&amp;DB=129&amp;ID1=46612H40&amp;VALUEID=02101&amp;SDATE=200701&amp;PERIODTYPE=QTR_STD&amp;window=popup_no_bar&amp;width=385&amp;height=120&amp;START_MAXIMIZED=FALSE&amp;creator=factset&amp;display_string=Audit"}</definedName>
    <definedName name="_1239__FDSAUDITLINK__" hidden="1">{"fdsup://Directions/FactSet Auditing Viewer?action=AUDIT_VALUE&amp;DB=129&amp;ID1=46612H40&amp;VALUEID=01001&amp;SDATE=200701&amp;PERIODTYPE=QTR_STD&amp;window=popup_no_bar&amp;width=385&amp;height=120&amp;START_MAXIMIZED=FALSE&amp;creator=factset&amp;display_string=Audit"}</definedName>
    <definedName name="_124__FDSAUDITLINK__" hidden="1">{"fdsup://Directions/FactSet Auditing Viewer?action=AUDIT_VALUE&amp;DB=129&amp;ID1=91704710&amp;VALUEID=02101&amp;SDATE=200803&amp;PERIODTYPE=QTR_STD&amp;window=popup_no_bar&amp;width=385&amp;height=120&amp;START_MAXIMIZED=FALSE&amp;creator=factset&amp;display_string=Audit"}</definedName>
    <definedName name="_1240__FDSAUDITLINK__" hidden="1">{"fdsup://Directions/FactSet Auditing Viewer?action=AUDIT_VALUE&amp;DB=129&amp;ID1=46612H40&amp;VALUEID=13040&amp;SDATE=200701&amp;PERIODTYPE=QTR_STD&amp;window=popup_no_bar&amp;width=385&amp;height=120&amp;START_MAXIMIZED=FALSE&amp;creator=factset&amp;display_string=Audit"}</definedName>
    <definedName name="_1241__FDSAUDITLINK__" hidden="1">{"fdsup://Directions/FactSet Auditing Viewer?action=AUDIT_VALUE&amp;DB=129&amp;ID1=36476010&amp;VALUEID=02101&amp;SDATE=200701&amp;PERIODTYPE=QTR_STD&amp;window=popup_no_bar&amp;width=385&amp;height=120&amp;START_MAXIMIZED=FALSE&amp;creator=factset&amp;display_string=Audit"}</definedName>
    <definedName name="_1242__FDSAUDITLINK__" hidden="1">{"fdsup://Directions/FactSet Auditing Viewer?action=AUDIT_VALUE&amp;DB=129&amp;ID1=36476010&amp;VALUEID=01001&amp;SDATE=200701&amp;PERIODTYPE=QTR_STD&amp;window=popup_no_bar&amp;width=385&amp;height=120&amp;START_MAXIMIZED=FALSE&amp;creator=factset&amp;display_string=Audit"}</definedName>
    <definedName name="_1243__FDSAUDITLINK__" hidden="1">{"fdsup://Directions/FactSet Auditing Viewer?action=AUDIT_VALUE&amp;DB=129&amp;ID1=36476010&amp;VALUEID=13040&amp;SDATE=200701&amp;PERIODTYPE=QTR_STD&amp;window=popup_no_bar&amp;width=385&amp;height=120&amp;START_MAXIMIZED=FALSE&amp;creator=factset&amp;display_string=Audit"}</definedName>
    <definedName name="_1244__FDSAUDITLINK__" hidden="1">{"fdsup://Directions/FactSet Auditing Viewer?action=AUDIT_VALUE&amp;DB=129&amp;ID1=03611510&amp;VALUEID=02101&amp;SDATE=200701&amp;PERIODTYPE=QTR_STD&amp;window=popup_no_bar&amp;width=385&amp;height=120&amp;START_MAXIMIZED=FALSE&amp;creator=factset&amp;display_string=Audit"}</definedName>
    <definedName name="_1245__FDSAUDITLINK__" hidden="1">{"fdsup://Directions/FactSet Auditing Viewer?action=AUDIT_VALUE&amp;DB=129&amp;ID1=03611510&amp;VALUEID=01001&amp;SDATE=200701&amp;PERIODTYPE=QTR_STD&amp;window=popup_no_bar&amp;width=385&amp;height=120&amp;START_MAXIMIZED=FALSE&amp;creator=factset&amp;display_string=Audit"}</definedName>
    <definedName name="_1246__FDSAUDITLINK__" hidden="1">{"fdsup://Directions/FactSet Auditing Viewer?action=AUDIT_VALUE&amp;DB=129&amp;ID1=03611510&amp;VALUEID=13040&amp;SDATE=200701&amp;PERIODTYPE=QTR_STD&amp;window=popup_no_bar&amp;width=385&amp;height=120&amp;START_MAXIMIZED=FALSE&amp;creator=factset&amp;display_string=Audit"}</definedName>
    <definedName name="_1247__FDSAUDITLINK__" hidden="1">{"fdsup://Directions/FactSet Auditing Viewer?action=AUDIT_VALUE&amp;DB=129&amp;ID1=16890510&amp;VALUEID=02101&amp;SDATE=200701&amp;PERIODTYPE=QTR_STD&amp;window=popup_no_bar&amp;width=385&amp;height=120&amp;START_MAXIMIZED=FALSE&amp;creator=factset&amp;display_string=Audit"}</definedName>
    <definedName name="_1248__FDSAUDITLINK__" hidden="1">{"fdsup://Directions/FactSet Auditing Viewer?action=AUDIT_VALUE&amp;DB=129&amp;ID1=16890510&amp;VALUEID=01001&amp;SDATE=200701&amp;PERIODTYPE=QTR_STD&amp;window=popup_no_bar&amp;width=385&amp;height=120&amp;START_MAXIMIZED=FALSE&amp;creator=factset&amp;display_string=Audit"}</definedName>
    <definedName name="_1249__FDSAUDITLINK__" hidden="1">{"fdsup://Directions/FactSet Auditing Viewer?action=AUDIT_VALUE&amp;DB=129&amp;ID1=91704710&amp;VALUEID=02101&amp;SDATE=200701&amp;PERIODTYPE=QTR_STD&amp;window=popup_no_bar&amp;width=385&amp;height=120&amp;START_MAXIMIZED=FALSE&amp;creator=factset&amp;display_string=Audit"}</definedName>
    <definedName name="_125__FDSAUDITLINK__" hidden="1">{"fdsup://Directions/FactSet Auditing Viewer?action=AUDIT_VALUE&amp;DB=129&amp;ID1=91704710&amp;VALUEID=01001&amp;SDATE=200803&amp;PERIODTYPE=QTR_STD&amp;window=popup_no_bar&amp;width=385&amp;height=120&amp;START_MAXIMIZED=FALSE&amp;creator=factset&amp;display_string=Audit"}</definedName>
    <definedName name="_1250__FDSAUDITLINK__" hidden="1">{"fdsup://Directions/FactSet Auditing Viewer?action=AUDIT_VALUE&amp;DB=129&amp;ID1=91704710&amp;VALUEID=01001&amp;SDATE=200701&amp;PERIODTYPE=QTR_STD&amp;window=popup_no_bar&amp;width=385&amp;height=120&amp;START_MAXIMIZED=FALSE&amp;creator=factset&amp;display_string=Audit"}</definedName>
    <definedName name="_1251__FDSAUDITLINK__" hidden="1">{"fdsup://Directions/FactSet Auditing Viewer?action=AUDIT_VALUE&amp;DB=129&amp;ID1=91704710&amp;VALUEID=13040&amp;SDATE=200701&amp;PERIODTYPE=QTR_STD&amp;window=popup_no_bar&amp;width=385&amp;height=120&amp;START_MAXIMIZED=FALSE&amp;creator=factset&amp;display_string=Audit"}</definedName>
    <definedName name="_1252__FDSAUDITLINK__" hidden="1">{"fdsup://Directions/FactSet Auditing Viewer?action=AUDIT_VALUE&amp;DB=129&amp;ID1=02553E10&amp;VALUEID=02101&amp;SDATE=200701&amp;PERIODTYPE=QTR_STD&amp;window=popup_no_bar&amp;width=385&amp;height=120&amp;START_MAXIMIZED=FALSE&amp;creator=factset&amp;display_string=Audit"}</definedName>
    <definedName name="_1253__FDSAUDITLINK__" hidden="1">{"fdsup://Directions/FactSet Auditing Viewer?action=AUDIT_VALUE&amp;DB=129&amp;ID1=02553E10&amp;VALUEID=01001&amp;SDATE=200701&amp;PERIODTYPE=QTR_STD&amp;window=popup_no_bar&amp;width=385&amp;height=120&amp;START_MAXIMIZED=FALSE&amp;creator=factset&amp;display_string=Audit"}</definedName>
    <definedName name="_1254__FDSAUDITLINK__" hidden="1">{"fdsup://Directions/FactSet Auditing Viewer?action=AUDIT_VALUE&amp;DB=129&amp;ID1=02553E10&amp;VALUEID=13040&amp;SDATE=200701&amp;PERIODTYPE=QTR_STD&amp;window=popup_no_bar&amp;width=385&amp;height=120&amp;START_MAXIMIZED=FALSE&amp;creator=factset&amp;display_string=Audit"}</definedName>
    <definedName name="_1255__FDSAUDITLINK__" hidden="1">{"fdsup://Directions/FactSet Auditing Viewer?action=AUDIT_VALUE&amp;DB=129&amp;ID1=00786510&amp;VALUEID=02101&amp;SDATE=200701&amp;PERIODTYPE=QTR_STD&amp;window=popup_no_bar&amp;width=385&amp;height=120&amp;START_MAXIMIZED=FALSE&amp;creator=factset&amp;display_string=Audit"}</definedName>
    <definedName name="_1256__FDSAUDITLINK__" hidden="1">{"fdsup://Directions/FactSet Auditing Viewer?action=AUDIT_VALUE&amp;DB=129&amp;ID1=00786510&amp;VALUEID=01001&amp;SDATE=200701&amp;PERIODTYPE=QTR_STD&amp;window=popup_no_bar&amp;width=385&amp;height=120&amp;START_MAXIMIZED=FALSE&amp;creator=factset&amp;display_string=Audit"}</definedName>
    <definedName name="_1257__FDSAUDITLINK__" hidden="1">{"fdsup://Directions/FactSet Auditing Viewer?action=AUDIT_VALUE&amp;DB=129&amp;ID1=00786510&amp;VALUEID=13040&amp;SDATE=200701&amp;PERIODTYPE=QTR_STD&amp;window=popup_no_bar&amp;width=385&amp;height=120&amp;START_MAXIMIZED=FALSE&amp;creator=factset&amp;display_string=Audit"}</definedName>
    <definedName name="_1258__FDSAUDITLINK__" hidden="1">{"fdsup://Directions/FactSet Auditing Viewer?action=AUDIT_VALUE&amp;DB=129&amp;ID1=00289620&amp;VALUEID=02101&amp;SDATE=200701&amp;PERIODTYPE=QTR_STD&amp;window=popup_no_bar&amp;width=385&amp;height=120&amp;START_MAXIMIZED=FALSE&amp;creator=factset&amp;display_string=Audit"}</definedName>
    <definedName name="_1259__FDSAUDITLINK__" hidden="1">{"fdsup://Directions/FactSet Auditing Viewer?action=AUDIT_VALUE&amp;DB=129&amp;ID1=00289620&amp;VALUEID=01001&amp;SDATE=200701&amp;PERIODTYPE=QTR_STD&amp;window=popup_no_bar&amp;width=385&amp;height=120&amp;START_MAXIMIZED=FALSE&amp;creator=factset&amp;display_string=Audit"}</definedName>
    <definedName name="_126__FDSAUDITLINK__" hidden="1">{"fdsup://Directions/FactSet Auditing Viewer?action=AUDIT_VALUE&amp;DB=129&amp;ID1=91704710&amp;VALUEID=13040&amp;SDATE=200803&amp;PERIODTYPE=QTR_STD&amp;window=popup_no_bar&amp;width=385&amp;height=120&amp;START_MAXIMIZED=FALSE&amp;creator=factset&amp;display_string=Audit"}</definedName>
    <definedName name="_1260__FDSAUDITLINK__" hidden="1">{"fdsup://Directions/FactSet Auditing Viewer?action=AUDIT_VALUE&amp;DB=129&amp;ID1=00289620&amp;VALUEID=13040&amp;SDATE=200701&amp;PERIODTYPE=QTR_STD&amp;window=popup_no_bar&amp;width=385&amp;height=120&amp;START_MAXIMIZED=FALSE&amp;creator=factset&amp;display_string=Audit"}</definedName>
    <definedName name="_1261__FDSAUDITLINK__" hidden="1">{"fdsup://Directions/FactSet Auditing Viewer?action=AUDIT_VALUE&amp;DB=129&amp;ID1=87416110&amp;VALUEID=01001&amp;SDATE=200604&amp;PERIODTYPE=QTR_STD&amp;window=popup_no_bar&amp;width=385&amp;height=120&amp;START_MAXIMIZED=FALSE&amp;creator=factset&amp;display_string=Audit"}</definedName>
    <definedName name="_1262__FDSAUDITLINK__" hidden="1">{"fdsup://Directions/FactSet Auditing Viewer?action=AUDIT_VALUE&amp;DB=129&amp;ID1=46612H40&amp;VALUEID=01001&amp;SDATE=200604&amp;PERIODTYPE=QTR_STD&amp;window=popup_no_bar&amp;width=385&amp;height=120&amp;START_MAXIMIZED=FALSE&amp;creator=factset&amp;display_string=Audit"}</definedName>
    <definedName name="_1263__FDSAUDITLINK__" hidden="1">{"fdsup://Directions/FactSet Auditing Viewer?action=AUDIT_VALUE&amp;DB=129&amp;ID1=36476010&amp;VALUEID=01001&amp;SDATE=200604&amp;PERIODTYPE=QTR_STD&amp;window=popup_no_bar&amp;width=385&amp;height=120&amp;START_MAXIMIZED=FALSE&amp;creator=factset&amp;display_string=Audit"}</definedName>
    <definedName name="_1264__FDSAUDITLINK__" hidden="1">{"fdsup://Directions/FactSet Auditing Viewer?action=AUDIT_VALUE&amp;DB=129&amp;ID1=03611510&amp;VALUEID=01001&amp;SDATE=200604&amp;PERIODTYPE=QTR_STD&amp;window=popup_no_bar&amp;width=385&amp;height=120&amp;START_MAXIMIZED=FALSE&amp;creator=factset&amp;display_string=Audit"}</definedName>
    <definedName name="_1265__FDSAUDITLINK__" hidden="1">{"fdsup://Directions/FactSet Auditing Viewer?action=AUDIT_VALUE&amp;DB=129&amp;ID1=16890510&amp;VALUEID=01001&amp;SDATE=200604&amp;PERIODTYPE=QTR_STD&amp;window=popup_no_bar&amp;width=385&amp;height=120&amp;START_MAXIMIZED=FALSE&amp;creator=factset&amp;display_string=Audit"}</definedName>
    <definedName name="_1266__FDSAUDITLINK__" hidden="1">{"fdsup://directions/FAT Viewer?action=UPDATE&amp;creator=factset&amp;DYN_ARGS=TRUE&amp;DOC_NAME=FAT:FQL_AUDITING_CLIENT_TEMPLATE.FAT&amp;display_string=Audit&amp;VAR:KEY=BONMBKFGLQ&amp;VAR:QUERY=RkZfUlRfU0ZfVE9UX0dST1NTKFFUUiwtMTMp&amp;WINDOW=FIRST_POPUP&amp;HEIGHT=450&amp;WIDTH=450&amp;START_MA","XIMIZED=FALSE&amp;VAR:CALENDAR=US&amp;VAR:SYMBOL=AEO&amp;VAR:INDEX=0"}</definedName>
    <definedName name="_1267__FDSAUDITLINK__" hidden="1">{"fdsup://Directions/FactSet Auditing Viewer?action=AUDIT_VALUE&amp;DB=129&amp;ID1=00786510&amp;VALUEID=01001&amp;SDATE=200604&amp;PERIODTYPE=QTR_STD&amp;window=popup_no_bar&amp;width=385&amp;height=120&amp;START_MAXIMIZED=FALSE&amp;creator=factset&amp;display_string=Audit"}</definedName>
    <definedName name="_1268__FDSAUDITLINK__" hidden="1">{"fdsup://Directions/FactSet Auditing Viewer?action=AUDIT_VALUE&amp;DB=129&amp;ID1=87416110&amp;VALUEID=02101&amp;SDATE=200603&amp;PERIODTYPE=QTR_STD&amp;window=popup_no_bar&amp;width=385&amp;height=120&amp;START_MAXIMIZED=FALSE&amp;creator=factset&amp;display_string=Audit"}</definedName>
    <definedName name="_1269__FDSAUDITLINK__" hidden="1">{"fdsup://Directions/FactSet Auditing Viewer?action=AUDIT_VALUE&amp;DB=129&amp;ID1=87416110&amp;VALUEID=01001&amp;SDATE=200603&amp;PERIODTYPE=QTR_STD&amp;window=popup_no_bar&amp;width=385&amp;height=120&amp;START_MAXIMIZED=FALSE&amp;creator=factset&amp;display_string=Audit"}</definedName>
    <definedName name="_127__FDSAUDITLINK__" hidden="1">{"fdsup://Directions/FactSet Auditing Viewer?action=AUDIT_VALUE&amp;DB=129&amp;ID1=02553E10&amp;VALUEID=02101&amp;SDATE=200803&amp;PERIODTYPE=QTR_STD&amp;window=popup_no_bar&amp;width=385&amp;height=120&amp;START_MAXIMIZED=FALSE&amp;creator=factset&amp;display_string=Audit"}</definedName>
    <definedName name="_1270__FDSAUDITLINK__" hidden="1">{"fdsup://Directions/FactSet Auditing Viewer?action=AUDIT_VALUE&amp;DB=129&amp;ID1=53271610&amp;VALUEID=02101&amp;SDATE=200603&amp;PERIODTYPE=QTR_STD&amp;window=popup_no_bar&amp;width=385&amp;height=120&amp;START_MAXIMIZED=FALSE&amp;creator=factset&amp;display_string=Audit"}</definedName>
    <definedName name="_1271__FDSAUDITLINK__" hidden="1">{"fdsup://Directions/FactSet Auditing Viewer?action=AUDIT_VALUE&amp;DB=129&amp;ID1=53271610&amp;VALUEID=01001&amp;SDATE=200603&amp;PERIODTYPE=QTR_STD&amp;window=popup_no_bar&amp;width=385&amp;height=120&amp;START_MAXIMIZED=FALSE&amp;creator=factset&amp;display_string=Audit"}</definedName>
    <definedName name="_1272__FDSAUDITLINK__" hidden="1">{"fdsup://Directions/FactSet Auditing Viewer?action=AUDIT_VALUE&amp;DB=129&amp;ID1=53271610&amp;VALUEID=13040&amp;SDATE=200603&amp;PERIODTYPE=QTR_STD&amp;window=popup_no_bar&amp;width=385&amp;height=120&amp;START_MAXIMIZED=FALSE&amp;creator=factset&amp;display_string=Audit"}</definedName>
    <definedName name="_1273__FDSAUDITLINK__" hidden="1">{"fdsup://Directions/FactSet Auditing Viewer?action=AUDIT_VALUE&amp;DB=129&amp;ID1=46612H40&amp;VALUEID=02101&amp;SDATE=200603&amp;PERIODTYPE=QTR_STD&amp;window=popup_no_bar&amp;width=385&amp;height=120&amp;START_MAXIMIZED=FALSE&amp;creator=factset&amp;display_string=Audit"}</definedName>
    <definedName name="_1274__FDSAUDITLINK__" hidden="1">{"fdsup://Directions/FactSet Auditing Viewer?action=AUDIT_VALUE&amp;DB=129&amp;ID1=46612H40&amp;VALUEID=01001&amp;SDATE=200603&amp;PERIODTYPE=QTR_STD&amp;window=popup_no_bar&amp;width=385&amp;height=120&amp;START_MAXIMIZED=FALSE&amp;creator=factset&amp;display_string=Audit"}</definedName>
    <definedName name="_1275__FDSAUDITLINK__" hidden="1">{"fdsup://Directions/FactSet Auditing Viewer?action=AUDIT_VALUE&amp;DB=129&amp;ID1=46612H40&amp;VALUEID=13040&amp;SDATE=200603&amp;PERIODTYPE=QTR_STD&amp;window=popup_no_bar&amp;width=385&amp;height=120&amp;START_MAXIMIZED=FALSE&amp;creator=factset&amp;display_string=Audit"}</definedName>
    <definedName name="_1276__FDSAUDITLINK__" hidden="1">{"fdsup://Directions/FactSet Auditing Viewer?action=AUDIT_VALUE&amp;DB=129&amp;ID1=36476010&amp;VALUEID=02101&amp;SDATE=200603&amp;PERIODTYPE=QTR_STD&amp;window=popup_no_bar&amp;width=385&amp;height=120&amp;START_MAXIMIZED=FALSE&amp;creator=factset&amp;display_string=Audit"}</definedName>
    <definedName name="_1277__FDSAUDITLINK__" hidden="1">{"fdsup://Directions/FactSet Auditing Viewer?action=AUDIT_VALUE&amp;DB=129&amp;ID1=36476010&amp;VALUEID=01001&amp;SDATE=200603&amp;PERIODTYPE=QTR_STD&amp;window=popup_no_bar&amp;width=385&amp;height=120&amp;START_MAXIMIZED=FALSE&amp;creator=factset&amp;display_string=Audit"}</definedName>
    <definedName name="_1278__FDSAUDITLINK__" hidden="1">{"fdsup://Directions/FactSet Auditing Viewer?action=AUDIT_VALUE&amp;DB=129&amp;ID1=36476010&amp;VALUEID=13040&amp;SDATE=200603&amp;PERIODTYPE=QTR_STD&amp;window=popup_no_bar&amp;width=385&amp;height=120&amp;START_MAXIMIZED=FALSE&amp;creator=factset&amp;display_string=Audit"}</definedName>
    <definedName name="_1279__FDSAUDITLINK__" hidden="1">{"fdsup://Directions/FactSet Auditing Viewer?action=AUDIT_VALUE&amp;DB=129&amp;ID1=03611510&amp;VALUEID=02101&amp;SDATE=200603&amp;PERIODTYPE=QTR_STD&amp;window=popup_no_bar&amp;width=385&amp;height=120&amp;START_MAXIMIZED=FALSE&amp;creator=factset&amp;display_string=Audit"}</definedName>
    <definedName name="_128__FDSAUDITLINK__" hidden="1">{"fdsup://Directions/FactSet Auditing Viewer?action=AUDIT_VALUE&amp;DB=129&amp;ID1=02553E10&amp;VALUEID=01001&amp;SDATE=200803&amp;PERIODTYPE=QTR_STD&amp;window=popup_no_bar&amp;width=385&amp;height=120&amp;START_MAXIMIZED=FALSE&amp;creator=factset&amp;display_string=Audit"}</definedName>
    <definedName name="_1280__FDSAUDITLINK__" hidden="1">{"fdsup://Directions/FactSet Auditing Viewer?action=AUDIT_VALUE&amp;DB=129&amp;ID1=03611510&amp;VALUEID=01001&amp;SDATE=200603&amp;PERIODTYPE=QTR_STD&amp;window=popup_no_bar&amp;width=385&amp;height=120&amp;START_MAXIMIZED=FALSE&amp;creator=factset&amp;display_string=Audit"}</definedName>
    <definedName name="_1281__FDSAUDITLINK__" hidden="1">{"fdsup://Directions/FactSet Auditing Viewer?action=AUDIT_VALUE&amp;DB=129&amp;ID1=03611510&amp;VALUEID=13040&amp;SDATE=200603&amp;PERIODTYPE=QTR_STD&amp;window=popup_no_bar&amp;width=385&amp;height=120&amp;START_MAXIMIZED=FALSE&amp;creator=factset&amp;display_string=Audit"}</definedName>
    <definedName name="_1282__FDSAUDITLINK__" hidden="1">{"fdsup://Directions/FactSet Auditing Viewer?action=AUDIT_VALUE&amp;DB=129&amp;ID1=16890510&amp;VALUEID=02101&amp;SDATE=200603&amp;PERIODTYPE=QTR_STD&amp;window=popup_no_bar&amp;width=385&amp;height=120&amp;START_MAXIMIZED=FALSE&amp;creator=factset&amp;display_string=Audit"}</definedName>
    <definedName name="_1283__FDSAUDITLINK__" hidden="1">{"fdsup://Directions/FactSet Auditing Viewer?action=AUDIT_VALUE&amp;DB=129&amp;ID1=16890510&amp;VALUEID=01001&amp;SDATE=200603&amp;PERIODTYPE=QTR_STD&amp;window=popup_no_bar&amp;width=385&amp;height=120&amp;START_MAXIMIZED=FALSE&amp;creator=factset&amp;display_string=Audit"}</definedName>
    <definedName name="_1284__FDSAUDITLINK__" hidden="1">{"fdsup://Directions/FactSet Auditing Viewer?action=AUDIT_VALUE&amp;DB=129&amp;ID1=91704710&amp;VALUEID=02101&amp;SDATE=200603&amp;PERIODTYPE=QTR_STD&amp;window=popup_no_bar&amp;width=385&amp;height=120&amp;START_MAXIMIZED=FALSE&amp;creator=factset&amp;display_string=Audit"}</definedName>
    <definedName name="_1285__FDSAUDITLINK__" hidden="1">{"fdsup://Directions/FactSet Auditing Viewer?action=AUDIT_VALUE&amp;DB=129&amp;ID1=91704710&amp;VALUEID=01001&amp;SDATE=200603&amp;PERIODTYPE=QTR_STD&amp;window=popup_no_bar&amp;width=385&amp;height=120&amp;START_MAXIMIZED=FALSE&amp;creator=factset&amp;display_string=Audit"}</definedName>
    <definedName name="_1286__FDSAUDITLINK__" hidden="1">{"fdsup://Directions/FactSet Auditing Viewer?action=AUDIT_VALUE&amp;DB=129&amp;ID1=91704710&amp;VALUEID=13040&amp;SDATE=200603&amp;PERIODTYPE=QTR_STD&amp;window=popup_no_bar&amp;width=385&amp;height=120&amp;START_MAXIMIZED=FALSE&amp;creator=factset&amp;display_string=Audit"}</definedName>
    <definedName name="_1287__FDSAUDITLINK__" hidden="1">{"fdsup://directions/FAT Viewer?action=UPDATE&amp;creator=factset&amp;DYN_ARGS=TRUE&amp;DOC_NAME=FAT:FQL_AUDITING_CLIENT_TEMPLATE.FAT&amp;display_string=Audit&amp;VAR:KEY=NGXYHSLMBY&amp;VAR:QUERY=RkZfUlRfU0ZfVE9UX0dST1NTKFFUUiwtMTQp&amp;WINDOW=FIRST_POPUP&amp;HEIGHT=450&amp;WIDTH=450&amp;START_MA","XIMIZED=FALSE&amp;VAR:CALENDAR=US&amp;VAR:SYMBOL=AEO&amp;VAR:INDEX=0"}</definedName>
    <definedName name="_1288__FDSAUDITLINK__" hidden="1">{"fdsup://Directions/FactSet Auditing Viewer?action=AUDIT_VALUE&amp;DB=129&amp;ID1=00786510&amp;VALUEID=02101&amp;SDATE=200603&amp;PERIODTYPE=QTR_STD&amp;window=popup_no_bar&amp;width=385&amp;height=120&amp;START_MAXIMIZED=FALSE&amp;creator=factset&amp;display_string=Audit"}</definedName>
    <definedName name="_1289__FDSAUDITLINK__" hidden="1">{"fdsup://Directions/FactSet Auditing Viewer?action=AUDIT_VALUE&amp;DB=129&amp;ID1=00786510&amp;VALUEID=01001&amp;SDATE=200603&amp;PERIODTYPE=QTR_STD&amp;window=popup_no_bar&amp;width=385&amp;height=120&amp;START_MAXIMIZED=FALSE&amp;creator=factset&amp;display_string=Audit"}</definedName>
    <definedName name="_129__FDSAUDITLINK__" hidden="1">{"fdsup://Directions/FactSet Auditing Viewer?action=AUDIT_VALUE&amp;DB=129&amp;ID1=02553E10&amp;VALUEID=13040&amp;SDATE=200803&amp;PERIODTYPE=QTR_STD&amp;window=popup_no_bar&amp;width=385&amp;height=120&amp;START_MAXIMIZED=FALSE&amp;creator=factset&amp;display_string=Audit"}</definedName>
    <definedName name="_1290__FDSAUDITLINK__" hidden="1">{"fdsup://Directions/FactSet Auditing Viewer?action=AUDIT_VALUE&amp;DB=129&amp;ID1=00786510&amp;VALUEID=13040&amp;SDATE=200603&amp;PERIODTYPE=QTR_STD&amp;window=popup_no_bar&amp;width=385&amp;height=120&amp;START_MAXIMIZED=FALSE&amp;creator=factset&amp;display_string=Audit"}</definedName>
    <definedName name="_1291__FDSAUDITLINK__" hidden="1">{"fdsup://Directions/FactSet Auditing Viewer?action=AUDIT_VALUE&amp;DB=129&amp;ID1=00289620&amp;VALUEID=02101&amp;SDATE=200603&amp;PERIODTYPE=QTR_STD&amp;window=popup_no_bar&amp;width=385&amp;height=120&amp;START_MAXIMIZED=FALSE&amp;creator=factset&amp;display_string=Audit"}</definedName>
    <definedName name="_1292__FDSAUDITLINK__" hidden="1">{"fdsup://Directions/FactSet Auditing Viewer?action=AUDIT_VALUE&amp;DB=129&amp;ID1=00289620&amp;VALUEID=01001&amp;SDATE=200603&amp;PERIODTYPE=QTR_STD&amp;window=popup_no_bar&amp;width=385&amp;height=120&amp;START_MAXIMIZED=FALSE&amp;creator=factset&amp;display_string=Audit"}</definedName>
    <definedName name="_1293__FDSAUDITLINK__" hidden="1">{"fdsup://Directions/FactSet Auditing Viewer?action=AUDIT_VALUE&amp;DB=129&amp;ID1=00289620&amp;VALUEID=13040&amp;SDATE=200603&amp;PERIODTYPE=QTR_STD&amp;window=popup_no_bar&amp;width=385&amp;height=120&amp;START_MAXIMIZED=FALSE&amp;creator=factset&amp;display_string=Audit"}</definedName>
    <definedName name="_1294__FDSAUDITLINK__" hidden="1">{"fdsup://Directions/FactSet Auditing Viewer?action=AUDIT_VALUE&amp;DB=129&amp;ID1=87416110&amp;VALUEID=02101&amp;SDATE=200602&amp;PERIODTYPE=QTR_STD&amp;window=popup_no_bar&amp;width=385&amp;height=120&amp;START_MAXIMIZED=FALSE&amp;creator=factset&amp;display_string=Audit"}</definedName>
    <definedName name="_1295__FDSAUDITLINK__" hidden="1">{"fdsup://Directions/FactSet Auditing Viewer?action=AUDIT_VALUE&amp;DB=129&amp;ID1=87416110&amp;VALUEID=01001&amp;SDATE=200602&amp;PERIODTYPE=QTR_STD&amp;window=popup_no_bar&amp;width=385&amp;height=120&amp;START_MAXIMIZED=FALSE&amp;creator=factset&amp;display_string=Audit"}</definedName>
    <definedName name="_1296__FDSAUDITLINK__" hidden="1">{"fdsup://Directions/FactSet Auditing Viewer?action=AUDIT_VALUE&amp;DB=129&amp;ID1=53271610&amp;VALUEID=02101&amp;SDATE=200602&amp;PERIODTYPE=QTR_STD&amp;window=popup_no_bar&amp;width=385&amp;height=120&amp;START_MAXIMIZED=FALSE&amp;creator=factset&amp;display_string=Audit"}</definedName>
    <definedName name="_1297__FDSAUDITLINK__" hidden="1">{"fdsup://Directions/FactSet Auditing Viewer?action=AUDIT_VALUE&amp;DB=129&amp;ID1=53271610&amp;VALUEID=01001&amp;SDATE=200602&amp;PERIODTYPE=QTR_STD&amp;window=popup_no_bar&amp;width=385&amp;height=120&amp;START_MAXIMIZED=FALSE&amp;creator=factset&amp;display_string=Audit"}</definedName>
    <definedName name="_1298__FDSAUDITLINK__" hidden="1">{"fdsup://Directions/FactSet Auditing Viewer?action=AUDIT_VALUE&amp;DB=129&amp;ID1=53271610&amp;VALUEID=13040&amp;SDATE=200602&amp;PERIODTYPE=QTR_STD&amp;window=popup_no_bar&amp;width=385&amp;height=120&amp;START_MAXIMIZED=FALSE&amp;creator=factset&amp;display_string=Audit"}</definedName>
    <definedName name="_1299__FDSAUDITLINK__" hidden="1">{"fdsup://Directions/FactSet Auditing Viewer?action=AUDIT_VALUE&amp;DB=129&amp;ID1=46612H40&amp;VALUEID=02101&amp;SDATE=200602&amp;PERIODTYPE=QTR_STD&amp;window=popup_no_bar&amp;width=385&amp;height=120&amp;START_MAXIMIZED=FALSE&amp;creator=factset&amp;display_string=Audit"}</definedName>
    <definedName name="_13__123Graph_XR_M_MARG" hidden="1">[1]P!$R$29:$AK$29</definedName>
    <definedName name="_13__FDSAUDITLINK__" hidden="1">{"fdsup://Directions/FactSet Auditing Viewer?action=AUDIT_VALUE&amp;DB=129&amp;ID1=91704710&amp;VALUEID=02101&amp;SDATE=201001&amp;PERIODTYPE=QTR_STD&amp;window=popup_no_bar&amp;width=385&amp;height=120&amp;START_MAXIMIZED=FALSE&amp;creator=factset&amp;display_string=Audit"}</definedName>
    <definedName name="_130__FDSAUDITLINK__" hidden="1">{"fdsup://Directions/FactSet Auditing Viewer?action=AUDIT_VALUE&amp;DB=129&amp;ID1=00786510&amp;VALUEID=02101&amp;SDATE=200803&amp;PERIODTYPE=QTR_STD&amp;window=popup_no_bar&amp;width=385&amp;height=120&amp;START_MAXIMIZED=FALSE&amp;creator=factset&amp;display_string=Audit"}</definedName>
    <definedName name="_1300__FDSAUDITLINK__" hidden="1">{"fdsup://Directions/FactSet Auditing Viewer?action=AUDIT_VALUE&amp;DB=129&amp;ID1=46612H40&amp;VALUEID=01001&amp;SDATE=200602&amp;PERIODTYPE=QTR_STD&amp;window=popup_no_bar&amp;width=385&amp;height=120&amp;START_MAXIMIZED=FALSE&amp;creator=factset&amp;display_string=Audit"}</definedName>
    <definedName name="_1301__FDSAUDITLINK__" hidden="1">{"fdsup://Directions/FactSet Auditing Viewer?action=AUDIT_VALUE&amp;DB=129&amp;ID1=46612H40&amp;VALUEID=13040&amp;SDATE=200602&amp;PERIODTYPE=QTR_STD&amp;window=popup_no_bar&amp;width=385&amp;height=120&amp;START_MAXIMIZED=FALSE&amp;creator=factset&amp;display_string=Audit"}</definedName>
    <definedName name="_1302__FDSAUDITLINK__" hidden="1">{"fdsup://Directions/FactSet Auditing Viewer?action=AUDIT_VALUE&amp;DB=129&amp;ID1=36476010&amp;VALUEID=02101&amp;SDATE=200602&amp;PERIODTYPE=QTR_STD&amp;window=popup_no_bar&amp;width=385&amp;height=120&amp;START_MAXIMIZED=FALSE&amp;creator=factset&amp;display_string=Audit"}</definedName>
    <definedName name="_1303__FDSAUDITLINK__" hidden="1">{"fdsup://Directions/FactSet Auditing Viewer?action=AUDIT_VALUE&amp;DB=129&amp;ID1=36476010&amp;VALUEID=01001&amp;SDATE=200602&amp;PERIODTYPE=QTR_STD&amp;window=popup_no_bar&amp;width=385&amp;height=120&amp;START_MAXIMIZED=FALSE&amp;creator=factset&amp;display_string=Audit"}</definedName>
    <definedName name="_1304__FDSAUDITLINK__" hidden="1">{"fdsup://Directions/FactSet Auditing Viewer?action=AUDIT_VALUE&amp;DB=129&amp;ID1=36476010&amp;VALUEID=13040&amp;SDATE=200602&amp;PERIODTYPE=QTR_STD&amp;window=popup_no_bar&amp;width=385&amp;height=120&amp;START_MAXIMIZED=FALSE&amp;creator=factset&amp;display_string=Audit"}</definedName>
    <definedName name="_1305__FDSAUDITLINK__" hidden="1">{"fdsup://Directions/FactSet Auditing Viewer?action=AUDIT_VALUE&amp;DB=129&amp;ID1=03611510&amp;VALUEID=02101&amp;SDATE=200602&amp;PERIODTYPE=QTR_STD&amp;window=popup_no_bar&amp;width=385&amp;height=120&amp;START_MAXIMIZED=FALSE&amp;creator=factset&amp;display_string=Audit"}</definedName>
    <definedName name="_1306__FDSAUDITLINK__" hidden="1">{"fdsup://Directions/FactSet Auditing Viewer?action=AUDIT_VALUE&amp;DB=129&amp;ID1=03611510&amp;VALUEID=01001&amp;SDATE=200602&amp;PERIODTYPE=QTR_STD&amp;window=popup_no_bar&amp;width=385&amp;height=120&amp;START_MAXIMIZED=FALSE&amp;creator=factset&amp;display_string=Audit"}</definedName>
    <definedName name="_1307__FDSAUDITLINK__" hidden="1">{"fdsup://Directions/FactSet Auditing Viewer?action=AUDIT_VALUE&amp;DB=129&amp;ID1=03611510&amp;VALUEID=13040&amp;SDATE=200602&amp;PERIODTYPE=QTR_STD&amp;window=popup_no_bar&amp;width=385&amp;height=120&amp;START_MAXIMIZED=FALSE&amp;creator=factset&amp;display_string=Audit"}</definedName>
    <definedName name="_1308__FDSAUDITLINK__" hidden="1">{"fdsup://Directions/FactSet Auditing Viewer?action=AUDIT_VALUE&amp;DB=129&amp;ID1=16890510&amp;VALUEID=02101&amp;SDATE=200602&amp;PERIODTYPE=QTR_STD&amp;window=popup_no_bar&amp;width=385&amp;height=120&amp;START_MAXIMIZED=FALSE&amp;creator=factset&amp;display_string=Audit"}</definedName>
    <definedName name="_1309__FDSAUDITLINK__" hidden="1">{"fdsup://Directions/FactSet Auditing Viewer?action=AUDIT_VALUE&amp;DB=129&amp;ID1=16890510&amp;VALUEID=01001&amp;SDATE=200602&amp;PERIODTYPE=QTR_STD&amp;window=popup_no_bar&amp;width=385&amp;height=120&amp;START_MAXIMIZED=FALSE&amp;creator=factset&amp;display_string=Audit"}</definedName>
    <definedName name="_131__FDSAUDITLINK__" hidden="1">{"fdsup://Directions/FactSet Auditing Viewer?action=AUDIT_VALUE&amp;DB=129&amp;ID1=00786510&amp;VALUEID=01001&amp;SDATE=200803&amp;PERIODTYPE=QTR_STD&amp;window=popup_no_bar&amp;width=385&amp;height=120&amp;START_MAXIMIZED=FALSE&amp;creator=factset&amp;display_string=Audit"}</definedName>
    <definedName name="_1310__FDSAUDITLINK__" hidden="1">{"fdsup://Directions/FactSet Auditing Viewer?action=AUDIT_VALUE&amp;DB=129&amp;ID1=91704710&amp;VALUEID=02101&amp;SDATE=200602&amp;PERIODTYPE=QTR_STD&amp;window=popup_no_bar&amp;width=385&amp;height=120&amp;START_MAXIMIZED=FALSE&amp;creator=factset&amp;display_string=Audit"}</definedName>
    <definedName name="_1311__FDSAUDITLINK__" hidden="1">{"fdsup://Directions/FactSet Auditing Viewer?action=AUDIT_VALUE&amp;DB=129&amp;ID1=91704710&amp;VALUEID=01001&amp;SDATE=200602&amp;PERIODTYPE=QTR_STD&amp;window=popup_no_bar&amp;width=385&amp;height=120&amp;START_MAXIMIZED=FALSE&amp;creator=factset&amp;display_string=Audit"}</definedName>
    <definedName name="_1312__FDSAUDITLINK__" hidden="1">{"fdsup://Directions/FactSet Auditing Viewer?action=AUDIT_VALUE&amp;DB=129&amp;ID1=91704710&amp;VALUEID=13040&amp;SDATE=200602&amp;PERIODTYPE=QTR_STD&amp;window=popup_no_bar&amp;width=385&amp;height=120&amp;START_MAXIMIZED=FALSE&amp;creator=factset&amp;display_string=Audit"}</definedName>
    <definedName name="_1313__FDSAUDITLINK__" hidden="1">{"fdsup://directions/FAT Viewer?action=UPDATE&amp;creator=factset&amp;DYN_ARGS=TRUE&amp;DOC_NAME=FAT:FQL_AUDITING_CLIENT_TEMPLATE.FAT&amp;display_string=Audit&amp;VAR:KEY=VUNQJUHWBQ&amp;VAR:QUERY=RkZfUlRfU0ZfVE9UX0dST1NTKFFUUiwtMTUp&amp;WINDOW=FIRST_POPUP&amp;HEIGHT=450&amp;WIDTH=450&amp;START_MA","XIMIZED=FALSE&amp;VAR:CALENDAR=US&amp;VAR:SYMBOL=AEO&amp;VAR:INDEX=0"}</definedName>
    <definedName name="_1314__FDSAUDITLINK__" hidden="1">{"fdsup://Directions/FactSet Auditing Viewer?action=AUDIT_VALUE&amp;DB=129&amp;ID1=00786510&amp;VALUEID=02101&amp;SDATE=200602&amp;PERIODTYPE=QTR_STD&amp;window=popup_no_bar&amp;width=385&amp;height=120&amp;START_MAXIMIZED=FALSE&amp;creator=factset&amp;display_string=Audit"}</definedName>
    <definedName name="_1315__FDSAUDITLINK__" hidden="1">{"fdsup://Directions/FactSet Auditing Viewer?action=AUDIT_VALUE&amp;DB=129&amp;ID1=00786510&amp;VALUEID=01001&amp;SDATE=200602&amp;PERIODTYPE=QTR_STD&amp;window=popup_no_bar&amp;width=385&amp;height=120&amp;START_MAXIMIZED=FALSE&amp;creator=factset&amp;display_string=Audit"}</definedName>
    <definedName name="_1316__FDSAUDITLINK__" hidden="1">{"fdsup://Directions/FactSet Auditing Viewer?action=AUDIT_VALUE&amp;DB=129&amp;ID1=00786510&amp;VALUEID=13040&amp;SDATE=200602&amp;PERIODTYPE=QTR_STD&amp;window=popup_no_bar&amp;width=385&amp;height=120&amp;START_MAXIMIZED=FALSE&amp;creator=factset&amp;display_string=Audit"}</definedName>
    <definedName name="_1317__FDSAUDITLINK__" hidden="1">{"fdsup://Directions/FactSet Auditing Viewer?action=AUDIT_VALUE&amp;DB=129&amp;ID1=00289620&amp;VALUEID=02101&amp;SDATE=200602&amp;PERIODTYPE=QTR_STD&amp;window=popup_no_bar&amp;width=385&amp;height=120&amp;START_MAXIMIZED=FALSE&amp;creator=factset&amp;display_string=Audit"}</definedName>
    <definedName name="_1318__FDSAUDITLINK__" hidden="1">{"fdsup://Directions/FactSet Auditing Viewer?action=AUDIT_VALUE&amp;DB=129&amp;ID1=00289620&amp;VALUEID=01001&amp;SDATE=200602&amp;PERIODTYPE=QTR_STD&amp;window=popup_no_bar&amp;width=385&amp;height=120&amp;START_MAXIMIZED=FALSE&amp;creator=factset&amp;display_string=Audit"}</definedName>
    <definedName name="_1319__FDSAUDITLINK__" hidden="1">{"fdsup://Directions/FactSet Auditing Viewer?action=AUDIT_VALUE&amp;DB=129&amp;ID1=00289620&amp;VALUEID=13040&amp;SDATE=200602&amp;PERIODTYPE=QTR_STD&amp;window=popup_no_bar&amp;width=385&amp;height=120&amp;START_MAXIMIZED=FALSE&amp;creator=factset&amp;display_string=Audit"}</definedName>
    <definedName name="_132__FDSAUDITLINK__" hidden="1">{"fdsup://Directions/FactSet Auditing Viewer?action=AUDIT_VALUE&amp;DB=129&amp;ID1=00786510&amp;VALUEID=13040&amp;SDATE=200803&amp;PERIODTYPE=QTR_STD&amp;window=popup_no_bar&amp;width=385&amp;height=120&amp;START_MAXIMIZED=FALSE&amp;creator=factset&amp;display_string=Audit"}</definedName>
    <definedName name="_1320__FDSAUDITLINK__" hidden="1">{"fdsup://Directions/FactSet Auditing Viewer?action=AUDIT_VALUE&amp;DB=129&amp;ID1=87416110&amp;VALUEID=02101&amp;SDATE=200601&amp;PERIODTYPE=QTR_STD&amp;window=popup_no_bar&amp;width=385&amp;height=120&amp;START_MAXIMIZED=FALSE&amp;creator=factset&amp;display_string=Audit"}</definedName>
    <definedName name="_1321__FDSAUDITLINK__" hidden="1">{"fdsup://Directions/FactSet Auditing Viewer?action=AUDIT_VALUE&amp;DB=129&amp;ID1=87416110&amp;VALUEID=01001&amp;SDATE=200601&amp;PERIODTYPE=QTR_STD&amp;window=popup_no_bar&amp;width=385&amp;height=120&amp;START_MAXIMIZED=FALSE&amp;creator=factset&amp;display_string=Audit"}</definedName>
    <definedName name="_1322__FDSAUDITLINK__" hidden="1">{"fdsup://Directions/FactSet Auditing Viewer?action=AUDIT_VALUE&amp;DB=129&amp;ID1=87416110&amp;VALUEID=13040&amp;SDATE=200601&amp;PERIODTYPE=QTR_STD&amp;window=popup_no_bar&amp;width=385&amp;height=120&amp;START_MAXIMIZED=FALSE&amp;creator=factset&amp;display_string=Audit"}</definedName>
    <definedName name="_1323__FDSAUDITLINK__" hidden="1">{"fdsup://directions/FAT Viewer?action=UPDATE&amp;creator=factset&amp;DYN_ARGS=TRUE&amp;DOC_NAME=FAT:FQL_AUDITING_CLIENT_TEMPLATE.FAT&amp;display_string=Audit&amp;VAR:KEY=NUZUBWRSBA&amp;VAR:QUERY=RkZfUlRfU0ZfVE9UX0dST1NTKFFUUiwtMTYp&amp;WINDOW=FIRST_POPUP&amp;HEIGHT=450&amp;WIDTH=450&amp;START_MA","XIMIZED=FALSE&amp;VAR:CALENDAR=US&amp;VAR:SYMBOL=TLB&amp;VAR:INDEX=0"}</definedName>
    <definedName name="_1324__FDSAUDITLINK__" hidden="1">{"fdsup://Directions/FactSet Auditing Viewer?action=AUDIT_VALUE&amp;DB=129&amp;ID1=53271610&amp;VALUEID=02101&amp;SDATE=200601&amp;PERIODTYPE=QTR_STD&amp;window=popup_no_bar&amp;width=385&amp;height=120&amp;START_MAXIMIZED=FALSE&amp;creator=factset&amp;display_string=Audit"}</definedName>
    <definedName name="_1325__FDSAUDITLINK__" hidden="1">{"fdsup://Directions/FactSet Auditing Viewer?action=AUDIT_VALUE&amp;DB=129&amp;ID1=53271610&amp;VALUEID=01001&amp;SDATE=200601&amp;PERIODTYPE=QTR_STD&amp;window=popup_no_bar&amp;width=385&amp;height=120&amp;START_MAXIMIZED=FALSE&amp;creator=factset&amp;display_string=Audit"}</definedName>
    <definedName name="_1326__FDSAUDITLINK__" hidden="1">{"fdsup://Directions/FactSet Auditing Viewer?action=AUDIT_VALUE&amp;DB=129&amp;ID1=53271610&amp;VALUEID=13040&amp;SDATE=200601&amp;PERIODTYPE=QTR_STD&amp;window=popup_no_bar&amp;width=385&amp;height=120&amp;START_MAXIMIZED=FALSE&amp;creator=factset&amp;display_string=Audit"}</definedName>
    <definedName name="_1327__FDSAUDITLINK__" hidden="1">{"fdsup://Directions/FactSet Auditing Viewer?action=AUDIT_VALUE&amp;DB=129&amp;ID1=46612H40&amp;VALUEID=02101&amp;SDATE=200601&amp;PERIODTYPE=QTR_STD&amp;window=popup_no_bar&amp;width=385&amp;height=120&amp;START_MAXIMIZED=FALSE&amp;creator=factset&amp;display_string=Audit"}</definedName>
    <definedName name="_1328__FDSAUDITLINK__" hidden="1">{"fdsup://Directions/FactSet Auditing Viewer?action=AUDIT_VALUE&amp;DB=129&amp;ID1=46612H40&amp;VALUEID=01001&amp;SDATE=200601&amp;PERIODTYPE=QTR_STD&amp;window=popup_no_bar&amp;width=385&amp;height=120&amp;START_MAXIMIZED=FALSE&amp;creator=factset&amp;display_string=Audit"}</definedName>
    <definedName name="_1329__FDSAUDITLINK__" hidden="1">{"fdsup://Directions/FactSet Auditing Viewer?action=AUDIT_VALUE&amp;DB=129&amp;ID1=46612H40&amp;VALUEID=13040&amp;SDATE=200601&amp;PERIODTYPE=QTR_STD&amp;window=popup_no_bar&amp;width=385&amp;height=120&amp;START_MAXIMIZED=FALSE&amp;creator=factset&amp;display_string=Audit"}</definedName>
    <definedName name="_133__FDSAUDITLINK__" hidden="1">{"fdsup://Directions/FactSet Auditing Viewer?action=AUDIT_VALUE&amp;DB=129&amp;ID1=00289620&amp;VALUEID=02101&amp;SDATE=200803&amp;PERIODTYPE=QTR_STD&amp;window=popup_no_bar&amp;width=385&amp;height=120&amp;START_MAXIMIZED=FALSE&amp;creator=factset&amp;display_string=Audit"}</definedName>
    <definedName name="_1330__FDSAUDITLINK__" hidden="1">{"fdsup://Directions/FactSet Auditing Viewer?action=AUDIT_VALUE&amp;DB=129&amp;ID1=36476010&amp;VALUEID=02101&amp;SDATE=200601&amp;PERIODTYPE=QTR_STD&amp;window=popup_no_bar&amp;width=385&amp;height=120&amp;START_MAXIMIZED=FALSE&amp;creator=factset&amp;display_string=Audit"}</definedName>
    <definedName name="_1331__FDSAUDITLINK__" hidden="1">{"fdsup://Directions/FactSet Auditing Viewer?action=AUDIT_VALUE&amp;DB=129&amp;ID1=36476010&amp;VALUEID=01001&amp;SDATE=200601&amp;PERIODTYPE=QTR_STD&amp;window=popup_no_bar&amp;width=385&amp;height=120&amp;START_MAXIMIZED=FALSE&amp;creator=factset&amp;display_string=Audit"}</definedName>
    <definedName name="_1332__FDSAUDITLINK__" hidden="1">{"fdsup://Directions/FactSet Auditing Viewer?action=AUDIT_VALUE&amp;DB=129&amp;ID1=36476010&amp;VALUEID=13040&amp;SDATE=200601&amp;PERIODTYPE=QTR_STD&amp;window=popup_no_bar&amp;width=385&amp;height=120&amp;START_MAXIMIZED=FALSE&amp;creator=factset&amp;display_string=Audit"}</definedName>
    <definedName name="_1333__FDSAUDITLINK__" hidden="1">{"fdsup://Directions/FactSet Auditing Viewer?action=AUDIT_VALUE&amp;DB=129&amp;ID1=03611510&amp;VALUEID=02101&amp;SDATE=200601&amp;PERIODTYPE=QTR_STD&amp;window=popup_no_bar&amp;width=385&amp;height=120&amp;START_MAXIMIZED=FALSE&amp;creator=factset&amp;display_string=Audit"}</definedName>
    <definedName name="_1334__FDSAUDITLINK__" hidden="1">{"fdsup://Directions/FactSet Auditing Viewer?action=AUDIT_VALUE&amp;DB=129&amp;ID1=03611510&amp;VALUEID=13040&amp;SDATE=200601&amp;PERIODTYPE=QTR_STD&amp;window=popup_no_bar&amp;width=385&amp;height=120&amp;START_MAXIMIZED=FALSE&amp;creator=factset&amp;display_string=Audit"}</definedName>
    <definedName name="_1335__FDSAUDITLINK__" hidden="1">{"fdsup://Directions/FactSet Auditing Viewer?action=AUDIT_VALUE&amp;DB=129&amp;ID1=16890510&amp;VALUEID=02101&amp;SDATE=200601&amp;PERIODTYPE=QTR_STD&amp;window=popup_no_bar&amp;width=385&amp;height=120&amp;START_MAXIMIZED=FALSE&amp;creator=factset&amp;display_string=Audit"}</definedName>
    <definedName name="_1336__FDSAUDITLINK__" hidden="1">{"fdsup://Directions/FactSet Auditing Viewer?action=AUDIT_VALUE&amp;DB=129&amp;ID1=16890510&amp;VALUEID=01001&amp;SDATE=200601&amp;PERIODTYPE=QTR_STD&amp;window=popup_no_bar&amp;width=385&amp;height=120&amp;START_MAXIMIZED=FALSE&amp;creator=factset&amp;display_string=Audit"}</definedName>
    <definedName name="_1337__FDSAUDITLINK__" hidden="1">{"fdsup://Directions/FactSet Auditing Viewer?action=AUDIT_VALUE&amp;DB=129&amp;ID1=91704710&amp;VALUEID=02101&amp;SDATE=200601&amp;PERIODTYPE=QTR_STD&amp;window=popup_no_bar&amp;width=385&amp;height=120&amp;START_MAXIMIZED=FALSE&amp;creator=factset&amp;display_string=Audit"}</definedName>
    <definedName name="_1338__FDSAUDITLINK__" hidden="1">{"fdsup://Directions/FactSet Auditing Viewer?action=AUDIT_VALUE&amp;DB=129&amp;ID1=91704710&amp;VALUEID=01001&amp;SDATE=200601&amp;PERIODTYPE=QTR_STD&amp;window=popup_no_bar&amp;width=385&amp;height=120&amp;START_MAXIMIZED=FALSE&amp;creator=factset&amp;display_string=Audit"}</definedName>
    <definedName name="_1339__FDSAUDITLINK__" hidden="1">{"fdsup://Directions/FactSet Auditing Viewer?action=AUDIT_VALUE&amp;DB=129&amp;ID1=91704710&amp;VALUEID=13040&amp;SDATE=200601&amp;PERIODTYPE=QTR_STD&amp;window=popup_no_bar&amp;width=385&amp;height=120&amp;START_MAXIMIZED=FALSE&amp;creator=factset&amp;display_string=Audit"}</definedName>
    <definedName name="_134__FDSAUDITLINK__" hidden="1">{"fdsup://Directions/FactSet Auditing Viewer?action=AUDIT_VALUE&amp;DB=129&amp;ID1=00289620&amp;VALUEID=01001&amp;SDATE=200803&amp;PERIODTYPE=QTR_STD&amp;window=popup_no_bar&amp;width=385&amp;height=120&amp;START_MAXIMIZED=FALSE&amp;creator=factset&amp;display_string=Audit"}</definedName>
    <definedName name="_1340__FDSAUDITLINK__" hidden="1">{"fdsup://Directions/FactSet Auditing Viewer?action=AUDIT_VALUE&amp;DB=129&amp;ID1=02553E10&amp;VALUEID=02101&amp;SDATE=200601&amp;PERIODTYPE=QTR_STD&amp;window=popup_no_bar&amp;width=385&amp;height=120&amp;START_MAXIMIZED=FALSE&amp;creator=factset&amp;display_string=Audit"}</definedName>
    <definedName name="_1341__FDSAUDITLINK__" hidden="1">{"fdsup://Directions/FactSet Auditing Viewer?action=AUDIT_VALUE&amp;DB=129&amp;ID1=02553E10&amp;VALUEID=01001&amp;SDATE=200601&amp;PERIODTYPE=QTR_STD&amp;window=popup_no_bar&amp;width=385&amp;height=120&amp;START_MAXIMIZED=FALSE&amp;creator=factset&amp;display_string=Audit"}</definedName>
    <definedName name="_1342__FDSAUDITLINK__" hidden="1">{"fdsup://Directions/FactSet Auditing Viewer?action=AUDIT_VALUE&amp;DB=129&amp;ID1=02553E10&amp;VALUEID=13040&amp;SDATE=200601&amp;PERIODTYPE=QTR_STD&amp;window=popup_no_bar&amp;width=385&amp;height=120&amp;START_MAXIMIZED=FALSE&amp;creator=factset&amp;display_string=Audit"}</definedName>
    <definedName name="_1343__FDSAUDITLINK__" hidden="1">{"fdsup://directions/FAT Viewer?action=UPDATE&amp;creator=factset&amp;DYN_ARGS=TRUE&amp;DOC_NAME=FAT:FQL_AUDITING_CLIENT_TEMPLATE.FAT&amp;display_string=Audit&amp;VAR:KEY=RUROHMBELS&amp;VAR:QUERY=RkZfUlRfU0ZfVE9UX0dST1NTKFFUUiwtMTYp&amp;WINDOW=FIRST_POPUP&amp;HEIGHT=450&amp;WIDTH=450&amp;START_MA","XIMIZED=FALSE&amp;VAR:CALENDAR=US&amp;VAR:SYMBOL=AEO&amp;VAR:INDEX=0"}</definedName>
    <definedName name="_1344__FDSAUDITLINK__" hidden="1">{"fdsup://Directions/FactSet Auditing Viewer?action=AUDIT_VALUE&amp;DB=129&amp;ID1=00786510&amp;VALUEID=02101&amp;SDATE=200601&amp;PERIODTYPE=QTR_STD&amp;window=popup_no_bar&amp;width=385&amp;height=120&amp;START_MAXIMIZED=FALSE&amp;creator=factset&amp;display_string=Audit"}</definedName>
    <definedName name="_1345__FDSAUDITLINK__" hidden="1">{"fdsup://Directions/FactSet Auditing Viewer?action=AUDIT_VALUE&amp;DB=129&amp;ID1=00786510&amp;VALUEID=01001&amp;SDATE=200601&amp;PERIODTYPE=QTR_STD&amp;window=popup_no_bar&amp;width=385&amp;height=120&amp;START_MAXIMIZED=FALSE&amp;creator=factset&amp;display_string=Audit"}</definedName>
    <definedName name="_1346__FDSAUDITLINK__" hidden="1">{"fdsup://Directions/FactSet Auditing Viewer?action=AUDIT_VALUE&amp;DB=129&amp;ID1=00786510&amp;VALUEID=13040&amp;SDATE=200601&amp;PERIODTYPE=QTR_STD&amp;window=popup_no_bar&amp;width=385&amp;height=120&amp;START_MAXIMIZED=FALSE&amp;creator=factset&amp;display_string=Audit"}</definedName>
    <definedName name="_1347__FDSAUDITLINK__" hidden="1">{"fdsup://Directions/FactSet Auditing Viewer?action=AUDIT_VALUE&amp;DB=129&amp;ID1=00289620&amp;VALUEID=02101&amp;SDATE=200601&amp;PERIODTYPE=QTR_STD&amp;window=popup_no_bar&amp;width=385&amp;height=120&amp;START_MAXIMIZED=FALSE&amp;creator=factset&amp;display_string=Audit"}</definedName>
    <definedName name="_1348__FDSAUDITLINK__" hidden="1">{"fdsup://Directions/FactSet Auditing Viewer?action=AUDIT_VALUE&amp;DB=129&amp;ID1=00289620&amp;VALUEID=01001&amp;SDATE=200601&amp;PERIODTYPE=QTR_STD&amp;window=popup_no_bar&amp;width=385&amp;height=120&amp;START_MAXIMIZED=FALSE&amp;creator=factset&amp;display_string=Audit"}</definedName>
    <definedName name="_1349__FDSAUDITLINK__" hidden="1">{"fdsup://Directions/FactSet Auditing Viewer?action=AUDIT_VALUE&amp;DB=129&amp;ID1=00289620&amp;VALUEID=13040&amp;SDATE=200601&amp;PERIODTYPE=QTR_STD&amp;window=popup_no_bar&amp;width=385&amp;height=120&amp;START_MAXIMIZED=FALSE&amp;creator=factset&amp;display_string=Audit"}</definedName>
    <definedName name="_135__FDSAUDITLINK__" hidden="1">{"fdsup://Directions/FactSet Auditing Viewer?action=AUDIT_VALUE&amp;DB=129&amp;ID1=00289620&amp;VALUEID=13040&amp;SDATE=200803&amp;PERIODTYPE=QTR_STD&amp;window=popup_no_bar&amp;width=385&amp;height=120&amp;START_MAXIMIZED=FALSE&amp;creator=factset&amp;display_string=Audit"}</definedName>
    <definedName name="_1350__FDSAUDITLINK__" hidden="1">{"fdsup://directions/FAT Viewer?action=UPDATE&amp;creator=factset&amp;DYN_ARGS=TRUE&amp;DOC_NAME=FAT:FQL_AUDITING_CLIENT_TEMPLATE.FAT&amp;display_string=Audit&amp;VAR:KEY=NKDWDYVSJA&amp;VAR:QUERY=RkZfUlRfU0ZfVE9UX0dST1NTKFFUUiwtMTcp&amp;WINDOW=FIRST_POPUP&amp;HEIGHT=450&amp;WIDTH=450&amp;START_MA","XIMIZED=FALSE&amp;VAR:CALENDAR=US&amp;VAR:SYMBOL=TLB&amp;VAR:INDEX=0"}</definedName>
    <definedName name="_1351__FDSAUDITLINK__" hidden="1">{"fdsup://directions/FAT Viewer?action=UPDATE&amp;creator=factset&amp;DYN_ARGS=TRUE&amp;DOC_NAME=FAT:FQL_AUDITING_CLIENT_TEMPLATE.FAT&amp;display_string=Audit&amp;VAR:KEY=DEZSPEHMVA&amp;VAR:QUERY=RkZfUlRfU0ZfVE9UX0dST1NTKFFUUiwtMTcp&amp;WINDOW=FIRST_POPUP&amp;HEIGHT=450&amp;WIDTH=450&amp;START_MA","XIMIZED=FALSE&amp;VAR:CALENDAR=US&amp;VAR:SYMBOL=AEO&amp;VAR:INDEX=0"}</definedName>
    <definedName name="_1352__FDSAUDITLINK__" hidden="1">{"fdsup://directions/FAT Viewer?action=UPDATE&amp;creator=factset&amp;DYN_ARGS=TRUE&amp;DOC_NAME=FAT:FQL_AUDITING_CLIENT_TEMPLATE.FAT&amp;display_string=Audit&amp;VAR:KEY=TURKDOPIZG&amp;VAR:QUERY=RkZfUlRfU0ZfVE9UX0dST1NTKFFUUiwtMTgp&amp;WINDOW=FIRST_POPUP&amp;HEIGHT=450&amp;WIDTH=450&amp;START_MA","XIMIZED=FALSE&amp;VAR:CALENDAR=US&amp;VAR:SYMBOL=TLB&amp;VAR:INDEX=0"}</definedName>
    <definedName name="_1353__FDSAUDITLINK__" hidden="1">{"fdsup://Directions/FactSet Auditing Viewer?action=AUDIT_VALUE&amp;DB=129&amp;ID1=03611510&amp;VALUEID=13040&amp;SDATE=200503&amp;PERIODTYPE=QTR_STD&amp;window=popup_no_bar&amp;width=385&amp;height=120&amp;START_MAXIMIZED=FALSE&amp;creator=factset&amp;display_string=Audit"}</definedName>
    <definedName name="_1354__FDSAUDITLINK__" hidden="1">{"fdsup://directions/FAT Viewer?action=UPDATE&amp;creator=factset&amp;DYN_ARGS=TRUE&amp;DOC_NAME=FAT:FQL_AUDITING_CLIENT_TEMPLATE.FAT&amp;display_string=Audit&amp;VAR:KEY=NUJIDQTCDM&amp;VAR:QUERY=RkZfUlRfU0ZfVE9UX0dST1NTKFFUUiwtMTgp&amp;WINDOW=FIRST_POPUP&amp;HEIGHT=450&amp;WIDTH=450&amp;START_MA","XIMIZED=FALSE&amp;VAR:CALENDAR=US&amp;VAR:SYMBOL=AEO&amp;VAR:INDEX=0"}</definedName>
    <definedName name="_1355__FDSAUDITLINK__" hidden="1">{"fdsup://directions/FAT Viewer?action=UPDATE&amp;creator=factset&amp;DYN_ARGS=TRUE&amp;DOC_NAME=FAT:FQL_AUDITING_CLIENT_TEMPLATE.FAT&amp;display_string=Audit&amp;VAR:KEY=HIHSXILWDI&amp;VAR:QUERY=RkZfUlRfU0ZfVE9UX0dST1NTKFFUUiwtMTkp&amp;WINDOW=FIRST_POPUP&amp;HEIGHT=450&amp;WIDTH=450&amp;START_MA","XIMIZED=FALSE&amp;VAR:CALENDAR=US&amp;VAR:SYMBOL=TLB&amp;VAR:INDEX=0"}</definedName>
    <definedName name="_1356__FDSAUDITLINK__" hidden="1">{"fdsup://Directions/FactSet Auditing Viewer?action=AUDIT_VALUE&amp;DB=129&amp;ID1=03611510&amp;VALUEID=13040&amp;SDATE=200502&amp;PERIODTYPE=QTR_STD&amp;window=popup_no_bar&amp;width=385&amp;height=120&amp;START_MAXIMIZED=FALSE&amp;creator=factset&amp;display_string=Audit"}</definedName>
    <definedName name="_1357__FDSAUDITLINK__" hidden="1">{"fdsup://directions/FAT Viewer?action=UPDATE&amp;creator=factset&amp;DYN_ARGS=TRUE&amp;DOC_NAME=FAT:FQL_AUDITING_CLIENT_TEMPLATE.FAT&amp;display_string=Audit&amp;VAR:KEY=BKDCTGPMZY&amp;VAR:QUERY=RkZfUlRfU0ZfVE9UX0dST1NTKFFUUiwtMTkp&amp;WINDOW=FIRST_POPUP&amp;HEIGHT=450&amp;WIDTH=450&amp;START_MA","XIMIZED=FALSE&amp;VAR:CALENDAR=US&amp;VAR:SYMBOL=AEO&amp;VAR:INDEX=0"}</definedName>
    <definedName name="_1358__FDSAUDITLINK__" hidden="1">{"fdsup://directions/FAT Viewer?action=UPDATE&amp;creator=factset&amp;DYN_ARGS=TRUE&amp;DOC_NAME=FAT:FQL_AUDITING_CLIENT_TEMPLATE.FAT&amp;display_string=Audit&amp;VAR:KEY=VABGPMHULC&amp;VAR:QUERY=RkZfUlRfU0ZfVE9UX0dST1NTKFFUUiwtMjAp&amp;WINDOW=FIRST_POPUP&amp;HEIGHT=450&amp;WIDTH=450&amp;START_MA","XIMIZED=FALSE&amp;VAR:CALENDAR=US&amp;VAR:SYMBOL=TLB&amp;VAR:INDEX=0"}</definedName>
    <definedName name="_1359__FDSAUDITLINK__" hidden="1">{"fdsup://Directions/FactSet Auditing Viewer?action=AUDIT_VALUE&amp;DB=129&amp;ID1=03611510&amp;VALUEID=13040&amp;SDATE=200501&amp;PERIODTYPE=QTR_STD&amp;window=popup_no_bar&amp;width=385&amp;height=120&amp;START_MAXIMIZED=FALSE&amp;creator=factset&amp;display_string=Audit"}</definedName>
    <definedName name="_136__FDSAUDITLINK__" hidden="1">{"fdsup://Directions/FactSet Auditing Viewer?action=AUDIT_VALUE&amp;DB=129&amp;ID1=87416110&amp;VALUEID=02101&amp;SDATE=200802&amp;PERIODTYPE=QTR_STD&amp;window=popup_no_bar&amp;width=385&amp;height=120&amp;START_MAXIMIZED=FALSE&amp;creator=factset&amp;display_string=Audit"}</definedName>
    <definedName name="_1360__FDSAUDITLINK__" hidden="1">{"fdsup://directions/FAT Viewer?action=UPDATE&amp;creator=factset&amp;DYN_ARGS=TRUE&amp;DOC_NAME=FAT:FQL_AUDITING_CLIENT_TEMPLATE.FAT&amp;display_string=Audit&amp;VAR:KEY=VMROTQVYPS&amp;VAR:QUERY=RkZfUlRfU0ZfVE9UX0dST1NTKFFUUiwtMjAp&amp;WINDOW=FIRST_POPUP&amp;HEIGHT=450&amp;WIDTH=450&amp;START_MA","XIMIZED=FALSE&amp;VAR:CALENDAR=US&amp;VAR:SYMBOL=AEO&amp;VAR:INDEX=0"}</definedName>
    <definedName name="_1361__FDSAUDITLINK__" hidden="1">{"fdsup://Directions/FactSet Auditing Viewer?action=AUDIT_VALUE&amp;DB=129&amp;ID1=16890510&amp;VALUEID=13040&amp;SDATE=200602&amp;PERIODTYPE=QTR_STD&amp;window=popup_no_bar&amp;width=385&amp;height=120&amp;START_MAXIMIZED=FALSE&amp;creator=factset&amp;display_string=Audit"}</definedName>
    <definedName name="_1362__FDSAUDITLINK__" hidden="1">{"fdsup://Directions/FactSet Auditing Viewer?action=AUDIT_VALUE&amp;DB=129&amp;ID1=16890510&amp;VALUEID=13040&amp;SDATE=200601&amp;PERIODTYPE=QTR_STD&amp;window=popup_no_bar&amp;width=385&amp;height=120&amp;START_MAXIMIZED=FALSE&amp;creator=factset&amp;display_string=Audit"}</definedName>
    <definedName name="_1363__FDSAUDITLINK__" hidden="1">{"fdsup://Directions/FactSet Auditing Viewer?action=AUDIT_VALUE&amp;DB=129&amp;ID1=16890510&amp;VALUEID=13040&amp;SDATE=200603&amp;PERIODTYPE=QTR_STD&amp;window=popup_no_bar&amp;width=385&amp;height=120&amp;START_MAXIMIZED=FALSE&amp;creator=factset&amp;display_string=Audit"}</definedName>
    <definedName name="_1364__FDSAUDITLINK__" hidden="1">{"fdsup://Directions/FactSet Auditing Viewer?action=AUDIT_VALUE&amp;DB=129&amp;ID1=16890510&amp;VALUEID=13040&amp;SDATE=200702&amp;PERIODTYPE=QTR_STD&amp;window=popup_no_bar&amp;width=385&amp;height=120&amp;START_MAXIMIZED=FALSE&amp;creator=factset&amp;display_string=Audit"}</definedName>
    <definedName name="_1365__FDSAUDITLINK__" hidden="1">{"fdsup://Directions/FactSet Auditing Viewer?action=AUDIT_VALUE&amp;DB=129&amp;ID1=16890510&amp;VALUEID=13040&amp;SDATE=200701&amp;PERIODTYPE=QTR_STD&amp;window=popup_no_bar&amp;width=385&amp;height=120&amp;START_MAXIMIZED=FALSE&amp;creator=factset&amp;display_string=Audit"}</definedName>
    <definedName name="_1366__FDSAUDITLINK__" hidden="1">{"fdsup://Directions/FactSet Auditing Viewer?action=AUDIT_VALUE&amp;DB=129&amp;ID1=16890510&amp;VALUEID=13040&amp;SDATE=200703&amp;PERIODTYPE=QTR_STD&amp;window=popup_no_bar&amp;width=385&amp;height=120&amp;START_MAXIMIZED=FALSE&amp;creator=factset&amp;display_string=Audit"}</definedName>
    <definedName name="_1367__FDSAUDITLINK__" hidden="1">{"fdsup://Directions/FactSet Auditing Viewer?action=AUDIT_VALUE&amp;DB=129&amp;ID1=16890510&amp;VALUEID=13040&amp;SDATE=200802&amp;PERIODTYPE=QTR_STD&amp;window=popup_no_bar&amp;width=385&amp;height=120&amp;START_MAXIMIZED=FALSE&amp;creator=factset&amp;display_string=Audit"}</definedName>
    <definedName name="_1368__FDSAUDITLINK__" hidden="1">{"fdsup://Directions/FactSet Auditing Viewer?action=AUDIT_VALUE&amp;DB=129&amp;ID1=16890510&amp;VALUEID=13040&amp;SDATE=200801&amp;PERIODTYPE=QTR_STD&amp;window=popup_no_bar&amp;width=385&amp;height=120&amp;START_MAXIMIZED=FALSE&amp;creator=factset&amp;display_string=Audit"}</definedName>
    <definedName name="_1369__FDSAUDITLINK__" hidden="1">{"fdsup://Directions/FactSet Auditing Viewer?action=AUDIT_VALUE&amp;DB=129&amp;ID1=16890510&amp;VALUEID=13040&amp;SDATE=200803&amp;PERIODTYPE=QTR_STD&amp;window=popup_no_bar&amp;width=385&amp;height=120&amp;START_MAXIMIZED=FALSE&amp;creator=factset&amp;display_string=Audit"}</definedName>
    <definedName name="_137__FDSAUDITLINK__" hidden="1">{"fdsup://Directions/FactSet Auditing Viewer?action=AUDIT_VALUE&amp;DB=129&amp;ID1=87416110&amp;VALUEID=01001&amp;SDATE=200802&amp;PERIODTYPE=QTR_STD&amp;window=popup_no_bar&amp;width=385&amp;height=120&amp;START_MAXIMIZED=FALSE&amp;creator=factset&amp;display_string=Audit"}</definedName>
    <definedName name="_1370__FDSAUDITLINK__" hidden="1">{"fdsup://Directions/FactSet Auditing Viewer?action=AUDIT_VALUE&amp;DB=129&amp;ID1=16890510&amp;VALUEID=13040&amp;SDATE=200902&amp;PERIODTYPE=QTR_STD&amp;window=popup_no_bar&amp;width=385&amp;height=120&amp;START_MAXIMIZED=FALSE&amp;creator=factset&amp;display_string=Audit"}</definedName>
    <definedName name="_1371__FDSAUDITLINK__" hidden="1">{"fdsup://Directions/FactSet Auditing Viewer?action=AUDIT_VALUE&amp;DB=129&amp;ID1=16890510&amp;VALUEID=13040&amp;SDATE=200903&amp;PERIODTYPE=QTR_STD&amp;window=popup_no_bar&amp;width=385&amp;height=120&amp;START_MAXIMIZED=FALSE&amp;creator=factset&amp;display_string=Audit"}</definedName>
    <definedName name="_1372__FDSAUDITLINK__" hidden="1">{"fdsup://Directions/FactSet Auditing Viewer?action=AUDIT_VALUE&amp;DB=129&amp;ID1=16890510&amp;VALUEID=13040&amp;SDATE=201001&amp;PERIODTYPE=QTR_STD&amp;window=popup_no_bar&amp;width=385&amp;height=120&amp;START_MAXIMIZED=FALSE&amp;creator=factset&amp;display_string=Audit"}</definedName>
    <definedName name="_1373__FDSAUDITLINK__" hidden="1">{"fdsup://Directions/FactSet Auditing Viewer?action=AUDIT_VALUE&amp;DB=129&amp;ID1=87416110&amp;VALUEID=01001&amp;SDATE=201001&amp;PERIODTYPE=QTR_STD&amp;window=popup_no_bar&amp;width=385&amp;height=120&amp;START_MAXIMIZED=FALSE&amp;creator=factset&amp;display_string=Audit"}</definedName>
    <definedName name="_1374__FDSAUDITLINK__" hidden="1">{"fdsup://Directions/FactSet Auditing Viewer?action=AUDIT_VALUE&amp;DB=129&amp;ID1=46612H40&amp;VALUEID=01001&amp;SDATE=201001&amp;PERIODTYPE=QTR_STD&amp;window=popup_no_bar&amp;width=385&amp;height=120&amp;START_MAXIMIZED=FALSE&amp;creator=factset&amp;display_string=Audit"}</definedName>
    <definedName name="_1375__FDSAUDITLINK__" hidden="1">{"fdsup://Directions/FactSet Auditing Viewer?action=AUDIT_VALUE&amp;DB=129&amp;ID1=03611510&amp;VALUEID=01001&amp;SDATE=201001&amp;PERIODTYPE=QTR_STD&amp;window=popup_no_bar&amp;width=385&amp;height=120&amp;START_MAXIMIZED=FALSE&amp;creator=factset&amp;display_string=Audit"}</definedName>
    <definedName name="_1376__FDSAUDITLINK__" hidden="1">{"fdsup://Directions/FactSet Auditing Viewer?action=AUDIT_VALUE&amp;DB=129&amp;ID1=16890510&amp;VALUEID=01001&amp;SDATE=201001&amp;PERIODTYPE=QTR_STD&amp;window=popup_no_bar&amp;width=385&amp;height=120&amp;START_MAXIMIZED=FALSE&amp;creator=factset&amp;display_string=Audit"}</definedName>
    <definedName name="_1377__FDSAUDITLINK__" hidden="1">{"fdsup://Directions/FactSet Auditing Viewer?action=AUDIT_VALUE&amp;DB=129&amp;ID1=91704710&amp;VALUEID=01001&amp;SDATE=201001&amp;PERIODTYPE=QTR_STD&amp;window=popup_no_bar&amp;width=385&amp;height=120&amp;START_MAXIMIZED=FALSE&amp;creator=factset&amp;display_string=Audit"}</definedName>
    <definedName name="_1378__FDSAUDITLINK__" hidden="1">{"fdsup://Directions/FactSet Auditing Viewer?action=AUDIT_VALUE&amp;DB=129&amp;ID1=02553E10&amp;VALUEID=01001&amp;SDATE=201001&amp;PERIODTYPE=QTR_STD&amp;window=popup_no_bar&amp;width=385&amp;height=120&amp;START_MAXIMIZED=FALSE&amp;creator=factset&amp;display_string=Audit"}</definedName>
    <definedName name="_1379__FDSAUDITLINK__" hidden="1">{"fdsup://Directions/FactSet Auditing Viewer?action=AUDIT_VALUE&amp;DB=129&amp;ID1=00786510&amp;VALUEID=01001&amp;SDATE=201001&amp;PERIODTYPE=QTR_STD&amp;window=popup_no_bar&amp;width=385&amp;height=120&amp;START_MAXIMIZED=FALSE&amp;creator=factset&amp;display_string=Audit"}</definedName>
    <definedName name="_138__FDSAUDITLINK__" hidden="1">{"fdsup://Directions/FactSet Auditing Viewer?action=AUDIT_VALUE&amp;DB=129&amp;ID1=53271610&amp;VALUEID=02101&amp;SDATE=200802&amp;PERIODTYPE=QTR_STD&amp;window=popup_no_bar&amp;width=385&amp;height=120&amp;START_MAXIMIZED=FALSE&amp;creator=factset&amp;display_string=Audit"}</definedName>
    <definedName name="_1380__FDSAUDITLINK__" hidden="1">{"fdsup://Directions/FactSet Auditing Viewer?action=AUDIT_VALUE&amp;DB=129&amp;ID1=00289620&amp;VALUEID=01001&amp;SDATE=201001&amp;PERIODTYPE=QTR_STD&amp;window=popup_no_bar&amp;width=385&amp;height=120&amp;START_MAXIMIZED=FALSE&amp;creator=factset&amp;display_string=Audit"}</definedName>
    <definedName name="_1381__FDSAUDITLINK__" hidden="1">{"fdsup://Directions/FactSet Auditing Viewer?action=AUDIT_VALUE&amp;DB=129&amp;ID1=53271610&amp;VALUEID=01001&amp;SDATE=201001&amp;PERIODTYPE=QTR_STD&amp;window=popup_no_bar&amp;width=385&amp;height=120&amp;START_MAXIMIZED=FALSE&amp;creator=factset&amp;display_string=Audit"}</definedName>
    <definedName name="_1382__FDSAUDITLINK__" hidden="1">{"fdsup://Directions/FactSet Auditing Viewer?action=AUDIT_VALUE&amp;DB=129&amp;ID1=36476010&amp;VALUEID=01001&amp;SDATE=201001&amp;PERIODTYPE=QTR_STD&amp;window=popup_no_bar&amp;width=385&amp;height=120&amp;START_MAXIMIZED=FALSE&amp;creator=factset&amp;display_string=Audit"}</definedName>
    <definedName name="_1383__FDSAUDITLINK__" hidden="1">{"fdsup://Directions/FactSet Auditing Viewer?action=AUDIT_VALUE&amp;DB=129&amp;ID1=40377710&amp;VALUEID=01001&amp;SDATE=200601&amp;PERIODTYPE=QTR_STD&amp;window=popup_no_bar&amp;width=385&amp;height=120&amp;START_MAXIMIZED=FALSE&amp;creator=factset&amp;display_string=Audit"}</definedName>
    <definedName name="_1384__FDSAUDITLINK__" hidden="1">{"fdsup://Directions/FactSet Auditing Viewer?action=AUDIT_VALUE&amp;DB=129&amp;ID1=40377710&amp;VALUEID=02101&amp;SDATE=200601&amp;PERIODTYPE=QTR_STD&amp;window=popup_no_bar&amp;width=385&amp;height=120&amp;START_MAXIMIZED=FALSE&amp;creator=factset&amp;display_string=Audit"}</definedName>
    <definedName name="_1385__FDSAUDITLINK__" hidden="1">{"fdsup://Directions/FactSet Auditing Viewer?action=AUDIT_VALUE&amp;DB=129&amp;ID1=40377710&amp;VALUEID=01001&amp;SDATE=200602&amp;PERIODTYPE=QTR_STD&amp;window=popup_no_bar&amp;width=385&amp;height=120&amp;START_MAXIMIZED=FALSE&amp;creator=factset&amp;display_string=Audit"}</definedName>
    <definedName name="_1386__FDSAUDITLINK__" hidden="1">{"fdsup://Directions/FactSet Auditing Viewer?action=AUDIT_VALUE&amp;DB=129&amp;ID1=40377710&amp;VALUEID=02101&amp;SDATE=200602&amp;PERIODTYPE=QTR_STD&amp;window=popup_no_bar&amp;width=385&amp;height=120&amp;START_MAXIMIZED=FALSE&amp;creator=factset&amp;display_string=Audit"}</definedName>
    <definedName name="_1387__FDSAUDITLINK__" hidden="1">{"fdsup://Directions/FactSet Auditing Viewer?action=AUDIT_VALUE&amp;DB=129&amp;ID1=40377710&amp;VALUEID=01001&amp;SDATE=200603&amp;PERIODTYPE=QTR_STD&amp;window=popup_no_bar&amp;width=385&amp;height=120&amp;START_MAXIMIZED=FALSE&amp;creator=factset&amp;display_string=Audit"}</definedName>
    <definedName name="_1388__FDSAUDITLINK__" hidden="1">{"fdsup://Directions/FactSet Auditing Viewer?action=AUDIT_VALUE&amp;DB=129&amp;ID1=40377710&amp;VALUEID=02101&amp;SDATE=200603&amp;PERIODTYPE=QTR_STD&amp;window=popup_no_bar&amp;width=385&amp;height=120&amp;START_MAXIMIZED=FALSE&amp;creator=factset&amp;display_string=Audit"}</definedName>
    <definedName name="_1389__FDSAUDITLINK__" hidden="1">{"fdsup://Directions/FactSet Auditing Viewer?action=AUDIT_VALUE&amp;DB=129&amp;ID1=40377710&amp;VALUEID=01001&amp;SDATE=200604&amp;PERIODTYPE=QTR_STD&amp;window=popup_no_bar&amp;width=385&amp;height=120&amp;START_MAXIMIZED=FALSE&amp;creator=factset&amp;display_string=Audit"}</definedName>
    <definedName name="_139__FDSAUDITLINK__" hidden="1">{"fdsup://Directions/FactSet Auditing Viewer?action=AUDIT_VALUE&amp;DB=129&amp;ID1=53271610&amp;VALUEID=01001&amp;SDATE=200802&amp;PERIODTYPE=QTR_STD&amp;window=popup_no_bar&amp;width=385&amp;height=120&amp;START_MAXIMIZED=FALSE&amp;creator=factset&amp;display_string=Audit"}</definedName>
    <definedName name="_1390__FDSAUDITLINK__" hidden="1">{"fdsup://Directions/FactSet Auditing Viewer?action=AUDIT_VALUE&amp;DB=129&amp;ID1=40377710&amp;VALUEID=01001&amp;SDATE=200701&amp;PERIODTYPE=QTR_STD&amp;window=popup_no_bar&amp;width=385&amp;height=120&amp;START_MAXIMIZED=FALSE&amp;creator=factset&amp;display_string=Audit"}</definedName>
    <definedName name="_1391__FDSAUDITLINK__" hidden="1">{"fdsup://Directions/FactSet Auditing Viewer?action=AUDIT_VALUE&amp;DB=129&amp;ID1=40377710&amp;VALUEID=02101&amp;SDATE=200701&amp;PERIODTYPE=QTR_STD&amp;window=popup_no_bar&amp;width=385&amp;height=120&amp;START_MAXIMIZED=FALSE&amp;creator=factset&amp;display_string=Audit"}</definedName>
    <definedName name="_1392__FDSAUDITLINK__" hidden="1">{"fdsup://Directions/FactSet Auditing Viewer?action=AUDIT_VALUE&amp;DB=129&amp;ID1=40377710&amp;VALUEID=01001&amp;SDATE=200702&amp;PERIODTYPE=QTR_STD&amp;window=popup_no_bar&amp;width=385&amp;height=120&amp;START_MAXIMIZED=FALSE&amp;creator=factset&amp;display_string=Audit"}</definedName>
    <definedName name="_1393__FDSAUDITLINK__" hidden="1">{"fdsup://Directions/FactSet Auditing Viewer?action=AUDIT_VALUE&amp;DB=129&amp;ID1=40377710&amp;VALUEID=02101&amp;SDATE=200702&amp;PERIODTYPE=QTR_STD&amp;window=popup_no_bar&amp;width=385&amp;height=120&amp;START_MAXIMIZED=FALSE&amp;creator=factset&amp;display_string=Audit"}</definedName>
    <definedName name="_1394__FDSAUDITLINK__" hidden="1">{"fdsup://Directions/FactSet Auditing Viewer?action=AUDIT_VALUE&amp;DB=129&amp;ID1=40377710&amp;VALUEID=01001&amp;SDATE=200703&amp;PERIODTYPE=QTR_STD&amp;window=popup_no_bar&amp;width=385&amp;height=120&amp;START_MAXIMIZED=FALSE&amp;creator=factset&amp;display_string=Audit"}</definedName>
    <definedName name="_1395__FDSAUDITLINK__" hidden="1">{"fdsup://Directions/FactSet Auditing Viewer?action=AUDIT_VALUE&amp;DB=129&amp;ID1=40377710&amp;VALUEID=02101&amp;SDATE=200703&amp;PERIODTYPE=QTR_STD&amp;window=popup_no_bar&amp;width=385&amp;height=120&amp;START_MAXIMIZED=FALSE&amp;creator=factset&amp;display_string=Audit"}</definedName>
    <definedName name="_1396__FDSAUDITLINK__" hidden="1">{"fdsup://Directions/FactSet Auditing Viewer?action=AUDIT_VALUE&amp;DB=129&amp;ID1=40377710&amp;VALUEID=01001&amp;SDATE=200704&amp;PERIODTYPE=QTR_STD&amp;window=popup_no_bar&amp;width=385&amp;height=120&amp;START_MAXIMIZED=FALSE&amp;creator=factset&amp;display_string=Audit"}</definedName>
    <definedName name="_1397__FDSAUDITLINK__" hidden="1">{"fdsup://Directions/FactSet Auditing Viewer?action=AUDIT_VALUE&amp;DB=129&amp;ID1=40377710&amp;VALUEID=01001&amp;SDATE=200801&amp;PERIODTYPE=QTR_STD&amp;window=popup_no_bar&amp;width=385&amp;height=120&amp;START_MAXIMIZED=FALSE&amp;creator=factset&amp;display_string=Audit"}</definedName>
    <definedName name="_1398__FDSAUDITLINK__" hidden="1">{"fdsup://Directions/FactSet Auditing Viewer?action=AUDIT_VALUE&amp;DB=129&amp;ID1=40377710&amp;VALUEID=02101&amp;SDATE=200801&amp;PERIODTYPE=QTR_STD&amp;window=popup_no_bar&amp;width=385&amp;height=120&amp;START_MAXIMIZED=FALSE&amp;creator=factset&amp;display_string=Audit"}</definedName>
    <definedName name="_1399__FDSAUDITLINK__" hidden="1">{"fdsup://Directions/FactSet Auditing Viewer?action=AUDIT_VALUE&amp;DB=129&amp;ID1=40377710&amp;VALUEID=01001&amp;SDATE=200802&amp;PERIODTYPE=QTR_STD&amp;window=popup_no_bar&amp;width=385&amp;height=120&amp;START_MAXIMIZED=FALSE&amp;creator=factset&amp;display_string=Audit"}</definedName>
    <definedName name="_14__FDSAUDITLINK__" hidden="1">{"fdsup://Directions/FactSet Auditing Viewer?action=AUDIT_VALUE&amp;DB=129&amp;ID1=91704710&amp;VALUEID=13040&amp;SDATE=201001&amp;PERIODTYPE=QTR_STD&amp;window=popup_no_bar&amp;width=385&amp;height=120&amp;START_MAXIMIZED=FALSE&amp;creator=factset&amp;display_string=Audit"}</definedName>
    <definedName name="_140__FDSAUDITLINK__" hidden="1">{"fdsup://Directions/FactSet Auditing Viewer?action=AUDIT_VALUE&amp;DB=129&amp;ID1=53271610&amp;VALUEID=13040&amp;SDATE=200802&amp;PERIODTYPE=QTR_STD&amp;window=popup_no_bar&amp;width=385&amp;height=120&amp;START_MAXIMIZED=FALSE&amp;creator=factset&amp;display_string=Audit"}</definedName>
    <definedName name="_1400__FDSAUDITLINK__" hidden="1">{"fdsup://Directions/FactSet Auditing Viewer?action=AUDIT_VALUE&amp;DB=129&amp;ID1=40377710&amp;VALUEID=02101&amp;SDATE=200802&amp;PERIODTYPE=QTR_STD&amp;window=popup_no_bar&amp;width=385&amp;height=120&amp;START_MAXIMIZED=FALSE&amp;creator=factset&amp;display_string=Audit"}</definedName>
    <definedName name="_1401__FDSAUDITLINK__" hidden="1">{"fdsup://Directions/FactSet Auditing Viewer?action=AUDIT_VALUE&amp;DB=129&amp;ID1=40377710&amp;VALUEID=01001&amp;SDATE=200803&amp;PERIODTYPE=QTR_STD&amp;window=popup_no_bar&amp;width=385&amp;height=120&amp;START_MAXIMIZED=FALSE&amp;creator=factset&amp;display_string=Audit"}</definedName>
    <definedName name="_1402__FDSAUDITLINK__" hidden="1">{"fdsup://Directions/FactSet Auditing Viewer?action=AUDIT_VALUE&amp;DB=129&amp;ID1=40377710&amp;VALUEID=02101&amp;SDATE=200803&amp;PERIODTYPE=QTR_STD&amp;window=popup_no_bar&amp;width=385&amp;height=120&amp;START_MAXIMIZED=FALSE&amp;creator=factset&amp;display_string=Audit"}</definedName>
    <definedName name="_1403__FDSAUDITLINK__" hidden="1">{"fdsup://Directions/FactSet Auditing Viewer?action=AUDIT_VALUE&amp;DB=129&amp;ID1=40377710&amp;VALUEID=01001&amp;SDATE=200804&amp;PERIODTYPE=QTR_STD&amp;window=popup_no_bar&amp;width=385&amp;height=120&amp;START_MAXIMIZED=FALSE&amp;creator=factset&amp;display_string=Audit"}</definedName>
    <definedName name="_1404__FDSAUDITLINK__" hidden="1">{"fdsup://Directions/FactSet Auditing Viewer?action=AUDIT_VALUE&amp;DB=129&amp;ID1=40377710&amp;VALUEID=01001&amp;SDATE=200901&amp;PERIODTYPE=QTR_STD&amp;window=popup_no_bar&amp;width=385&amp;height=120&amp;START_MAXIMIZED=FALSE&amp;creator=factset&amp;display_string=Audit"}</definedName>
    <definedName name="_1405__FDSAUDITLINK__" hidden="1">{"fdsup://Directions/FactSet Auditing Viewer?action=AUDIT_VALUE&amp;DB=129&amp;ID1=40377710&amp;VALUEID=02101&amp;SDATE=200901&amp;PERIODTYPE=QTR_STD&amp;window=popup_no_bar&amp;width=385&amp;height=120&amp;START_MAXIMIZED=FALSE&amp;creator=factset&amp;display_string=Audit"}</definedName>
    <definedName name="_1406__FDSAUDITLINK__" hidden="1">{"fdsup://Directions/FactSet Auditing Viewer?action=AUDIT_VALUE&amp;DB=129&amp;ID1=40377710&amp;VALUEID=01001&amp;SDATE=200902&amp;PERIODTYPE=QTR_STD&amp;window=popup_no_bar&amp;width=385&amp;height=120&amp;START_MAXIMIZED=FALSE&amp;creator=factset&amp;display_string=Audit"}</definedName>
    <definedName name="_1407__FDSAUDITLINK__" hidden="1">{"fdsup://Directions/FactSet Auditing Viewer?action=AUDIT_VALUE&amp;DB=129&amp;ID1=40377710&amp;VALUEID=02101&amp;SDATE=200902&amp;PERIODTYPE=QTR_STD&amp;window=popup_no_bar&amp;width=385&amp;height=120&amp;START_MAXIMIZED=FALSE&amp;creator=factset&amp;display_string=Audit"}</definedName>
    <definedName name="_1408__FDSAUDITLINK__" hidden="1">{"fdsup://Directions/FactSet Auditing Viewer?action=AUDIT_VALUE&amp;DB=129&amp;ID1=40377710&amp;VALUEID=01001&amp;SDATE=200903&amp;PERIODTYPE=QTR_STD&amp;window=popup_no_bar&amp;width=385&amp;height=120&amp;START_MAXIMIZED=FALSE&amp;creator=factset&amp;display_string=Audit"}</definedName>
    <definedName name="_1409__FDSAUDITLINK__" hidden="1">{"fdsup://Directions/FactSet Auditing Viewer?action=AUDIT_VALUE&amp;DB=129&amp;ID1=40377710&amp;VALUEID=02101&amp;SDATE=200903&amp;PERIODTYPE=QTR_STD&amp;window=popup_no_bar&amp;width=385&amp;height=120&amp;START_MAXIMIZED=FALSE&amp;creator=factset&amp;display_string=Audit"}</definedName>
    <definedName name="_141__FDSAUDITLINK__" hidden="1">{"fdsup://Directions/FactSet Auditing Viewer?action=AUDIT_VALUE&amp;DB=129&amp;ID1=46612H40&amp;VALUEID=02101&amp;SDATE=200802&amp;PERIODTYPE=QTR_STD&amp;window=popup_no_bar&amp;width=385&amp;height=120&amp;START_MAXIMIZED=FALSE&amp;creator=factset&amp;display_string=Audit"}</definedName>
    <definedName name="_1410__FDSAUDITLINK__" hidden="1">{"fdsup://Directions/FactSet Auditing Viewer?action=AUDIT_VALUE&amp;DB=129&amp;ID1=40377710&amp;VALUEID=01001&amp;SDATE=200904&amp;PERIODTYPE=QTR_STD&amp;window=popup_no_bar&amp;width=385&amp;height=120&amp;START_MAXIMIZED=FALSE&amp;creator=factset&amp;display_string=Audit"}</definedName>
    <definedName name="_1411__FDSAUDITLINK__" hidden="1">{"fdsup://Directions/FactSet Auditing Viewer?action=AUDIT_VALUE&amp;DB=129&amp;ID1=40377710&amp;VALUEID=01001&amp;SDATE=201001&amp;PERIODTYPE=QTR_STD&amp;window=popup_no_bar&amp;width=385&amp;height=120&amp;START_MAXIMIZED=FALSE&amp;creator=factset&amp;display_string=Audit"}</definedName>
    <definedName name="_1412__FDSAUDITLINK__" hidden="1">{"fdsup://Directions/FactSet Auditing Viewer?action=AUDIT_VALUE&amp;DB=129&amp;ID1=40377710&amp;VALUEID=02101&amp;SDATE=201001&amp;PERIODTYPE=QTR_STD&amp;window=popup_no_bar&amp;width=385&amp;height=120&amp;START_MAXIMIZED=FALSE&amp;creator=factset&amp;display_string=Audit"}</definedName>
    <definedName name="_1413__FDSAUDITLINK__" hidden="1">{"fdsup://directions/FAT Viewer?action=UPDATE&amp;creator=factset&amp;DYN_ARGS=TRUE&amp;DOC_NAME=FAT:FQL_AUDITING_CLIENT_TEMPLATE.FAT&amp;display_string=Audit&amp;VAR:KEY=TIVULSDMDS&amp;VAR:QUERY=RkZfUlRfU0ZfVE9UX0dST1NTKFFUUiwtNDQp&amp;WINDOW=FIRST_POPUP&amp;HEIGHT=450&amp;WIDTH=450&amp;START_MA","XIMIZED=FALSE&amp;VAR:CALENDAR=US&amp;VAR:SYMBOL=GYMB&amp;VAR:INDEX=0"}</definedName>
    <definedName name="_1414__FDSAUDITLINK__" hidden="1">{"fdsup://directions/FAT Viewer?action=UPDATE&amp;creator=factset&amp;DYN_ARGS=TRUE&amp;DOC_NAME=FAT:FQL_AUDITING_CLIENT_TEMPLATE.FAT&amp;display_string=Audit&amp;VAR:KEY=LGPIREFUFO&amp;VAR:QUERY=RkZfUlRfU0ZfVE9UX0dST1NTKFFUUiwtNDMp&amp;WINDOW=FIRST_POPUP&amp;HEIGHT=450&amp;WIDTH=450&amp;START_MA","XIMIZED=FALSE&amp;VAR:CALENDAR=US&amp;VAR:SYMBOL=GYMB&amp;VAR:INDEX=0"}</definedName>
    <definedName name="_1415__FDSAUDITLINK__" hidden="1">{"fdsup://directions/FAT Viewer?action=UPDATE&amp;creator=factset&amp;DYN_ARGS=TRUE&amp;DOC_NAME=FAT:FQL_AUDITING_CLIENT_TEMPLATE.FAT&amp;display_string=Audit&amp;VAR:KEY=JYTABURKFY&amp;VAR:QUERY=RkZfUlRfU0ZfVE9UX0dST1NTKFFUUiwtNDIp&amp;WINDOW=FIRST_POPUP&amp;HEIGHT=450&amp;WIDTH=450&amp;START_MA","XIMIZED=FALSE&amp;VAR:CALENDAR=US&amp;VAR:SYMBOL=GYMB&amp;VAR:INDEX=0"}</definedName>
    <definedName name="_1416__FDSAUDITLINK__" hidden="1">{"fdsup://directions/FAT Viewer?action=UPDATE&amp;creator=factset&amp;DYN_ARGS=TRUE&amp;DOC_NAME=FAT:FQL_AUDITING_CLIENT_TEMPLATE.FAT&amp;display_string=Audit&amp;VAR:KEY=NQZSJEVCTC&amp;VAR:QUERY=RkZfUlRfU0ZfVE9UX0dST1NTKFFUUiwtNDEp&amp;WINDOW=FIRST_POPUP&amp;HEIGHT=450&amp;WIDTH=450&amp;START_MA","XIMIZED=FALSE&amp;VAR:CALENDAR=US&amp;VAR:SYMBOL=GYMB&amp;VAR:INDEX=0"}</definedName>
    <definedName name="_1417__FDSAUDITLINK__" hidden="1">{"fdsup://directions/FAT Viewer?action=UPDATE&amp;creator=factset&amp;DYN_ARGS=TRUE&amp;DOC_NAME=FAT:FQL_AUDITING_CLIENT_TEMPLATE.FAT&amp;display_string=Audit&amp;VAR:KEY=VAXEBONQHK&amp;VAR:QUERY=RkZfUlRfU0ZfVE9UX0dST1NTKFFUUiwtNDAp&amp;WINDOW=FIRST_POPUP&amp;HEIGHT=450&amp;WIDTH=450&amp;START_MA","XIMIZED=FALSE&amp;VAR:CALENDAR=US&amp;VAR:SYMBOL=GYMB&amp;VAR:INDEX=0"}</definedName>
    <definedName name="_1418__FDSAUDITLINK__" hidden="1">{"fdsup://directions/FAT Viewer?action=UPDATE&amp;creator=factset&amp;DYN_ARGS=TRUE&amp;DOC_NAME=FAT:FQL_AUDITING_CLIENT_TEMPLATE.FAT&amp;display_string=Audit&amp;VAR:KEY=PIHQPQTEFG&amp;VAR:QUERY=RkZfUlRfU0ZfVE9UX0dST1NTKFFUUiwtMzkp&amp;WINDOW=FIRST_POPUP&amp;HEIGHT=450&amp;WIDTH=450&amp;START_MA","XIMIZED=FALSE&amp;VAR:CALENDAR=US&amp;VAR:SYMBOL=GYMB&amp;VAR:INDEX=0"}</definedName>
    <definedName name="_1419__FDSAUDITLINK__" hidden="1">{"fdsup://directions/FAT Viewer?action=UPDATE&amp;creator=factset&amp;DYN_ARGS=TRUE&amp;DOC_NAME=FAT:FQL_AUDITING_CLIENT_TEMPLATE.FAT&amp;display_string=Audit&amp;VAR:KEY=PWPALKRENU&amp;VAR:QUERY=RkZfUlRfU0ZfVE9UX0dST1NTKFFUUiwtMzgp&amp;WINDOW=FIRST_POPUP&amp;HEIGHT=450&amp;WIDTH=450&amp;START_MA","XIMIZED=FALSE&amp;VAR:CALENDAR=US&amp;VAR:SYMBOL=GYMB&amp;VAR:INDEX=0"}</definedName>
    <definedName name="_142__FDSAUDITLINK__" hidden="1">{"fdsup://Directions/FactSet Auditing Viewer?action=AUDIT_VALUE&amp;DB=129&amp;ID1=46612H40&amp;VALUEID=01001&amp;SDATE=200802&amp;PERIODTYPE=QTR_STD&amp;window=popup_no_bar&amp;width=385&amp;height=120&amp;START_MAXIMIZED=FALSE&amp;creator=factset&amp;display_string=Audit"}</definedName>
    <definedName name="_1420__FDSAUDITLINK__" hidden="1">{"fdsup://directions/FAT Viewer?action=UPDATE&amp;creator=factset&amp;DYN_ARGS=TRUE&amp;DOC_NAME=FAT:FQL_AUDITING_CLIENT_TEMPLATE.FAT&amp;display_string=Audit&amp;VAR:KEY=FKZQDQZSLI&amp;VAR:QUERY=RkZfUlRfU0ZfVE9UX0dST1NTKFFUUiwtMzcp&amp;WINDOW=FIRST_POPUP&amp;HEIGHT=450&amp;WIDTH=450&amp;START_MA","XIMIZED=FALSE&amp;VAR:CALENDAR=US&amp;VAR:SYMBOL=GYMB&amp;VAR:INDEX=0"}</definedName>
    <definedName name="_1421__FDSAUDITLINK__" hidden="1">{"fdsup://directions/FAT Viewer?action=UPDATE&amp;creator=factset&amp;DYN_ARGS=TRUE&amp;DOC_NAME=FAT:FQL_AUDITING_CLIENT_TEMPLATE.FAT&amp;display_string=Audit&amp;VAR:KEY=HQVKRWHAXM&amp;VAR:QUERY=RkZfUlRfU0ZfVE9UX0dST1NTKFFUUiwtMzYp&amp;WINDOW=FIRST_POPUP&amp;HEIGHT=450&amp;WIDTH=450&amp;START_MA","XIMIZED=FALSE&amp;VAR:CALENDAR=US&amp;VAR:SYMBOL=GYMB&amp;VAR:INDEX=0"}</definedName>
    <definedName name="_1422__FDSAUDITLINK__" hidden="1">{"fdsup://directions/FAT Viewer?action=UPDATE&amp;creator=factset&amp;DYN_ARGS=TRUE&amp;DOC_NAME=FAT:FQL_AUDITING_CLIENT_TEMPLATE.FAT&amp;display_string=Audit&amp;VAR:KEY=FKDCROBATC&amp;VAR:QUERY=RkZfUlRfU0ZfVE9UX0dST1NTKFFUUiwtMzUp&amp;WINDOW=FIRST_POPUP&amp;HEIGHT=450&amp;WIDTH=450&amp;START_MA","XIMIZED=FALSE&amp;VAR:CALENDAR=US&amp;VAR:SYMBOL=GYMB&amp;VAR:INDEX=0"}</definedName>
    <definedName name="_1423__FDSAUDITLINK__" hidden="1">{"fdsup://directions/FAT Viewer?action=UPDATE&amp;creator=factset&amp;DYN_ARGS=TRUE&amp;DOC_NAME=FAT:FQL_AUDITING_CLIENT_TEMPLATE.FAT&amp;display_string=Audit&amp;VAR:KEY=RGXKJGXSRY&amp;VAR:QUERY=RkZfUlRfU0ZfVE9UX0dST1NTKFFUUiwtMzQp&amp;WINDOW=FIRST_POPUP&amp;HEIGHT=450&amp;WIDTH=450&amp;START_MA","XIMIZED=FALSE&amp;VAR:CALENDAR=US&amp;VAR:SYMBOL=GYMB&amp;VAR:INDEX=0"}</definedName>
    <definedName name="_1424__FDSAUDITLINK__" hidden="1">{"fdsup://directions/FAT Viewer?action=UPDATE&amp;creator=factset&amp;DYN_ARGS=TRUE&amp;DOC_NAME=FAT:FQL_AUDITING_CLIENT_TEMPLATE.FAT&amp;display_string=Audit&amp;VAR:KEY=NEDCPADABM&amp;VAR:QUERY=RkZfUlRfU0ZfVE9UX0dST1NTKFFUUiwtMzMp&amp;WINDOW=FIRST_POPUP&amp;HEIGHT=450&amp;WIDTH=450&amp;START_MA","XIMIZED=FALSE&amp;VAR:CALENDAR=US&amp;VAR:SYMBOL=GYMB&amp;VAR:INDEX=0"}</definedName>
    <definedName name="_1425__FDSAUDITLINK__" hidden="1">{"fdsup://directions/FAT Viewer?action=UPDATE&amp;creator=factset&amp;DYN_ARGS=TRUE&amp;DOC_NAME=FAT:FQL_AUDITING_CLIENT_TEMPLATE.FAT&amp;display_string=Audit&amp;VAR:KEY=LSHCBIVWFW&amp;VAR:QUERY=RkZfUlRfU0ZfVE9UX0dST1NTKFFUUiwtMzIp&amp;WINDOW=FIRST_POPUP&amp;HEIGHT=450&amp;WIDTH=450&amp;START_MA","XIMIZED=FALSE&amp;VAR:CALENDAR=US&amp;VAR:SYMBOL=GYMB&amp;VAR:INDEX=0"}</definedName>
    <definedName name="_1426__FDSAUDITLINK__" hidden="1">{"fdsup://directions/FAT Viewer?action=UPDATE&amp;creator=factset&amp;DYN_ARGS=TRUE&amp;DOC_NAME=FAT:FQL_AUDITING_CLIENT_TEMPLATE.FAT&amp;display_string=Audit&amp;VAR:KEY=RIBYZAVYBO&amp;VAR:QUERY=RkZfUlRfU0ZfVE9UX0dST1NTKFFUUiwtMzEp&amp;WINDOW=FIRST_POPUP&amp;HEIGHT=450&amp;WIDTH=450&amp;START_MA","XIMIZED=FALSE&amp;VAR:CALENDAR=US&amp;VAR:SYMBOL=GYMB&amp;VAR:INDEX=0"}</definedName>
    <definedName name="_1427__FDSAUDITLINK__" hidden="1">{"fdsup://directions/FAT Viewer?action=UPDATE&amp;creator=factset&amp;DYN_ARGS=TRUE&amp;DOC_NAME=FAT:FQL_AUDITING_CLIENT_TEMPLATE.FAT&amp;display_string=Audit&amp;VAR:KEY=DKPUNITODE&amp;VAR:QUERY=RkZfUlRfU0ZfVE9UX0dST1NTKFFUUiwtMzAp&amp;WINDOW=FIRST_POPUP&amp;HEIGHT=450&amp;WIDTH=450&amp;START_MA","XIMIZED=FALSE&amp;VAR:CALENDAR=US&amp;VAR:SYMBOL=GYMB&amp;VAR:INDEX=0"}</definedName>
    <definedName name="_1428__FDSAUDITLINK__" hidden="1">{"fdsup://directions/FAT Viewer?action=UPDATE&amp;creator=factset&amp;DYN_ARGS=TRUE&amp;DOC_NAME=FAT:FQL_AUDITING_CLIENT_TEMPLATE.FAT&amp;display_string=Audit&amp;VAR:KEY=DCZMDKFYDS&amp;VAR:QUERY=RkZfUlRfU0ZfVE9UX0dST1NTKFFUUiwtMjkp&amp;WINDOW=FIRST_POPUP&amp;HEIGHT=450&amp;WIDTH=450&amp;START_MA","XIMIZED=FALSE&amp;VAR:CALENDAR=US&amp;VAR:SYMBOL=GYMB&amp;VAR:INDEX=0"}</definedName>
    <definedName name="_1429__FDSAUDITLINK__" hidden="1">{"fdsup://directions/FAT Viewer?action=UPDATE&amp;creator=factset&amp;DYN_ARGS=TRUE&amp;DOC_NAME=FAT:FQL_AUDITING_CLIENT_TEMPLATE.FAT&amp;display_string=Audit&amp;VAR:KEY=REBEDKBEJS&amp;VAR:QUERY=RkZfUlRfU0ZfVE9UX0dST1NTKFFUUiwtMjgp&amp;WINDOW=FIRST_POPUP&amp;HEIGHT=450&amp;WIDTH=450&amp;START_MA","XIMIZED=FALSE&amp;VAR:CALENDAR=US&amp;VAR:SYMBOL=GYMB&amp;VAR:INDEX=0"}</definedName>
    <definedName name="_143__FDSAUDITLINK__" hidden="1">{"fdsup://Directions/FactSet Auditing Viewer?action=AUDIT_VALUE&amp;DB=129&amp;ID1=46612H40&amp;VALUEID=13040&amp;SDATE=200802&amp;PERIODTYPE=QTR_STD&amp;window=popup_no_bar&amp;width=385&amp;height=120&amp;START_MAXIMIZED=FALSE&amp;creator=factset&amp;display_string=Audit"}</definedName>
    <definedName name="_1430__FDSAUDITLINK__" hidden="1">{"fdsup://directions/FAT Viewer?action=UPDATE&amp;creator=factset&amp;DYN_ARGS=TRUE&amp;DOC_NAME=FAT:FQL_AUDITING_CLIENT_TEMPLATE.FAT&amp;display_string=Audit&amp;VAR:KEY=LOPKLIVKBE&amp;VAR:QUERY=RkZfUlRfU0ZfVE9UX0dST1NTKFFUUiwtMjcp&amp;WINDOW=FIRST_POPUP&amp;HEIGHT=450&amp;WIDTH=450&amp;START_MA","XIMIZED=FALSE&amp;VAR:CALENDAR=US&amp;VAR:SYMBOL=GYMB&amp;VAR:INDEX=0"}</definedName>
    <definedName name="_1431__FDSAUDITLINK__" hidden="1">{"fdsup://directions/FAT Viewer?action=UPDATE&amp;creator=factset&amp;DYN_ARGS=TRUE&amp;DOC_NAME=FAT:FQL_AUDITING_CLIENT_TEMPLATE.FAT&amp;display_string=Audit&amp;VAR:KEY=HWTMTYBQHY&amp;VAR:QUERY=RkZfUlRfU0ZfVE9UX0dST1NTKFFUUiwtMjYp&amp;WINDOW=FIRST_POPUP&amp;HEIGHT=450&amp;WIDTH=450&amp;START_MA","XIMIZED=FALSE&amp;VAR:CALENDAR=US&amp;VAR:SYMBOL=GYMB&amp;VAR:INDEX=0"}</definedName>
    <definedName name="_1432__FDSAUDITLINK__" hidden="1">{"fdsup://directions/FAT Viewer?action=UPDATE&amp;creator=factset&amp;DYN_ARGS=TRUE&amp;DOC_NAME=FAT:FQL_AUDITING_CLIENT_TEMPLATE.FAT&amp;display_string=Audit&amp;VAR:KEY=PUPOZEVABO&amp;VAR:QUERY=RkZfUlRfU0ZfVE9UX0dST1NTKFFUUiwtMjUp&amp;WINDOW=FIRST_POPUP&amp;HEIGHT=450&amp;WIDTH=450&amp;START_MA","XIMIZED=FALSE&amp;VAR:CALENDAR=US&amp;VAR:SYMBOL=GYMB&amp;VAR:INDEX=0"}</definedName>
    <definedName name="_1433__FDSAUDITLINK__" hidden="1">{"fdsup://directions/FAT Viewer?action=UPDATE&amp;creator=factset&amp;DYN_ARGS=TRUE&amp;DOC_NAME=FAT:FQL_AUDITING_CLIENT_TEMPLATE.FAT&amp;display_string=Audit&amp;VAR:KEY=DCZYDEDCZQ&amp;VAR:QUERY=RkZfUlRfU0ZfVE9UX0dST1NTKFFUUiwtMjQp&amp;WINDOW=FIRST_POPUP&amp;HEIGHT=450&amp;WIDTH=450&amp;START_MA","XIMIZED=FALSE&amp;VAR:CALENDAR=US&amp;VAR:SYMBOL=GYMB&amp;VAR:INDEX=0"}</definedName>
    <definedName name="_1434__FDSAUDITLINK__" hidden="1">{"fdsup://directions/FAT Viewer?action=UPDATE&amp;creator=factset&amp;DYN_ARGS=TRUE&amp;DOC_NAME=FAT:FQL_AUDITING_CLIENT_TEMPLATE.FAT&amp;display_string=Audit&amp;VAR:KEY=FOBGXGRATQ&amp;VAR:QUERY=RkZfUlRfU0ZfVE9UX0dST1NTKFFUUiwtMjMp&amp;WINDOW=FIRST_POPUP&amp;HEIGHT=450&amp;WIDTH=450&amp;START_MA","XIMIZED=FALSE&amp;VAR:CALENDAR=US&amp;VAR:SYMBOL=GYMB&amp;VAR:INDEX=0"}</definedName>
    <definedName name="_1435__FDSAUDITLINK__" hidden="1">{"fdsup://directions/FAT Viewer?action=UPDATE&amp;creator=factset&amp;DYN_ARGS=TRUE&amp;DOC_NAME=FAT:FQL_AUDITING_CLIENT_TEMPLATE.FAT&amp;display_string=Audit&amp;VAR:KEY=HIRWDWNUXK&amp;VAR:QUERY=RkZfUlRfU0ZfVE9UX0dST1NTKFFUUiwtMjIp&amp;WINDOW=FIRST_POPUP&amp;HEIGHT=450&amp;WIDTH=450&amp;START_MA","XIMIZED=FALSE&amp;VAR:CALENDAR=US&amp;VAR:SYMBOL=GYMB&amp;VAR:INDEX=0"}</definedName>
    <definedName name="_1436__FDSAUDITLINK__" hidden="1">{"fdsup://directions/FAT Viewer?action=UPDATE&amp;creator=factset&amp;DYN_ARGS=TRUE&amp;DOC_NAME=FAT:FQL_AUDITING_CLIENT_TEMPLATE.FAT&amp;display_string=Audit&amp;VAR:KEY=JURGFOXYHE&amp;VAR:QUERY=RkZfUlRfU0ZfVE9UX0dST1NTKFFUUiwtMjEp&amp;WINDOW=FIRST_POPUP&amp;HEIGHT=450&amp;WIDTH=450&amp;START_MA","XIMIZED=FALSE&amp;VAR:CALENDAR=US&amp;VAR:SYMBOL=GYMB&amp;VAR:INDEX=0"}</definedName>
    <definedName name="_1437__FDSAUDITLINK__" hidden="1">{"fdsup://directions/FAT Viewer?action=UPDATE&amp;creator=factset&amp;DYN_ARGS=TRUE&amp;DOC_NAME=FAT:FQL_AUDITING_CLIENT_TEMPLATE.FAT&amp;display_string=Audit&amp;VAR:KEY=DSNMNEJEJG&amp;VAR:QUERY=RkZfUlRfU0ZfVE9UX0dST1NTKFFUUiwtMjAp&amp;WINDOW=FIRST_POPUP&amp;HEIGHT=450&amp;WIDTH=450&amp;START_MA","XIMIZED=FALSE&amp;VAR:CALENDAR=US&amp;VAR:SYMBOL=GYMB&amp;VAR:INDEX=0"}</definedName>
    <definedName name="_1438__FDSAUDITLINK__" hidden="1">{"fdsup://directions/FAT Viewer?action=UPDATE&amp;creator=factset&amp;DYN_ARGS=TRUE&amp;DOC_NAME=FAT:FQL_AUDITING_CLIENT_TEMPLATE.FAT&amp;display_string=Audit&amp;VAR:KEY=PWTUNSTSTY&amp;VAR:QUERY=RkZfUlRfU0ZfVE9UX0dST1NTKFFUUiwtMTkp&amp;WINDOW=FIRST_POPUP&amp;HEIGHT=450&amp;WIDTH=450&amp;START_MA","XIMIZED=FALSE&amp;VAR:CALENDAR=US&amp;VAR:SYMBOL=GYMB&amp;VAR:INDEX=0"}</definedName>
    <definedName name="_1439__FDSAUDITLINK__" hidden="1">{"fdsup://directions/FAT Viewer?action=UPDATE&amp;creator=factset&amp;DYN_ARGS=TRUE&amp;DOC_NAME=FAT:FQL_AUDITING_CLIENT_TEMPLATE.FAT&amp;display_string=Audit&amp;VAR:KEY=ZQNKHKRKLC&amp;VAR:QUERY=RkZfUlRfU0ZfVE9UX0dST1NTKFFUUiwtMTgp&amp;WINDOW=FIRST_POPUP&amp;HEIGHT=450&amp;WIDTH=450&amp;START_MA","XIMIZED=FALSE&amp;VAR:CALENDAR=US&amp;VAR:SYMBOL=GYMB&amp;VAR:INDEX=0"}</definedName>
    <definedName name="_144__FDSAUDITLINK__" hidden="1">{"fdsup://Directions/FactSet Auditing Viewer?action=AUDIT_VALUE&amp;DB=129&amp;ID1=36476010&amp;VALUEID=02101&amp;SDATE=200802&amp;PERIODTYPE=QTR_STD&amp;window=popup_no_bar&amp;width=385&amp;height=120&amp;START_MAXIMIZED=FALSE&amp;creator=factset&amp;display_string=Audit"}</definedName>
    <definedName name="_1440__FDSAUDITLINK__" hidden="1">{"fdsup://Directions/FactSet Auditing Viewer?action=AUDIT_VALUE&amp;DB=129&amp;ID1=40377710&amp;VALUEID=13040&amp;SDATE=200802&amp;PERIODTYPE=QTR_STD&amp;window=popup_no_bar&amp;width=385&amp;height=120&amp;START_MAXIMIZED=FALSE&amp;creator=factset&amp;display_string=Audit"}</definedName>
    <definedName name="_1441__FDSAUDITLINK__" hidden="1">{"fdsup://directions/FAT Viewer?action=UPDATE&amp;creator=factset&amp;DYN_ARGS=TRUE&amp;DOC_NAME=FAT:FQL_AUDITING_CLIENT_TEMPLATE.FAT&amp;display_string=Audit&amp;VAR:KEY=NUNSNKTEFS&amp;VAR:QUERY=RkZfUlRfU0ZfVE9UX0dST1NTKFFUUiwtNyk=&amp;WINDOW=FIRST_POPUP&amp;HEIGHT=450&amp;WIDTH=450&amp;START_MA","XIMIZED=FALSE&amp;VAR:CALENDAR=US&amp;VAR:SYMBOL=GYMB&amp;VAR:INDEX=0"}</definedName>
    <definedName name="_1442__FDSAUDITLINK__" hidden="1">{"fdsup://Directions/FactSet Auditing Viewer?action=AUDIT_VALUE&amp;DB=129&amp;ID1=40377710&amp;VALUEID=13040&amp;SDATE=200803&amp;PERIODTYPE=QTR_STD&amp;window=popup_no_bar&amp;width=385&amp;height=120&amp;START_MAXIMIZED=FALSE&amp;creator=factset&amp;display_string=Audit"}</definedName>
    <definedName name="_1443__FDSAUDITLINK__" hidden="1">{"fdsup://directions/FAT Viewer?action=UPDATE&amp;creator=factset&amp;DYN_ARGS=TRUE&amp;DOC_NAME=FAT:FQL_AUDITING_CLIENT_TEMPLATE.FAT&amp;display_string=Audit&amp;VAR:KEY=BGRGLCFUJA&amp;VAR:QUERY=RkZfUlRfU0ZfVE9UX0dST1NTKFFUUiwtNik=&amp;WINDOW=FIRST_POPUP&amp;HEIGHT=450&amp;WIDTH=450&amp;START_MA","XIMIZED=FALSE&amp;VAR:CALENDAR=US&amp;VAR:SYMBOL=GYMB&amp;VAR:INDEX=0"}</definedName>
    <definedName name="_1444__FDSAUDITLINK__" hidden="1">{"fdsup://directions/FAT Viewer?action=UPDATE&amp;creator=factset&amp;DYN_ARGS=TRUE&amp;DOC_NAME=FAT:FQL_AUDITING_CLIENT_TEMPLATE.FAT&amp;display_string=Audit&amp;VAR:KEY=FQBWFOZQXU&amp;VAR:QUERY=RkZfUlRfU0ZfVE9UX0dST1NTKFFUUiwtNSk=&amp;WINDOW=FIRST_POPUP&amp;HEIGHT=450&amp;WIDTH=450&amp;START_MA","XIMIZED=FALSE&amp;VAR:CALENDAR=US&amp;VAR:SYMBOL=GYMB&amp;VAR:INDEX=0"}</definedName>
    <definedName name="_1445__FDSAUDITLINK__" hidden="1">{"fdsup://Directions/FactSet Auditing Viewer?action=AUDIT_VALUE&amp;DB=129&amp;ID1=40377710&amp;VALUEID=13040&amp;SDATE=200901&amp;PERIODTYPE=QTR_STD&amp;window=popup_no_bar&amp;width=385&amp;height=120&amp;START_MAXIMIZED=FALSE&amp;creator=factset&amp;display_string=Audit"}</definedName>
    <definedName name="_1446__FDSAUDITLINK__" hidden="1">{"fdsup://directions/FAT Viewer?action=UPDATE&amp;creator=factset&amp;DYN_ARGS=TRUE&amp;DOC_NAME=FAT:FQL_AUDITING_CLIENT_TEMPLATE.FAT&amp;display_string=Audit&amp;VAR:KEY=JGROVCLUZW&amp;VAR:QUERY=RkZfUlRfU0ZfVE9UX0dST1NTKFFUUiwtNCk=&amp;WINDOW=FIRST_POPUP&amp;HEIGHT=450&amp;WIDTH=450&amp;START_MA","XIMIZED=FALSE&amp;VAR:CALENDAR=US&amp;VAR:SYMBOL=GYMB&amp;VAR:INDEX=0"}</definedName>
    <definedName name="_1447__FDSAUDITLINK__" hidden="1">{"fdsup://Directions/FactSet Auditing Viewer?action=AUDIT_VALUE&amp;DB=129&amp;ID1=40377710&amp;VALUEID=13040&amp;SDATE=201001&amp;PERIODTYPE=QTR_STD&amp;window=popup_no_bar&amp;width=385&amp;height=120&amp;START_MAXIMIZED=FALSE&amp;creator=factset&amp;display_string=Audit"}</definedName>
    <definedName name="_1448__FDSAUDITLINK__" hidden="1">{"fdsup://Directions/FactSet Auditing Viewer?action=AUDIT_VALUE&amp;DB=129&amp;ID1=40377710&amp;VALUEID=13040&amp;SDATE=200602&amp;PERIODTYPE=QTR_STD&amp;window=popup_no_bar&amp;width=385&amp;height=120&amp;START_MAXIMIZED=FALSE&amp;creator=factset&amp;display_string=Audit"}</definedName>
    <definedName name="_1449__FDSAUDITLINK__" hidden="1">{"fdsup://Directions/FactSet Auditing Viewer?action=AUDIT_VALUE&amp;DB=129&amp;ID1=40377710&amp;VALUEID=13040&amp;SDATE=200601&amp;PERIODTYPE=QTR_STD&amp;window=popup_no_bar&amp;width=385&amp;height=120&amp;START_MAXIMIZED=FALSE&amp;creator=factset&amp;display_string=Audit"}</definedName>
    <definedName name="_145__FDSAUDITLINK__" hidden="1">{"fdsup://Directions/FactSet Auditing Viewer?action=AUDIT_VALUE&amp;DB=129&amp;ID1=36476010&amp;VALUEID=01001&amp;SDATE=200802&amp;PERIODTYPE=QTR_STD&amp;window=popup_no_bar&amp;width=385&amp;height=120&amp;START_MAXIMIZED=FALSE&amp;creator=factset&amp;display_string=Audit"}</definedName>
    <definedName name="_1450__FDSAUDITLINK__" hidden="1">{"fdsup://directions/FAT Viewer?action=UPDATE&amp;creator=factset&amp;DYN_ARGS=TRUE&amp;DOC_NAME=FAT:FQL_AUDITING_CLIENT_TEMPLATE.FAT&amp;display_string=Audit&amp;VAR:KEY=XGDODMRERE&amp;VAR:QUERY=RkZfUlRfU0ZfVE9UX0dST1NTKFFUUiwtMTcp&amp;WINDOW=FIRST_POPUP&amp;HEIGHT=450&amp;WIDTH=450&amp;START_MA","XIMIZED=FALSE&amp;VAR:CALENDAR=US&amp;VAR:SYMBOL=GYMB&amp;VAR:INDEX=0"}</definedName>
    <definedName name="_1451__FDSAUDITLINK__" hidden="1">{"fdsup://Directions/FactSet Auditing Viewer?action=AUDIT_VALUE&amp;DB=129&amp;ID1=40377710&amp;VALUEID=13040&amp;SDATE=200603&amp;PERIODTYPE=QTR_STD&amp;window=popup_no_bar&amp;width=385&amp;height=120&amp;START_MAXIMIZED=FALSE&amp;creator=factset&amp;display_string=Audit"}</definedName>
    <definedName name="_1452__FDSAUDITLINK__" hidden="1">{"fdsup://Directions/FactSet Auditing Viewer?action=AUDIT_VALUE&amp;DB=129&amp;ID1=40377710&amp;VALUEID=13040&amp;SDATE=200702&amp;PERIODTYPE=QTR_STD&amp;window=popup_no_bar&amp;width=385&amp;height=120&amp;START_MAXIMIZED=FALSE&amp;creator=factset&amp;display_string=Audit"}</definedName>
    <definedName name="_1453__FDSAUDITLINK__" hidden="1">{"fdsup://Directions/FactSet Auditing Viewer?action=AUDIT_VALUE&amp;DB=129&amp;ID1=40377710&amp;VALUEID=13040&amp;SDATE=200701&amp;PERIODTYPE=QTR_STD&amp;window=popup_no_bar&amp;width=385&amp;height=120&amp;START_MAXIMIZED=FALSE&amp;creator=factset&amp;display_string=Audit"}</definedName>
    <definedName name="_1454__FDSAUDITLINK__" hidden="1">{"fdsup://directions/FAT Viewer?action=UPDATE&amp;creator=factset&amp;DYN_ARGS=TRUE&amp;DOC_NAME=FAT:FQL_AUDITING_CLIENT_TEMPLATE.FAT&amp;display_string=Audit&amp;VAR:KEY=TCTMPMPOZI&amp;VAR:QUERY=RkZfUlRfU0ZfVE9UX0dST1NTKFFUUiwtMTMp&amp;WINDOW=FIRST_POPUP&amp;HEIGHT=450&amp;WIDTH=450&amp;START_MA","XIMIZED=FALSE&amp;VAR:CALENDAR=US&amp;VAR:SYMBOL=GYMB&amp;VAR:INDEX=0"}</definedName>
    <definedName name="_1455__FDSAUDITLINK__" hidden="1">{"fdsup://Directions/FactSet Auditing Viewer?action=AUDIT_VALUE&amp;DB=129&amp;ID1=40377710&amp;VALUEID=13040&amp;SDATE=200703&amp;PERIODTYPE=QTR_STD&amp;window=popup_no_bar&amp;width=385&amp;height=120&amp;START_MAXIMIZED=FALSE&amp;creator=factset&amp;display_string=Audit"}</definedName>
    <definedName name="_1456__FDSAUDITLINK__" hidden="1">{"fdsup://Directions/FactSet Auditing Viewer?action=AUDIT_VALUE&amp;DB=129&amp;ID1=40377710&amp;VALUEID=13040&amp;SDATE=200801&amp;PERIODTYPE=QTR_STD&amp;window=popup_no_bar&amp;width=385&amp;height=120&amp;START_MAXIMIZED=FALSE&amp;creator=factset&amp;display_string=Audit"}</definedName>
    <definedName name="_1457__FDSAUDITLINK__" hidden="1">{"fdsup://Directions/FactSet Auditing Viewer?action=AUDIT_VALUE&amp;DB=129&amp;ID1=40377710&amp;VALUEID=13040&amp;SDATE=200704&amp;PERIODTYPE=QTR_STD&amp;window=popup_no_bar&amp;width=385&amp;height=120&amp;START_MAXIMIZED=FALSE&amp;creator=factset&amp;display_string=Audit"}</definedName>
    <definedName name="_1458__FDSAUDITLINK__" hidden="1">{"fdsup://directions/FAT Viewer?action=UPDATE&amp;creator=factset&amp;DYN_ARGS=TRUE&amp;DOC_NAME=FAT:FQL_AUDITING_CLIENT_TEMPLATE.FAT&amp;display_string=Audit&amp;VAR:KEY=TERAZMHAFK&amp;VAR:QUERY=RkZfUlRfU0ZfVE9UX0dST1NTKFFUUiwtOSk=&amp;WINDOW=FIRST_POPUP&amp;HEIGHT=450&amp;WIDTH=450&amp;START_MA","XIMIZED=FALSE&amp;VAR:CALENDAR=US&amp;VAR:SYMBOL=GYMB&amp;VAR:INDEX=0"}</definedName>
    <definedName name="_1459__FDSAUDITLINK__" hidden="1">{"fdsup://Directions/FactSet Auditing Viewer?action=AUDIT_VALUE&amp;DB=129&amp;ID1=40377710&amp;VALUEID=13040&amp;SDATE=200903&amp;PERIODTYPE=QTR_STD&amp;window=popup_no_bar&amp;width=385&amp;height=120&amp;START_MAXIMIZED=FALSE&amp;creator=factset&amp;display_string=Audit"}</definedName>
    <definedName name="_146__FDSAUDITLINK__" hidden="1">{"fdsup://Directions/FactSet Auditing Viewer?action=AUDIT_VALUE&amp;DB=129&amp;ID1=36476010&amp;VALUEID=13040&amp;SDATE=200802&amp;PERIODTYPE=QTR_STD&amp;window=popup_no_bar&amp;width=385&amp;height=120&amp;START_MAXIMIZED=FALSE&amp;creator=factset&amp;display_string=Audit"}</definedName>
    <definedName name="_1460__FDSAUDITLINK__" hidden="1">{"fdsup://Directions/FactSet Auditing Viewer?action=AUDIT_VALUE&amp;DB=129&amp;ID1=40377710&amp;VALUEID=13040&amp;SDATE=200902&amp;PERIODTYPE=QTR_STD&amp;window=popup_no_bar&amp;width=385&amp;height=120&amp;START_MAXIMIZED=FALSE&amp;creator=factset&amp;display_string=Audit"}</definedName>
    <definedName name="_1461__FDSAUDITLINK__" hidden="1">{"fdsup://Directions/FactSet Auditing Viewer?action=AUDIT_VALUE&amp;DB=129&amp;ID1=58711810&amp;VALUEID=13040&amp;SDATE=200601&amp;PERIODTYPE=QTR_STD&amp;window=popup_no_bar&amp;width=385&amp;height=120&amp;START_MAXIMIZED=FALSE&amp;creator=factset&amp;display_string=Audit"}</definedName>
    <definedName name="_1462__FDSAUDITLINK__" hidden="1">{"fdsup://Directions/FactSet Auditing Viewer?action=AUDIT_VALUE&amp;DB=129&amp;ID1=58711810&amp;VALUEID=01001&amp;SDATE=200601&amp;PERIODTYPE=QTR_STD&amp;window=popup_no_bar&amp;width=385&amp;height=120&amp;START_MAXIMIZED=FALSE&amp;creator=factset&amp;display_string=Audit"}</definedName>
    <definedName name="_1463__FDSAUDITLINK__" hidden="1">{"fdsup://Directions/FactSet Auditing Viewer?action=AUDIT_VALUE&amp;DB=129&amp;ID1=58711810&amp;VALUEID=02101&amp;SDATE=200601&amp;PERIODTYPE=QTR_STD&amp;window=popup_no_bar&amp;width=385&amp;height=120&amp;START_MAXIMIZED=FALSE&amp;creator=factset&amp;display_string=Audit"}</definedName>
    <definedName name="_1464__FDSAUDITLINK__" hidden="1">{"fdsup://Directions/FactSet Auditing Viewer?action=AUDIT_VALUE&amp;DB=129&amp;ID1=58711810&amp;VALUEID=13040&amp;SDATE=200602&amp;PERIODTYPE=QTR_STD&amp;window=popup_no_bar&amp;width=385&amp;height=120&amp;START_MAXIMIZED=FALSE&amp;creator=factset&amp;display_string=Audit"}</definedName>
    <definedName name="_1465__FDSAUDITLINK__" hidden="1">{"fdsup://Directions/FactSet Auditing Viewer?action=AUDIT_VALUE&amp;DB=129&amp;ID1=58711810&amp;VALUEID=01001&amp;SDATE=200602&amp;PERIODTYPE=QTR_STD&amp;window=popup_no_bar&amp;width=385&amp;height=120&amp;START_MAXIMIZED=FALSE&amp;creator=factset&amp;display_string=Audit"}</definedName>
    <definedName name="_1466__FDSAUDITLINK__" hidden="1">{"fdsup://Directions/FactSet Auditing Viewer?action=AUDIT_VALUE&amp;DB=129&amp;ID1=58711810&amp;VALUEID=02101&amp;SDATE=200602&amp;PERIODTYPE=QTR_STD&amp;window=popup_no_bar&amp;width=385&amp;height=120&amp;START_MAXIMIZED=FALSE&amp;creator=factset&amp;display_string=Audit"}</definedName>
    <definedName name="_1467__FDSAUDITLINK__" hidden="1">{"fdsup://Directions/FactSet Auditing Viewer?action=AUDIT_VALUE&amp;DB=129&amp;ID1=58711810&amp;VALUEID=13040&amp;SDATE=200603&amp;PERIODTYPE=QTR_STD&amp;window=popup_no_bar&amp;width=385&amp;height=120&amp;START_MAXIMIZED=FALSE&amp;creator=factset&amp;display_string=Audit"}</definedName>
    <definedName name="_1468__FDSAUDITLINK__" hidden="1">{"fdsup://Directions/FactSet Auditing Viewer?action=AUDIT_VALUE&amp;DB=129&amp;ID1=58711810&amp;VALUEID=01001&amp;SDATE=200603&amp;PERIODTYPE=QTR_STD&amp;window=popup_no_bar&amp;width=385&amp;height=120&amp;START_MAXIMIZED=FALSE&amp;creator=factset&amp;display_string=Audit"}</definedName>
    <definedName name="_1469__FDSAUDITLINK__" hidden="1">{"fdsup://Directions/FactSet Auditing Viewer?action=AUDIT_VALUE&amp;DB=129&amp;ID1=58711810&amp;VALUEID=02101&amp;SDATE=200603&amp;PERIODTYPE=QTR_STD&amp;window=popup_no_bar&amp;width=385&amp;height=120&amp;START_MAXIMIZED=FALSE&amp;creator=factset&amp;display_string=Audit"}</definedName>
    <definedName name="_147__FDSAUDITLINK__" hidden="1">{"fdsup://Directions/FactSet Auditing Viewer?action=AUDIT_VALUE&amp;DB=129&amp;ID1=03611510&amp;VALUEID=02101&amp;SDATE=200802&amp;PERIODTYPE=QTR_STD&amp;window=popup_no_bar&amp;width=385&amp;height=120&amp;START_MAXIMIZED=FALSE&amp;creator=factset&amp;display_string=Audit"}</definedName>
    <definedName name="_1470__FDSAUDITLINK__" hidden="1">{"fdsup://Directions/FactSet Auditing Viewer?action=AUDIT_VALUE&amp;DB=129&amp;ID1=58711810&amp;VALUEID=01001&amp;SDATE=200604&amp;PERIODTYPE=QTR_STD&amp;window=popup_no_bar&amp;width=385&amp;height=120&amp;START_MAXIMIZED=FALSE&amp;creator=factset&amp;display_string=Audit"}</definedName>
    <definedName name="_1471__FDSAUDITLINK__" hidden="1">{"fdsup://Directions/FactSet Auditing Viewer?action=AUDIT_VALUE&amp;DB=129&amp;ID1=58711810&amp;VALUEID=13040&amp;SDATE=200701&amp;PERIODTYPE=QTR_STD&amp;window=popup_no_bar&amp;width=385&amp;height=120&amp;START_MAXIMIZED=FALSE&amp;creator=factset&amp;display_string=Audit"}</definedName>
    <definedName name="_1472__FDSAUDITLINK__" hidden="1">{"fdsup://Directions/FactSet Auditing Viewer?action=AUDIT_VALUE&amp;DB=129&amp;ID1=58711810&amp;VALUEID=01001&amp;SDATE=200701&amp;PERIODTYPE=QTR_STD&amp;window=popup_no_bar&amp;width=385&amp;height=120&amp;START_MAXIMIZED=FALSE&amp;creator=factset&amp;display_string=Audit"}</definedName>
    <definedName name="_1473__FDSAUDITLINK__" hidden="1">{"fdsup://Directions/FactSet Auditing Viewer?action=AUDIT_VALUE&amp;DB=129&amp;ID1=58711810&amp;VALUEID=02101&amp;SDATE=200701&amp;PERIODTYPE=QTR_STD&amp;window=popup_no_bar&amp;width=385&amp;height=120&amp;START_MAXIMIZED=FALSE&amp;creator=factset&amp;display_string=Audit"}</definedName>
    <definedName name="_1474__FDSAUDITLINK__" hidden="1">{"fdsup://Directions/FactSet Auditing Viewer?action=AUDIT_VALUE&amp;DB=129&amp;ID1=58711810&amp;VALUEID=13040&amp;SDATE=200702&amp;PERIODTYPE=QTR_STD&amp;window=popup_no_bar&amp;width=385&amp;height=120&amp;START_MAXIMIZED=FALSE&amp;creator=factset&amp;display_string=Audit"}</definedName>
    <definedName name="_1475__FDSAUDITLINK__" hidden="1">{"fdsup://Directions/FactSet Auditing Viewer?action=AUDIT_VALUE&amp;DB=129&amp;ID1=58711810&amp;VALUEID=01001&amp;SDATE=200702&amp;PERIODTYPE=QTR_STD&amp;window=popup_no_bar&amp;width=385&amp;height=120&amp;START_MAXIMIZED=FALSE&amp;creator=factset&amp;display_string=Audit"}</definedName>
    <definedName name="_1476__FDSAUDITLINK__" hidden="1">{"fdsup://Directions/FactSet Auditing Viewer?action=AUDIT_VALUE&amp;DB=129&amp;ID1=58711810&amp;VALUEID=02101&amp;SDATE=200702&amp;PERIODTYPE=QTR_STD&amp;window=popup_no_bar&amp;width=385&amp;height=120&amp;START_MAXIMIZED=FALSE&amp;creator=factset&amp;display_string=Audit"}</definedName>
    <definedName name="_1477__FDSAUDITLINK__" hidden="1">{"fdsup://Directions/FactSet Auditing Viewer?action=AUDIT_VALUE&amp;DB=129&amp;ID1=58711810&amp;VALUEID=13040&amp;SDATE=200703&amp;PERIODTYPE=QTR_STD&amp;window=popup_no_bar&amp;width=385&amp;height=120&amp;START_MAXIMIZED=FALSE&amp;creator=factset&amp;display_string=Audit"}</definedName>
    <definedName name="_1478__FDSAUDITLINK__" hidden="1">{"fdsup://Directions/FactSet Auditing Viewer?action=AUDIT_VALUE&amp;DB=129&amp;ID1=58711810&amp;VALUEID=01001&amp;SDATE=200703&amp;PERIODTYPE=QTR_STD&amp;window=popup_no_bar&amp;width=385&amp;height=120&amp;START_MAXIMIZED=FALSE&amp;creator=factset&amp;display_string=Audit"}</definedName>
    <definedName name="_1479__FDSAUDITLINK__" hidden="1">{"fdsup://Directions/FactSet Auditing Viewer?action=AUDIT_VALUE&amp;DB=129&amp;ID1=58711810&amp;VALUEID=02101&amp;SDATE=200703&amp;PERIODTYPE=QTR_STD&amp;window=popup_no_bar&amp;width=385&amp;height=120&amp;START_MAXIMIZED=FALSE&amp;creator=factset&amp;display_string=Audit"}</definedName>
    <definedName name="_148__FDSAUDITLINK__" hidden="1">{"fdsup://Directions/FactSet Auditing Viewer?action=AUDIT_VALUE&amp;DB=129&amp;ID1=03611510&amp;VALUEID=01001&amp;SDATE=200802&amp;PERIODTYPE=QTR_STD&amp;window=popup_no_bar&amp;width=385&amp;height=120&amp;START_MAXIMIZED=FALSE&amp;creator=factset&amp;display_string=Audit"}</definedName>
    <definedName name="_1480__FDSAUDITLINK__" hidden="1">{"fdsup://Directions/FactSet Auditing Viewer?action=AUDIT_VALUE&amp;DB=129&amp;ID1=58711810&amp;VALUEID=01001&amp;SDATE=200704&amp;PERIODTYPE=QTR_STD&amp;window=popup_no_bar&amp;width=385&amp;height=120&amp;START_MAXIMIZED=FALSE&amp;creator=factset&amp;display_string=Audit"}</definedName>
    <definedName name="_1481__FDSAUDITLINK__" hidden="1">{"fdsup://Directions/FactSet Auditing Viewer?action=AUDIT_VALUE&amp;DB=129&amp;ID1=58711810&amp;VALUEID=13040&amp;SDATE=200801&amp;PERIODTYPE=QTR_STD&amp;window=popup_no_bar&amp;width=385&amp;height=120&amp;START_MAXIMIZED=FALSE&amp;creator=factset&amp;display_string=Audit"}</definedName>
    <definedName name="_1482__FDSAUDITLINK__" hidden="1">{"fdsup://Directions/FactSet Auditing Viewer?action=AUDIT_VALUE&amp;DB=129&amp;ID1=58711810&amp;VALUEID=01001&amp;SDATE=200801&amp;PERIODTYPE=QTR_STD&amp;window=popup_no_bar&amp;width=385&amp;height=120&amp;START_MAXIMIZED=FALSE&amp;creator=factset&amp;display_string=Audit"}</definedName>
    <definedName name="_1483__FDSAUDITLINK__" hidden="1">{"fdsup://Directions/FactSet Auditing Viewer?action=AUDIT_VALUE&amp;DB=129&amp;ID1=58711810&amp;VALUEID=02101&amp;SDATE=200801&amp;PERIODTYPE=QTR_STD&amp;window=popup_no_bar&amp;width=385&amp;height=120&amp;START_MAXIMIZED=FALSE&amp;creator=factset&amp;display_string=Audit"}</definedName>
    <definedName name="_1484__FDSAUDITLINK__" hidden="1">{"fdsup://Directions/FactSet Auditing Viewer?action=AUDIT_VALUE&amp;DB=129&amp;ID1=58711810&amp;VALUEID=13040&amp;SDATE=200802&amp;PERIODTYPE=QTR_STD&amp;window=popup_no_bar&amp;width=385&amp;height=120&amp;START_MAXIMIZED=FALSE&amp;creator=factset&amp;display_string=Audit"}</definedName>
    <definedName name="_1485__FDSAUDITLINK__" hidden="1">{"fdsup://Directions/FactSet Auditing Viewer?action=AUDIT_VALUE&amp;DB=129&amp;ID1=58711810&amp;VALUEID=01001&amp;SDATE=200802&amp;PERIODTYPE=QTR_STD&amp;window=popup_no_bar&amp;width=385&amp;height=120&amp;START_MAXIMIZED=FALSE&amp;creator=factset&amp;display_string=Audit"}</definedName>
    <definedName name="_1486__FDSAUDITLINK__" hidden="1">{"fdsup://Directions/FactSet Auditing Viewer?action=AUDIT_VALUE&amp;DB=129&amp;ID1=58711810&amp;VALUEID=02101&amp;SDATE=200802&amp;PERIODTYPE=QTR_STD&amp;window=popup_no_bar&amp;width=385&amp;height=120&amp;START_MAXIMIZED=FALSE&amp;creator=factset&amp;display_string=Audit"}</definedName>
    <definedName name="_1487__FDSAUDITLINK__" hidden="1">{"fdsup://Directions/FactSet Auditing Viewer?action=AUDIT_VALUE&amp;DB=129&amp;ID1=58711810&amp;VALUEID=13040&amp;SDATE=200803&amp;PERIODTYPE=QTR_STD&amp;window=popup_no_bar&amp;width=385&amp;height=120&amp;START_MAXIMIZED=FALSE&amp;creator=factset&amp;display_string=Audit"}</definedName>
    <definedName name="_1488__FDSAUDITLINK__" hidden="1">{"fdsup://Directions/FactSet Auditing Viewer?action=AUDIT_VALUE&amp;DB=129&amp;ID1=58711810&amp;VALUEID=01001&amp;SDATE=200803&amp;PERIODTYPE=QTR_STD&amp;window=popup_no_bar&amp;width=385&amp;height=120&amp;START_MAXIMIZED=FALSE&amp;creator=factset&amp;display_string=Audit"}</definedName>
    <definedName name="_1489__FDSAUDITLINK__" hidden="1">{"fdsup://Directions/FactSet Auditing Viewer?action=AUDIT_VALUE&amp;DB=129&amp;ID1=58711810&amp;VALUEID=02101&amp;SDATE=200803&amp;PERIODTYPE=QTR_STD&amp;window=popup_no_bar&amp;width=385&amp;height=120&amp;START_MAXIMIZED=FALSE&amp;creator=factset&amp;display_string=Audit"}</definedName>
    <definedName name="_149__FDSAUDITLINK__" hidden="1">{"fdsup://Directions/FactSet Auditing Viewer?action=AUDIT_VALUE&amp;DB=129&amp;ID1=16890510&amp;VALUEID=02101&amp;SDATE=200802&amp;PERIODTYPE=QTR_STD&amp;window=popup_no_bar&amp;width=385&amp;height=120&amp;START_MAXIMIZED=FALSE&amp;creator=factset&amp;display_string=Audit"}</definedName>
    <definedName name="_1490__FDSAUDITLINK__" hidden="1">{"fdsup://Directions/FactSet Auditing Viewer?action=AUDIT_VALUE&amp;DB=129&amp;ID1=58711810&amp;VALUEID=01001&amp;SDATE=200804&amp;PERIODTYPE=QTR_STD&amp;window=popup_no_bar&amp;width=385&amp;height=120&amp;START_MAXIMIZED=FALSE&amp;creator=factset&amp;display_string=Audit"}</definedName>
    <definedName name="_1491__FDSAUDITLINK__" hidden="1">{"fdsup://Directions/FactSet Auditing Viewer?action=AUDIT_VALUE&amp;DB=129&amp;ID1=58711810&amp;VALUEID=13040&amp;SDATE=200902&amp;PERIODTYPE=QTR_STD&amp;window=popup_no_bar&amp;width=385&amp;height=120&amp;START_MAXIMIZED=FALSE&amp;creator=factset&amp;display_string=Audit"}</definedName>
    <definedName name="_1492__FDSAUDITLINK__" hidden="1">{"fdsup://Directions/FactSet Auditing Viewer?action=AUDIT_VALUE&amp;DB=129&amp;ID1=58711810&amp;VALUEID=01001&amp;SDATE=200902&amp;PERIODTYPE=QTR_STD&amp;window=popup_no_bar&amp;width=385&amp;height=120&amp;START_MAXIMIZED=FALSE&amp;creator=factset&amp;display_string=Audit"}</definedName>
    <definedName name="_1493__FDSAUDITLINK__" hidden="1">{"fdsup://Directions/FactSet Auditing Viewer?action=AUDIT_VALUE&amp;DB=129&amp;ID1=58711810&amp;VALUEID=02101&amp;SDATE=200902&amp;PERIODTYPE=QTR_STD&amp;window=popup_no_bar&amp;width=385&amp;height=120&amp;START_MAXIMIZED=FALSE&amp;creator=factset&amp;display_string=Audit"}</definedName>
    <definedName name="_1494__FDSAUDITLINK__" hidden="1">{"fdsup://Directions/FactSet Auditing Viewer?action=AUDIT_VALUE&amp;DB=129&amp;ID1=58711810&amp;VALUEID=13040&amp;SDATE=200903&amp;PERIODTYPE=QTR_STD&amp;window=popup_no_bar&amp;width=385&amp;height=120&amp;START_MAXIMIZED=FALSE&amp;creator=factset&amp;display_string=Audit"}</definedName>
    <definedName name="_1495__FDSAUDITLINK__" hidden="1">{"fdsup://Directions/FactSet Auditing Viewer?action=AUDIT_VALUE&amp;DB=129&amp;ID1=58711810&amp;VALUEID=01001&amp;SDATE=200903&amp;PERIODTYPE=QTR_STD&amp;window=popup_no_bar&amp;width=385&amp;height=120&amp;START_MAXIMIZED=FALSE&amp;creator=factset&amp;display_string=Audit"}</definedName>
    <definedName name="_1496__FDSAUDITLINK__" hidden="1">{"fdsup://Directions/FactSet Auditing Viewer?action=AUDIT_VALUE&amp;DB=129&amp;ID1=58711810&amp;VALUEID=02101&amp;SDATE=200903&amp;PERIODTYPE=QTR_STD&amp;window=popup_no_bar&amp;width=385&amp;height=120&amp;START_MAXIMIZED=FALSE&amp;creator=factset&amp;display_string=Audit"}</definedName>
    <definedName name="_1497__FDSAUDITLINK__" hidden="1">{"fdsup://Directions/FactSet Auditing Viewer?action=AUDIT_VALUE&amp;DB=129&amp;ID1=58711810&amp;VALUEID=13040&amp;SDATE=200904&amp;PERIODTYPE=QTR_STD&amp;window=popup_no_bar&amp;width=385&amp;height=120&amp;START_MAXIMIZED=FALSE&amp;creator=factset&amp;display_string=Audit"}</definedName>
    <definedName name="_1498__FDSAUDITLINK__" hidden="1">{"fdsup://Directions/FactSet Auditing Viewer?action=AUDIT_VALUE&amp;DB=129&amp;ID1=58711810&amp;VALUEID=01001&amp;SDATE=200904&amp;PERIODTYPE=QTR_STD&amp;window=popup_no_bar&amp;width=385&amp;height=120&amp;START_MAXIMIZED=FALSE&amp;creator=factset&amp;display_string=Audit"}</definedName>
    <definedName name="_1499__FDSAUDITLINK__" hidden="1">{"fdsup://Directions/FactSet Auditing Viewer?action=AUDIT_VALUE&amp;DB=129&amp;ID1=58711810&amp;VALUEID=13040&amp;SDATE=201001&amp;PERIODTYPE=QTR_STD&amp;window=popup_no_bar&amp;width=385&amp;height=120&amp;START_MAXIMIZED=FALSE&amp;creator=factset&amp;display_string=Audit"}</definedName>
    <definedName name="_15__FDSAUDITLINK__" hidden="1">{"fdsup://Directions/FactSet Auditing Viewer?action=AUDIT_VALUE&amp;DB=129&amp;ID1=02553E10&amp;VALUEID=02101&amp;SDATE=201001&amp;PERIODTYPE=QTR_STD&amp;window=popup_no_bar&amp;width=385&amp;height=120&amp;START_MAXIMIZED=FALSE&amp;creator=factset&amp;display_string=Audit"}</definedName>
    <definedName name="_150__FDSAUDITLINK__" hidden="1">{"fdsup://Directions/FactSet Auditing Viewer?action=AUDIT_VALUE&amp;DB=129&amp;ID1=16890510&amp;VALUEID=01001&amp;SDATE=200802&amp;PERIODTYPE=QTR_STD&amp;window=popup_no_bar&amp;width=385&amp;height=120&amp;START_MAXIMIZED=FALSE&amp;creator=factset&amp;display_string=Audit"}</definedName>
    <definedName name="_1500__FDSAUDITLINK__" hidden="1">{"fdsup://Directions/FactSet Auditing Viewer?action=AUDIT_VALUE&amp;DB=129&amp;ID1=58711810&amp;VALUEID=01001&amp;SDATE=201001&amp;PERIODTYPE=QTR_STD&amp;window=popup_no_bar&amp;width=385&amp;height=120&amp;START_MAXIMIZED=FALSE&amp;creator=factset&amp;display_string=Audit"}</definedName>
    <definedName name="_1501__FDSAUDITLINK__" hidden="1">{"fdsup://Directions/FactSet Auditing Viewer?action=AUDIT_VALUE&amp;DB=129&amp;ID1=58711810&amp;VALUEID=02101&amp;SDATE=201001&amp;PERIODTYPE=QTR_STD&amp;window=popup_no_bar&amp;width=385&amp;height=120&amp;START_MAXIMIZED=FALSE&amp;creator=factset&amp;display_string=Audit"}</definedName>
    <definedName name="_1502__FDSAUDITLINK__" hidden="1">{"fdsup://directions/FAT Viewer?action=UPDATE&amp;creator=factset&amp;DYN_ARGS=TRUE&amp;DOC_NAME=FAT:FQL_AUDITING_CLIENT_TEMPLATE.FAT&amp;display_string=Audit&amp;VAR:KEY=XOLCTGDGVG&amp;VAR:QUERY=RkZfUlRfU0ZfVE9UX0dST1NTKFFUUiwtNDQp&amp;WINDOW=FIRST_POPUP&amp;HEIGHT=450&amp;WIDTH=450&amp;START_MA","XIMIZED=FALSE&amp;VAR:CALENDAR=US&amp;VAR:SYMBOL=MW&amp;VAR:INDEX=0"}</definedName>
    <definedName name="_1503__FDSAUDITLINK__" hidden="1">{"fdsup://directions/FAT Viewer?action=UPDATE&amp;creator=factset&amp;DYN_ARGS=TRUE&amp;DOC_NAME=FAT:FQL_AUDITING_CLIENT_TEMPLATE.FAT&amp;display_string=Audit&amp;VAR:KEY=LCLADYJIPS&amp;VAR:QUERY=RkZfUlRfU0ZfVE9UX0dST1NTKFFUUiwtNDMp&amp;WINDOW=FIRST_POPUP&amp;HEIGHT=450&amp;WIDTH=450&amp;START_MA","XIMIZED=FALSE&amp;VAR:CALENDAR=US&amp;VAR:SYMBOL=MW&amp;VAR:INDEX=0"}</definedName>
    <definedName name="_1504__FDSAUDITLINK__" hidden="1">{"fdsup://directions/FAT Viewer?action=UPDATE&amp;creator=factset&amp;DYN_ARGS=TRUE&amp;DOC_NAME=FAT:FQL_AUDITING_CLIENT_TEMPLATE.FAT&amp;display_string=Audit&amp;VAR:KEY=XWVCNWVOLS&amp;VAR:QUERY=RkZfUlRfU0ZfVE9UX0dST1NTKFFUUiwtNDIp&amp;WINDOW=FIRST_POPUP&amp;HEIGHT=450&amp;WIDTH=450&amp;START_MA","XIMIZED=FALSE&amp;VAR:CALENDAR=US&amp;VAR:SYMBOL=MW&amp;VAR:INDEX=0"}</definedName>
    <definedName name="_1505__FDSAUDITLINK__" hidden="1">{"fdsup://directions/FAT Viewer?action=UPDATE&amp;creator=factset&amp;DYN_ARGS=TRUE&amp;DOC_NAME=FAT:FQL_AUDITING_CLIENT_TEMPLATE.FAT&amp;display_string=Audit&amp;VAR:KEY=RQLYDYBETO&amp;VAR:QUERY=RkZfUlRfU0ZfVE9UX0dST1NTKFFUUiwtNDEp&amp;WINDOW=FIRST_POPUP&amp;HEIGHT=450&amp;WIDTH=450&amp;START_MA","XIMIZED=FALSE&amp;VAR:CALENDAR=US&amp;VAR:SYMBOL=MW&amp;VAR:INDEX=0"}</definedName>
    <definedName name="_1506__FDSAUDITLINK__" hidden="1">{"fdsup://directions/FAT Viewer?action=UPDATE&amp;creator=factset&amp;DYN_ARGS=TRUE&amp;DOC_NAME=FAT:FQL_AUDITING_CLIENT_TEMPLATE.FAT&amp;display_string=Audit&amp;VAR:KEY=NEZQTKDIVO&amp;VAR:QUERY=RkZfUlRfU0ZfVE9UX0dST1NTKFFUUiwtNDAp&amp;WINDOW=FIRST_POPUP&amp;HEIGHT=450&amp;WIDTH=450&amp;START_MA","XIMIZED=FALSE&amp;VAR:CALENDAR=US&amp;VAR:SYMBOL=MW&amp;VAR:INDEX=0"}</definedName>
    <definedName name="_1507__FDSAUDITLINK__" hidden="1">{"fdsup://directions/FAT Viewer?action=UPDATE&amp;creator=factset&amp;DYN_ARGS=TRUE&amp;DOC_NAME=FAT:FQL_AUDITING_CLIENT_TEMPLATE.FAT&amp;display_string=Audit&amp;VAR:KEY=LWNOPUVYPS&amp;VAR:QUERY=RkZfUlRfU0ZfVE9UX0dST1NTKFFUUiwtMzkp&amp;WINDOW=FIRST_POPUP&amp;HEIGHT=450&amp;WIDTH=450&amp;START_MA","XIMIZED=FALSE&amp;VAR:CALENDAR=US&amp;VAR:SYMBOL=MW&amp;VAR:INDEX=0"}</definedName>
    <definedName name="_1508__FDSAUDITLINK__" hidden="1">{"fdsup://directions/FAT Viewer?action=UPDATE&amp;creator=factset&amp;DYN_ARGS=TRUE&amp;DOC_NAME=FAT:FQL_AUDITING_CLIENT_TEMPLATE.FAT&amp;display_string=Audit&amp;VAR:KEY=ZAPGLCVOZS&amp;VAR:QUERY=RkZfUlRfU0ZfVE9UX0dST1NTKFFUUiwtMzgp&amp;WINDOW=FIRST_POPUP&amp;HEIGHT=450&amp;WIDTH=450&amp;START_MA","XIMIZED=FALSE&amp;VAR:CALENDAR=US&amp;VAR:SYMBOL=MW&amp;VAR:INDEX=0"}</definedName>
    <definedName name="_1509__FDSAUDITLINK__" hidden="1">{"fdsup://directions/FAT Viewer?action=UPDATE&amp;creator=factset&amp;DYN_ARGS=TRUE&amp;DOC_NAME=FAT:FQL_AUDITING_CLIENT_TEMPLATE.FAT&amp;display_string=Audit&amp;VAR:KEY=BQDYNQXQZQ&amp;VAR:QUERY=RkZfUlRfU0ZfVE9UX0dST1NTKFFUUiwtMzcp&amp;WINDOW=FIRST_POPUP&amp;HEIGHT=450&amp;WIDTH=450&amp;START_MA","XIMIZED=FALSE&amp;VAR:CALENDAR=US&amp;VAR:SYMBOL=MW&amp;VAR:INDEX=0"}</definedName>
    <definedName name="_151__FDSAUDITLINK__" hidden="1">{"fdsup://Directions/FactSet Auditing Viewer?action=AUDIT_VALUE&amp;DB=129&amp;ID1=91704710&amp;VALUEID=02101&amp;SDATE=200802&amp;PERIODTYPE=QTR_STD&amp;window=popup_no_bar&amp;width=385&amp;height=120&amp;START_MAXIMIZED=FALSE&amp;creator=factset&amp;display_string=Audit"}</definedName>
    <definedName name="_1510__FDSAUDITLINK__" hidden="1">{"fdsup://directions/FAT Viewer?action=UPDATE&amp;creator=factset&amp;DYN_ARGS=TRUE&amp;DOC_NAME=FAT:FQL_AUDITING_CLIENT_TEMPLATE.FAT&amp;display_string=Audit&amp;VAR:KEY=LQRYLIVQRM&amp;VAR:QUERY=RkZfUlRfU0ZfVE9UX0dST1NTKFFUUiwtMzYp&amp;WINDOW=FIRST_POPUP&amp;HEIGHT=450&amp;WIDTH=450&amp;START_MA","XIMIZED=FALSE&amp;VAR:CALENDAR=US&amp;VAR:SYMBOL=MW&amp;VAR:INDEX=0"}</definedName>
    <definedName name="_1511__FDSAUDITLINK__" hidden="1">{"fdsup://directions/FAT Viewer?action=UPDATE&amp;creator=factset&amp;DYN_ARGS=TRUE&amp;DOC_NAME=FAT:FQL_AUDITING_CLIENT_TEMPLATE.FAT&amp;display_string=Audit&amp;VAR:KEY=BANQNYDSXS&amp;VAR:QUERY=RkZfUlRfU0ZfVE9UX0dST1NTKFFUUiwtMzUp&amp;WINDOW=FIRST_POPUP&amp;HEIGHT=450&amp;WIDTH=450&amp;START_MA","XIMIZED=FALSE&amp;VAR:CALENDAR=US&amp;VAR:SYMBOL=MW&amp;VAR:INDEX=0"}</definedName>
    <definedName name="_1512__FDSAUDITLINK__" hidden="1">{"fdsup://directions/FAT Viewer?action=UPDATE&amp;creator=factset&amp;DYN_ARGS=TRUE&amp;DOC_NAME=FAT:FQL_AUDITING_CLIENT_TEMPLATE.FAT&amp;display_string=Audit&amp;VAR:KEY=HSNSXAXATY&amp;VAR:QUERY=RkZfUlRfU0ZfVE9UX0dST1NTKFFUUiwtMzQp&amp;WINDOW=FIRST_POPUP&amp;HEIGHT=450&amp;WIDTH=450&amp;START_MA","XIMIZED=FALSE&amp;VAR:CALENDAR=US&amp;VAR:SYMBOL=MW&amp;VAR:INDEX=0"}</definedName>
    <definedName name="_1513__FDSAUDITLINK__" hidden="1">{"fdsup://directions/FAT Viewer?action=UPDATE&amp;creator=factset&amp;DYN_ARGS=TRUE&amp;DOC_NAME=FAT:FQL_AUDITING_CLIENT_TEMPLATE.FAT&amp;display_string=Audit&amp;VAR:KEY=PGFANMDELU&amp;VAR:QUERY=RkZfUlRfU0ZfVE9UX0dST1NTKFFUUiwtMzMp&amp;WINDOW=FIRST_POPUP&amp;HEIGHT=450&amp;WIDTH=450&amp;START_MA","XIMIZED=FALSE&amp;VAR:CALENDAR=US&amp;VAR:SYMBOL=MW&amp;VAR:INDEX=0"}</definedName>
    <definedName name="_1514__FDSAUDITLINK__" hidden="1">{"fdsup://directions/FAT Viewer?action=UPDATE&amp;creator=factset&amp;DYN_ARGS=TRUE&amp;DOC_NAME=FAT:FQL_AUDITING_CLIENT_TEMPLATE.FAT&amp;display_string=Audit&amp;VAR:KEY=FMTMTIJOFY&amp;VAR:QUERY=RkZfUlRfU0ZfVE9UX0dST1NTKFFUUiwtMzIp&amp;WINDOW=FIRST_POPUP&amp;HEIGHT=450&amp;WIDTH=450&amp;START_MA","XIMIZED=FALSE&amp;VAR:CALENDAR=US&amp;VAR:SYMBOL=MW&amp;VAR:INDEX=0"}</definedName>
    <definedName name="_1515__FDSAUDITLINK__" hidden="1">{"fdsup://directions/FAT Viewer?action=UPDATE&amp;creator=factset&amp;DYN_ARGS=TRUE&amp;DOC_NAME=FAT:FQL_AUDITING_CLIENT_TEMPLATE.FAT&amp;display_string=Audit&amp;VAR:KEY=DIDGTQFMXG&amp;VAR:QUERY=RkZfUlRfU0ZfVE9UX0dST1NTKFFUUiwtMzEp&amp;WINDOW=FIRST_POPUP&amp;HEIGHT=450&amp;WIDTH=450&amp;START_MA","XIMIZED=FALSE&amp;VAR:CALENDAR=US&amp;VAR:SYMBOL=MW&amp;VAR:INDEX=0"}</definedName>
    <definedName name="_1516__FDSAUDITLINK__" hidden="1">{"fdsup://directions/FAT Viewer?action=UPDATE&amp;creator=factset&amp;DYN_ARGS=TRUE&amp;DOC_NAME=FAT:FQL_AUDITING_CLIENT_TEMPLATE.FAT&amp;display_string=Audit&amp;VAR:KEY=TOHEJERMXU&amp;VAR:QUERY=RkZfUlRfU0ZfVE9UX0dST1NTKFFUUiwtMzAp&amp;WINDOW=FIRST_POPUP&amp;HEIGHT=450&amp;WIDTH=450&amp;START_MA","XIMIZED=FALSE&amp;VAR:CALENDAR=US&amp;VAR:SYMBOL=MW&amp;VAR:INDEX=0"}</definedName>
    <definedName name="_1517__FDSAUDITLINK__" hidden="1">{"fdsup://directions/FAT Viewer?action=UPDATE&amp;creator=factset&amp;DYN_ARGS=TRUE&amp;DOC_NAME=FAT:FQL_AUDITING_CLIENT_TEMPLATE.FAT&amp;display_string=Audit&amp;VAR:KEY=DYHMTQXUBK&amp;VAR:QUERY=RkZfUlRfU0ZfVE9UX0dST1NTKFFUUiwtMjkp&amp;WINDOW=FIRST_POPUP&amp;HEIGHT=450&amp;WIDTH=450&amp;START_MA","XIMIZED=FALSE&amp;VAR:CALENDAR=US&amp;VAR:SYMBOL=MW&amp;VAR:INDEX=0"}</definedName>
    <definedName name="_1518__FDSAUDITLINK__" hidden="1">{"fdsup://directions/FAT Viewer?action=UPDATE&amp;creator=factset&amp;DYN_ARGS=TRUE&amp;DOC_NAME=FAT:FQL_AUDITING_CLIENT_TEMPLATE.FAT&amp;display_string=Audit&amp;VAR:KEY=FGTULCXKBM&amp;VAR:QUERY=RkZfUlRfU0ZfVE9UX0dST1NTKFFUUiwtMjgp&amp;WINDOW=FIRST_POPUP&amp;HEIGHT=450&amp;WIDTH=450&amp;START_MA","XIMIZED=FALSE&amp;VAR:CALENDAR=US&amp;VAR:SYMBOL=MW&amp;VAR:INDEX=0"}</definedName>
    <definedName name="_1519__FDSAUDITLINK__" hidden="1">{"fdsup://directions/FAT Viewer?action=UPDATE&amp;creator=factset&amp;DYN_ARGS=TRUE&amp;DOC_NAME=FAT:FQL_AUDITING_CLIENT_TEMPLATE.FAT&amp;display_string=Audit&amp;VAR:KEY=RERODQDOZG&amp;VAR:QUERY=RkZfUlRfU0ZfVE9UX0dST1NTKFFUUiwtMjcp&amp;WINDOW=FIRST_POPUP&amp;HEIGHT=450&amp;WIDTH=450&amp;START_MA","XIMIZED=FALSE&amp;VAR:CALENDAR=US&amp;VAR:SYMBOL=MW&amp;VAR:INDEX=0"}</definedName>
    <definedName name="_152__FDSAUDITLINK__" hidden="1">{"fdsup://Directions/FactSet Auditing Viewer?action=AUDIT_VALUE&amp;DB=129&amp;ID1=91704710&amp;VALUEID=01001&amp;SDATE=200802&amp;PERIODTYPE=QTR_STD&amp;window=popup_no_bar&amp;width=385&amp;height=120&amp;START_MAXIMIZED=FALSE&amp;creator=factset&amp;display_string=Audit"}</definedName>
    <definedName name="_1520__FDSAUDITLINK__" hidden="1">{"fdsup://directions/FAT Viewer?action=UPDATE&amp;creator=factset&amp;DYN_ARGS=TRUE&amp;DOC_NAME=FAT:FQL_AUDITING_CLIENT_TEMPLATE.FAT&amp;display_string=Audit&amp;VAR:KEY=BUXULIDQNI&amp;VAR:QUERY=RkZfUlRfU0ZfVE9UX0dST1NTKFFUUiwtMjYp&amp;WINDOW=FIRST_POPUP&amp;HEIGHT=450&amp;WIDTH=450&amp;START_MA","XIMIZED=FALSE&amp;VAR:CALENDAR=US&amp;VAR:SYMBOL=MW&amp;VAR:INDEX=0"}</definedName>
    <definedName name="_1521__FDSAUDITLINK__" hidden="1">{"fdsup://directions/FAT Viewer?action=UPDATE&amp;creator=factset&amp;DYN_ARGS=TRUE&amp;DOC_NAME=FAT:FQL_AUDITING_CLIENT_TEMPLATE.FAT&amp;display_string=Audit&amp;VAR:KEY=VUVGPOJEXO&amp;VAR:QUERY=RkZfUlRfU0ZfVE9UX0dST1NTKFFUUiwtMjUp&amp;WINDOW=FIRST_POPUP&amp;HEIGHT=450&amp;WIDTH=450&amp;START_MA","XIMIZED=FALSE&amp;VAR:CALENDAR=US&amp;VAR:SYMBOL=MW&amp;VAR:INDEX=0"}</definedName>
    <definedName name="_1522__FDSAUDITLINK__" hidden="1">{"fdsup://directions/FAT Viewer?action=UPDATE&amp;creator=factset&amp;DYN_ARGS=TRUE&amp;DOC_NAME=FAT:FQL_AUDITING_CLIENT_TEMPLATE.FAT&amp;display_string=Audit&amp;VAR:KEY=HAHQZOFKDO&amp;VAR:QUERY=RkZfUlRfU0ZfVE9UX0dST1NTKFFUUiwtMjQp&amp;WINDOW=FIRST_POPUP&amp;HEIGHT=450&amp;WIDTH=450&amp;START_MA","XIMIZED=FALSE&amp;VAR:CALENDAR=US&amp;VAR:SYMBOL=MW&amp;VAR:INDEX=0"}</definedName>
    <definedName name="_1523__FDSAUDITLINK__" hidden="1">{"fdsup://directions/FAT Viewer?action=UPDATE&amp;creator=factset&amp;DYN_ARGS=TRUE&amp;DOC_NAME=FAT:FQL_AUDITING_CLIENT_TEMPLATE.FAT&amp;display_string=Audit&amp;VAR:KEY=VGDWVEVYDO&amp;VAR:QUERY=RkZfUlRfU0ZfVE9UX0dST1NTKFFUUiwtMjMp&amp;WINDOW=FIRST_POPUP&amp;HEIGHT=450&amp;WIDTH=450&amp;START_MA","XIMIZED=FALSE&amp;VAR:CALENDAR=US&amp;VAR:SYMBOL=MW&amp;VAR:INDEX=0"}</definedName>
    <definedName name="_1524__FDSAUDITLINK__" hidden="1">{"fdsup://directions/FAT Viewer?action=UPDATE&amp;creator=factset&amp;DYN_ARGS=TRUE&amp;DOC_NAME=FAT:FQL_AUDITING_CLIENT_TEMPLATE.FAT&amp;display_string=Audit&amp;VAR:KEY=XKFGJGNSBQ&amp;VAR:QUERY=RkZfUlRfU0ZfVE9UX0dST1NTKFFUUiwtMjIp&amp;WINDOW=FIRST_POPUP&amp;HEIGHT=450&amp;WIDTH=450&amp;START_MA","XIMIZED=FALSE&amp;VAR:CALENDAR=US&amp;VAR:SYMBOL=MW&amp;VAR:INDEX=0"}</definedName>
    <definedName name="_1525__FDSAUDITLINK__" hidden="1">{"fdsup://directions/FAT Viewer?action=UPDATE&amp;creator=factset&amp;DYN_ARGS=TRUE&amp;DOC_NAME=FAT:FQL_AUDITING_CLIENT_TEMPLATE.FAT&amp;display_string=Audit&amp;VAR:KEY=VGTKVQRMDE&amp;VAR:QUERY=RkZfUlRfU0ZfVE9UX0dST1NTKFFUUiwtMjEp&amp;WINDOW=FIRST_POPUP&amp;HEIGHT=450&amp;WIDTH=450&amp;START_MA","XIMIZED=FALSE&amp;VAR:CALENDAR=US&amp;VAR:SYMBOL=MW&amp;VAR:INDEX=0"}</definedName>
    <definedName name="_1526__FDSAUDITLINK__" hidden="1">{"fdsup://directions/FAT Viewer?action=UPDATE&amp;creator=factset&amp;DYN_ARGS=TRUE&amp;DOC_NAME=FAT:FQL_AUDITING_CLIENT_TEMPLATE.FAT&amp;display_string=Audit&amp;VAR:KEY=HATCRWXIPY&amp;VAR:QUERY=RkZfUlRfU0ZfVE9UX0dST1NTKFFUUiwtMjAp&amp;WINDOW=FIRST_POPUP&amp;HEIGHT=450&amp;WIDTH=450&amp;START_MA","XIMIZED=FALSE&amp;VAR:CALENDAR=US&amp;VAR:SYMBOL=MW&amp;VAR:INDEX=0"}</definedName>
    <definedName name="_1527__FDSAUDITLINK__" hidden="1">{"fdsup://directions/FAT Viewer?action=UPDATE&amp;creator=factset&amp;DYN_ARGS=TRUE&amp;DOC_NAME=FAT:FQL_AUDITING_CLIENT_TEMPLATE.FAT&amp;display_string=Audit&amp;VAR:KEY=LSDEZKHSLO&amp;VAR:QUERY=RkZfUlRfU0ZfVE9UX0dST1NTKFFUUiwtMTkp&amp;WINDOW=FIRST_POPUP&amp;HEIGHT=450&amp;WIDTH=450&amp;START_MA","XIMIZED=FALSE&amp;VAR:CALENDAR=US&amp;VAR:SYMBOL=MW&amp;VAR:INDEX=0"}</definedName>
    <definedName name="_1528__FDSAUDITLINK__" hidden="1">{"fdsup://directions/FAT Viewer?action=UPDATE&amp;creator=factset&amp;DYN_ARGS=TRUE&amp;DOC_NAME=FAT:FQL_AUDITING_CLIENT_TEMPLATE.FAT&amp;display_string=Audit&amp;VAR:KEY=PGHYZMZMNW&amp;VAR:QUERY=RkZfUlRfU0ZfVE9UX0dST1NTKFFUUiwtMTgp&amp;WINDOW=FIRST_POPUP&amp;HEIGHT=450&amp;WIDTH=450&amp;START_MA","XIMIZED=FALSE&amp;VAR:CALENDAR=US&amp;VAR:SYMBOL=MW&amp;VAR:INDEX=0"}</definedName>
    <definedName name="_1529__FDSAUDITLINK__" hidden="1">{"fdsup://directions/FAT Viewer?action=UPDATE&amp;creator=factset&amp;DYN_ARGS=TRUE&amp;DOC_NAME=FAT:FQL_AUDITING_CLIENT_TEMPLATE.FAT&amp;display_string=Audit&amp;VAR:KEY=NIHCFUBCLC&amp;VAR:QUERY=RkZfUlRfU0ZfVE9UX0dST1NTKFFUUiwtMTcp&amp;WINDOW=FIRST_POPUP&amp;HEIGHT=450&amp;WIDTH=450&amp;START_MA","XIMIZED=FALSE&amp;VAR:CALENDAR=US&amp;VAR:SYMBOL=MW&amp;VAR:INDEX=0"}</definedName>
    <definedName name="_153__FDSAUDITLINK__" hidden="1">{"fdsup://Directions/FactSet Auditing Viewer?action=AUDIT_VALUE&amp;DB=129&amp;ID1=91704710&amp;VALUEID=13040&amp;SDATE=200802&amp;PERIODTYPE=QTR_STD&amp;window=popup_no_bar&amp;width=385&amp;height=120&amp;START_MAXIMIZED=FALSE&amp;creator=factset&amp;display_string=Audit"}</definedName>
    <definedName name="_1530__FDSAUDITLINK__" hidden="1">{"fdsup://directions/FAT Viewer?action=UPDATE&amp;creator=factset&amp;DYN_ARGS=TRUE&amp;DOC_NAME=FAT:FQL_AUDITING_CLIENT_TEMPLATE.FAT&amp;display_string=Audit&amp;VAR:KEY=RKPQDQZENU&amp;VAR:QUERY=RkZfUlRfU0ZfVE9UX0dST1NTKFFUUiwtMTYp&amp;WINDOW=FIRST_POPUP&amp;HEIGHT=450&amp;WIDTH=450&amp;START_MA","XIMIZED=FALSE&amp;VAR:CALENDAR=US&amp;VAR:SYMBOL=MW&amp;VAR:INDEX=0"}</definedName>
    <definedName name="_1531__FDSAUDITLINK__" hidden="1">{"fdsup://directions/FAT Viewer?action=UPDATE&amp;creator=factset&amp;DYN_ARGS=TRUE&amp;DOC_NAME=FAT:FQL_AUDITING_CLIENT_TEMPLATE.FAT&amp;display_string=Audit&amp;VAR:KEY=DGFWHAXCHW&amp;VAR:QUERY=RkZfUlRfU0ZfVE9UX0dST1NTKFFUUiwtMTUp&amp;WINDOW=FIRST_POPUP&amp;HEIGHT=450&amp;WIDTH=450&amp;START_MA","XIMIZED=FALSE&amp;VAR:CALENDAR=US&amp;VAR:SYMBOL=MW&amp;VAR:INDEX=0"}</definedName>
    <definedName name="_1532__FDSAUDITLINK__" hidden="1">{"fdsup://directions/FAT Viewer?action=UPDATE&amp;creator=factset&amp;DYN_ARGS=TRUE&amp;DOC_NAME=FAT:FQL_AUDITING_CLIENT_TEMPLATE.FAT&amp;display_string=Audit&amp;VAR:KEY=RIPOZCVKJU&amp;VAR:QUERY=RkZfUlRfU0ZfVE9UX0dST1NTKFFUUiwtMTQp&amp;WINDOW=FIRST_POPUP&amp;HEIGHT=450&amp;WIDTH=450&amp;START_MA","XIMIZED=FALSE&amp;VAR:CALENDAR=US&amp;VAR:SYMBOL=MW&amp;VAR:INDEX=0"}</definedName>
    <definedName name="_1533__FDSAUDITLINK__" hidden="1">{"fdsup://directions/FAT Viewer?action=UPDATE&amp;creator=factset&amp;DYN_ARGS=TRUE&amp;DOC_NAME=FAT:FQL_AUDITING_CLIENT_TEMPLATE.FAT&amp;display_string=Audit&amp;VAR:KEY=HGNWDSTIVA&amp;VAR:QUERY=RkZfUlRfU0ZfVE9UX0dST1NTKFFUUiwtMTMp&amp;WINDOW=FIRST_POPUP&amp;HEIGHT=450&amp;WIDTH=450&amp;START_MA","XIMIZED=FALSE&amp;VAR:CALENDAR=US&amp;VAR:SYMBOL=MW&amp;VAR:INDEX=0"}</definedName>
    <definedName name="_1534__FDSAUDITLINK__" hidden="1">{"fdsup://directions/FAT Viewer?action=UPDATE&amp;creator=factset&amp;DYN_ARGS=TRUE&amp;DOC_NAME=FAT:FQL_AUDITING_CLIENT_TEMPLATE.FAT&amp;display_string=Audit&amp;VAR:KEY=TSBWJUTAVW&amp;VAR:QUERY=RkZfUlRfU0ZfVE9UX0dST1NTKFFUUiwtMTIp&amp;WINDOW=FIRST_POPUP&amp;HEIGHT=450&amp;WIDTH=450&amp;START_MA","XIMIZED=FALSE&amp;VAR:CALENDAR=US&amp;VAR:SYMBOL=MW&amp;VAR:INDEX=0"}</definedName>
    <definedName name="_1535__FDSAUDITLINK__" hidden="1">{"fdsup://directions/FAT Viewer?action=UPDATE&amp;creator=factset&amp;DYN_ARGS=TRUE&amp;DOC_NAME=FAT:FQL_AUDITING_CLIENT_TEMPLATE.FAT&amp;display_string=Audit&amp;VAR:KEY=NOFAHIRKNW&amp;VAR:QUERY=RkZfUlRfU0ZfVE9UX0dST1NTKFFUUiwtMTEp&amp;WINDOW=FIRST_POPUP&amp;HEIGHT=450&amp;WIDTH=450&amp;START_MA","XIMIZED=FALSE&amp;VAR:CALENDAR=US&amp;VAR:SYMBOL=MW&amp;VAR:INDEX=0"}</definedName>
    <definedName name="_1536__FDSAUDITLINK__" hidden="1">{"fdsup://directions/FAT Viewer?action=UPDATE&amp;creator=factset&amp;DYN_ARGS=TRUE&amp;DOC_NAME=FAT:FQL_AUDITING_CLIENT_TEMPLATE.FAT&amp;display_string=Audit&amp;VAR:KEY=NIVIHMZYZO&amp;VAR:QUERY=RkZfUlRfU0ZfVE9UX0dST1NTKFFUUiwtMTAp&amp;WINDOW=FIRST_POPUP&amp;HEIGHT=450&amp;WIDTH=450&amp;START_MA","XIMIZED=FALSE&amp;VAR:CALENDAR=US&amp;VAR:SYMBOL=MW&amp;VAR:INDEX=0"}</definedName>
    <definedName name="_1537__FDSAUDITLINK__" hidden="1">{"fdsup://directions/FAT Viewer?action=UPDATE&amp;creator=factset&amp;DYN_ARGS=TRUE&amp;DOC_NAME=FAT:FQL_AUDITING_CLIENT_TEMPLATE.FAT&amp;display_string=Audit&amp;VAR:KEY=LIFEZIXONO&amp;VAR:QUERY=RkZfUlRfU0ZfVE9UX0dST1NTKFFUUiwtOSk=&amp;WINDOW=FIRST_POPUP&amp;HEIGHT=450&amp;WIDTH=450&amp;START_MA","XIMIZED=FALSE&amp;VAR:CALENDAR=US&amp;VAR:SYMBOL=MW&amp;VAR:INDEX=0"}</definedName>
    <definedName name="_1538__FDSAUDITLINK__" hidden="1">{"fdsup://directions/FAT Viewer?action=UPDATE&amp;creator=factset&amp;DYN_ARGS=TRUE&amp;DOC_NAME=FAT:FQL_AUDITING_CLIENT_TEMPLATE.FAT&amp;display_string=Audit&amp;VAR:KEY=ZYBGTQFENI&amp;VAR:QUERY=RkZfUlRfU0ZfVE9UX0dST1NTKFFUUiwtOCk=&amp;WINDOW=FIRST_POPUP&amp;HEIGHT=450&amp;WIDTH=450&amp;START_MA","XIMIZED=FALSE&amp;VAR:CALENDAR=US&amp;VAR:SYMBOL=MW&amp;VAR:INDEX=0"}</definedName>
    <definedName name="_1539__FDSAUDITLINK__" hidden="1">{"fdsup://directions/FAT Viewer?action=UPDATE&amp;creator=factset&amp;DYN_ARGS=TRUE&amp;DOC_NAME=FAT:FQL_AUDITING_CLIENT_TEMPLATE.FAT&amp;display_string=Audit&amp;VAR:KEY=PKHARSBEJO&amp;VAR:QUERY=RkZfUlRfU0ZfVE9UX0dST1NTKFFUUiwtNyk=&amp;WINDOW=FIRST_POPUP&amp;HEIGHT=450&amp;WIDTH=450&amp;START_MA","XIMIZED=FALSE&amp;VAR:CALENDAR=US&amp;VAR:SYMBOL=MW&amp;VAR:INDEX=0"}</definedName>
    <definedName name="_154__FDSAUDITLINK__" hidden="1">{"fdsup://Directions/FactSet Auditing Viewer?action=AUDIT_VALUE&amp;DB=129&amp;ID1=02553E10&amp;VALUEID=02101&amp;SDATE=200802&amp;PERIODTYPE=QTR_STD&amp;window=popup_no_bar&amp;width=385&amp;height=120&amp;START_MAXIMIZED=FALSE&amp;creator=factset&amp;display_string=Audit"}</definedName>
    <definedName name="_1540__FDSAUDITLINK__" hidden="1">{"fdsup://directions/FAT Viewer?action=UPDATE&amp;creator=factset&amp;DYN_ARGS=TRUE&amp;DOC_NAME=FAT:FQL_AUDITING_CLIENT_TEMPLATE.FAT&amp;display_string=Audit&amp;VAR:KEY=TUFIDOPGDK&amp;VAR:QUERY=RkZfUlRfU0ZfVE9UX0dST1NTKFFUUiwtNik=&amp;WINDOW=FIRST_POPUP&amp;HEIGHT=450&amp;WIDTH=450&amp;START_MA","XIMIZED=FALSE&amp;VAR:CALENDAR=US&amp;VAR:SYMBOL=MW&amp;VAR:INDEX=0"}</definedName>
    <definedName name="_1541__FDSAUDITLINK__" hidden="1">{"fdsup://directions/FAT Viewer?action=UPDATE&amp;creator=factset&amp;DYN_ARGS=TRUE&amp;DOC_NAME=FAT:FQL_AUDITING_CLIENT_TEMPLATE.FAT&amp;display_string=Audit&amp;VAR:KEY=JOTIDWFUPO&amp;VAR:QUERY=RkZfUlRfU0ZfVE9UX0dST1NTKFFUUiwtNSk=&amp;WINDOW=FIRST_POPUP&amp;HEIGHT=450&amp;WIDTH=450&amp;START_MA","XIMIZED=FALSE&amp;VAR:CALENDAR=US&amp;VAR:SYMBOL=MW&amp;VAR:INDEX=0"}</definedName>
    <definedName name="_1542__FDSAUDITLINK__" hidden="1">{"fdsup://directions/FAT Viewer?action=UPDATE&amp;creator=factset&amp;DYN_ARGS=TRUE&amp;DOC_NAME=FAT:FQL_AUDITING_CLIENT_TEMPLATE.FAT&amp;display_string=Audit&amp;VAR:KEY=VWLUVOLOTS&amp;VAR:QUERY=RkZfUlRfU0ZfVE9UX0dST1NTKFFUUiwtNCk=&amp;WINDOW=FIRST_POPUP&amp;HEIGHT=450&amp;WIDTH=450&amp;START_MA","XIMIZED=FALSE&amp;VAR:CALENDAR=US&amp;VAR:SYMBOL=MW&amp;VAR:INDEX=0"}</definedName>
    <definedName name="_1543__FDSAUDITLINK__" hidden="1">{"fdsup://directions/FAT Viewer?action=UPDATE&amp;creator=factset&amp;DYN_ARGS=TRUE&amp;DOC_NAME=FAT:FQL_AUDITING_CLIENT_TEMPLATE.FAT&amp;display_string=Audit&amp;VAR:KEY=NUNEHSBQVC&amp;VAR:QUERY=RkZfUlRfU0ZfVE9UX0dST1NTKFFUUiwtMyk=&amp;WINDOW=FIRST_POPUP&amp;HEIGHT=450&amp;WIDTH=450&amp;START_MA","XIMIZED=FALSE&amp;VAR:CALENDAR=US&amp;VAR:SYMBOL=MW&amp;VAR:INDEX=0"}</definedName>
    <definedName name="_1544__FDSAUDITLINK__" hidden="1">{"fdsup://directions/FAT Viewer?action=UPDATE&amp;creator=factset&amp;DYN_ARGS=TRUE&amp;DOC_NAME=FAT:FQL_AUDITING_CLIENT_TEMPLATE.FAT&amp;display_string=Audit&amp;VAR:KEY=DYVEJGLOTU&amp;VAR:QUERY=RkZfUlRfU0ZfVE9UX0dST1NTKFFUUiwtMik=&amp;WINDOW=FIRST_POPUP&amp;HEIGHT=450&amp;WIDTH=450&amp;START_MA","XIMIZED=FALSE&amp;VAR:CALENDAR=US&amp;VAR:SYMBOL=MW&amp;VAR:INDEX=0"}</definedName>
    <definedName name="_1545__FDSAUDITLINK__" hidden="1">{"fdsup://directions/FAT Viewer?action=UPDATE&amp;creator=factset&amp;DYN_ARGS=TRUE&amp;DOC_NAME=FAT:FQL_AUDITING_CLIENT_TEMPLATE.FAT&amp;display_string=Audit&amp;VAR:KEY=NAVAPYPWTC&amp;VAR:QUERY=RkZfUlRfU0ZfVE9UX0dST1NTKFFUUiwtMSk=&amp;WINDOW=FIRST_POPUP&amp;HEIGHT=450&amp;WIDTH=450&amp;START_MA","XIMIZED=FALSE&amp;VAR:CALENDAR=US&amp;VAR:SYMBOL=MW&amp;VAR:INDEX=0"}</definedName>
    <definedName name="_1546__FDSAUDITLINK__" hidden="1">{"fdsup://directions/FAT Viewer?action=UPDATE&amp;creator=factset&amp;DYN_ARGS=TRUE&amp;DOC_NAME=FAT:FQL_AUDITING_CLIENT_TEMPLATE.FAT&amp;display_string=Audit&amp;VAR:KEY=XIDOJQDIDO&amp;VAR:QUERY=RkZfUlRfU0ZfVE9UX0dST1NTKFFUUiwwKQ==&amp;WINDOW=FIRST_POPUP&amp;HEIGHT=450&amp;WIDTH=450&amp;START_MA","XIMIZED=FALSE&amp;VAR:CALENDAR=US&amp;VAR:SYMBOL=MW&amp;VAR:INDEX=0"}</definedName>
    <definedName name="_1547__FDSAUDITLINK__" hidden="1">{"fdsup://directions/FAT Viewer?action=UPDATE&amp;creator=factset&amp;DYN_ARGS=TRUE&amp;DOC_NAME=FAT:FQL_AUDITING_CLIENT_TEMPLATE.FAT&amp;display_string=Audit&amp;VAR:KEY=TSBWJUTAVW&amp;VAR:QUERY=RkZfUlRfU0ZfVE9UX0dST1NTKFFUUiwtMTIp&amp;WINDOW=FIRST_POPUP&amp;HEIGHT=450&amp;WIDTH=450&amp;START_MA","XIMIZED=FALSE&amp;VAR:CALENDAR=US&amp;VAR:SYMBOL=MW&amp;VAR:INDEX=0"}</definedName>
    <definedName name="_1548__FDSAUDITLINK__" hidden="1">{"fdsup://directions/FAT Viewer?action=UPDATE&amp;creator=factset&amp;DYN_ARGS=TRUE&amp;DOC_NAME=FAT:FQL_AUDITING_CLIENT_TEMPLATE.FAT&amp;display_string=Audit&amp;VAR:KEY=NOFAHIRKNW&amp;VAR:QUERY=RkZfUlRfU0ZfVE9UX0dST1NTKFFUUiwtMTEp&amp;WINDOW=FIRST_POPUP&amp;HEIGHT=450&amp;WIDTH=450&amp;START_MA","XIMIZED=FALSE&amp;VAR:CALENDAR=US&amp;VAR:SYMBOL=MW&amp;VAR:INDEX=0"}</definedName>
    <definedName name="_1549__FDSAUDITLINK__" hidden="1">{"fdsup://directions/FAT Viewer?action=UPDATE&amp;creator=factset&amp;DYN_ARGS=TRUE&amp;DOC_NAME=FAT:FQL_AUDITING_CLIENT_TEMPLATE.FAT&amp;display_string=Audit&amp;VAR:KEY=NIVIHMZYZO&amp;VAR:QUERY=RkZfUlRfU0ZfVE9UX0dST1NTKFFUUiwtMTAp&amp;WINDOW=FIRST_POPUP&amp;HEIGHT=450&amp;WIDTH=450&amp;START_MA","XIMIZED=FALSE&amp;VAR:CALENDAR=US&amp;VAR:SYMBOL=MW&amp;VAR:INDEX=0"}</definedName>
    <definedName name="_155__FDSAUDITLINK__" hidden="1">{"fdsup://Directions/FactSet Auditing Viewer?action=AUDIT_VALUE&amp;DB=129&amp;ID1=02553E10&amp;VALUEID=01001&amp;SDATE=200802&amp;PERIODTYPE=QTR_STD&amp;window=popup_no_bar&amp;width=385&amp;height=120&amp;START_MAXIMIZED=FALSE&amp;creator=factset&amp;display_string=Audit"}</definedName>
    <definedName name="_1550__FDSAUDITLINK__" hidden="1">{"fdsup://Directions/FactSet Auditing Viewer?action=AUDIT_VALUE&amp;DB=129&amp;ID1=87416110&amp;VALUEID=02101&amp;SDATE=201001&amp;PERIODTYPE=QTR_STD&amp;window=popup_no_bar&amp;width=385&amp;height=120&amp;START_MAXIMIZED=FALSE&amp;creator=factset&amp;display_string=Audit"}</definedName>
    <definedName name="_1551__FDSAUDITLINK__" hidden="1">{"fdsup://Directions/FactSet Auditing Viewer?action=AUDIT_VALUE&amp;DB=129&amp;ID1=87416110&amp;VALUEID=13040&amp;SDATE=201001&amp;PERIODTYPE=QTR_STD&amp;window=popup_no_bar&amp;width=385&amp;height=120&amp;START_MAXIMIZED=FALSE&amp;creator=factset&amp;display_string=Audit"}</definedName>
    <definedName name="_1552__FDSAUDITLINK__" hidden="1">{"fdsup://directions/FAT Viewer?action=UPDATE&amp;creator=factset&amp;DYN_ARGS=TRUE&amp;DOC_NAME=FAT:FQL_AUDITING_CLIENT_TEMPLATE.FAT&amp;display_string=Audit&amp;VAR:KEY=FSTUHMJIBA&amp;VAR:QUERY=RkZfUlRfU0ZfVE9UX0dST1NTKFFUUiwwKQ==&amp;WINDOW=FIRST_POPUP&amp;HEIGHT=450&amp;WIDTH=450&amp;START_MA","XIMIZED=FALSE&amp;VAR:CALENDAR=US&amp;VAR:SYMBOL=TLB&amp;VAR:INDEX=0"}</definedName>
    <definedName name="_1553__FDSAUDITLINK__" hidden="1">{"fdsup://Directions/FactSet Auditing Viewer?action=AUDIT_VALUE&amp;DB=129&amp;ID1=53271610&amp;VALUEID=02101&amp;SDATE=201001&amp;PERIODTYPE=QTR_STD&amp;window=popup_no_bar&amp;width=385&amp;height=120&amp;START_MAXIMIZED=FALSE&amp;creator=factset&amp;display_string=Audit"}</definedName>
    <definedName name="_1554__FDSAUDITLINK__" hidden="1">{"fdsup://Directions/FactSet Auditing Viewer?action=AUDIT_VALUE&amp;DB=129&amp;ID1=53271610&amp;VALUEID=13040&amp;SDATE=201001&amp;PERIODTYPE=QTR_STD&amp;window=popup_no_bar&amp;width=385&amp;height=120&amp;START_MAXIMIZED=FALSE&amp;creator=factset&amp;display_string=Audit"}</definedName>
    <definedName name="_1555__FDSAUDITLINK__" hidden="1">{"fdsup://Directions/FactSet Auditing Viewer?action=AUDIT_VALUE&amp;DB=129&amp;ID1=46612H40&amp;VALUEID=02101&amp;SDATE=201001&amp;PERIODTYPE=QTR_STD&amp;window=popup_no_bar&amp;width=385&amp;height=120&amp;START_MAXIMIZED=FALSE&amp;creator=factset&amp;display_string=Audit"}</definedName>
    <definedName name="_1556__FDSAUDITLINK__" hidden="1">{"fdsup://Directions/FactSet Auditing Viewer?action=AUDIT_VALUE&amp;DB=129&amp;ID1=46612H40&amp;VALUEID=13040&amp;SDATE=201001&amp;PERIODTYPE=QTR_STD&amp;window=popup_no_bar&amp;width=385&amp;height=120&amp;START_MAXIMIZED=FALSE&amp;creator=factset&amp;display_string=Audit"}</definedName>
    <definedName name="_1557__FDSAUDITLINK__" hidden="1">{"fdsup://Directions/FactSet Auditing Viewer?action=AUDIT_VALUE&amp;DB=129&amp;ID1=36476010&amp;VALUEID=02101&amp;SDATE=201001&amp;PERIODTYPE=QTR_STD&amp;window=popup_no_bar&amp;width=385&amp;height=120&amp;START_MAXIMIZED=FALSE&amp;creator=factset&amp;display_string=Audit"}</definedName>
    <definedName name="_1558__FDSAUDITLINK__" hidden="1">{"fdsup://Directions/FactSet Auditing Viewer?action=AUDIT_VALUE&amp;DB=129&amp;ID1=36476010&amp;VALUEID=13040&amp;SDATE=201001&amp;PERIODTYPE=QTR_STD&amp;window=popup_no_bar&amp;width=385&amp;height=120&amp;START_MAXIMIZED=FALSE&amp;creator=factset&amp;display_string=Audit"}</definedName>
    <definedName name="_1559__FDSAUDITLINK__" hidden="1">{"fdsup://Directions/FactSet Auditing Viewer?action=AUDIT_VALUE&amp;DB=129&amp;ID1=03611510&amp;VALUEID=02101&amp;SDATE=201001&amp;PERIODTYPE=QTR_STD&amp;window=popup_no_bar&amp;width=385&amp;height=120&amp;START_MAXIMIZED=FALSE&amp;creator=factset&amp;display_string=Audit"}</definedName>
    <definedName name="_156__FDSAUDITLINK__" hidden="1">{"fdsup://Directions/FactSet Auditing Viewer?action=AUDIT_VALUE&amp;DB=129&amp;ID1=02553E10&amp;VALUEID=13040&amp;SDATE=200802&amp;PERIODTYPE=QTR_STD&amp;window=popup_no_bar&amp;width=385&amp;height=120&amp;START_MAXIMIZED=FALSE&amp;creator=factset&amp;display_string=Audit"}</definedName>
    <definedName name="_1560__FDSAUDITLINK__" hidden="1">{"fdsup://Directions/FactSet Auditing Viewer?action=AUDIT_VALUE&amp;DB=129&amp;ID1=03611510&amp;VALUEID=13040&amp;SDATE=201001&amp;PERIODTYPE=QTR_STD&amp;window=popup_no_bar&amp;width=385&amp;height=120&amp;START_MAXIMIZED=FALSE&amp;creator=factset&amp;display_string=Audit"}</definedName>
    <definedName name="_1561__FDSAUDITLINK__" hidden="1">{"fdsup://Directions/FactSet Auditing Viewer?action=AUDIT_VALUE&amp;DB=129&amp;ID1=16890510&amp;VALUEID=02101&amp;SDATE=201001&amp;PERIODTYPE=QTR_STD&amp;window=popup_no_bar&amp;width=385&amp;height=120&amp;START_MAXIMIZED=FALSE&amp;creator=factset&amp;display_string=Audit"}</definedName>
    <definedName name="_1562__FDSAUDITLINK__" hidden="1">{"fdsup://Directions/FactSet Auditing Viewer?action=AUDIT_VALUE&amp;DB=129&amp;ID1=91704710&amp;VALUEID=02101&amp;SDATE=201001&amp;PERIODTYPE=QTR_STD&amp;window=popup_no_bar&amp;width=385&amp;height=120&amp;START_MAXIMIZED=FALSE&amp;creator=factset&amp;display_string=Audit"}</definedName>
    <definedName name="_1563__FDSAUDITLINK__" hidden="1">{"fdsup://Directions/FactSet Auditing Viewer?action=AUDIT_VALUE&amp;DB=129&amp;ID1=91704710&amp;VALUEID=13040&amp;SDATE=201001&amp;PERIODTYPE=QTR_STD&amp;window=popup_no_bar&amp;width=385&amp;height=120&amp;START_MAXIMIZED=FALSE&amp;creator=factset&amp;display_string=Audit"}</definedName>
    <definedName name="_1564__FDSAUDITLINK__" hidden="1">{"fdsup://Directions/FactSet Auditing Viewer?action=AUDIT_VALUE&amp;DB=129&amp;ID1=02553E10&amp;VALUEID=02101&amp;SDATE=201001&amp;PERIODTYPE=QTR_STD&amp;window=popup_no_bar&amp;width=385&amp;height=120&amp;START_MAXIMIZED=FALSE&amp;creator=factset&amp;display_string=Audit"}</definedName>
    <definedName name="_1565__FDSAUDITLINK__" hidden="1">{"fdsup://Directions/FactSet Auditing Viewer?action=AUDIT_VALUE&amp;DB=129&amp;ID1=02553E10&amp;VALUEID=13040&amp;SDATE=201001&amp;PERIODTYPE=QTR_STD&amp;window=popup_no_bar&amp;width=385&amp;height=120&amp;START_MAXIMIZED=FALSE&amp;creator=factset&amp;display_string=Audit"}</definedName>
    <definedName name="_1566__FDSAUDITLINK__" hidden="1">{"fdsup://Directions/FactSet Auditing Viewer?action=AUDIT_VALUE&amp;DB=129&amp;ID1=00786510&amp;VALUEID=02101&amp;SDATE=201001&amp;PERIODTYPE=QTR_STD&amp;window=popup_no_bar&amp;width=385&amp;height=120&amp;START_MAXIMIZED=FALSE&amp;creator=factset&amp;display_string=Audit"}</definedName>
    <definedName name="_1567__FDSAUDITLINK__" hidden="1">{"fdsup://Directions/FactSet Auditing Viewer?action=AUDIT_VALUE&amp;DB=129&amp;ID1=00786510&amp;VALUEID=13040&amp;SDATE=201001&amp;PERIODTYPE=QTR_STD&amp;window=popup_no_bar&amp;width=385&amp;height=120&amp;START_MAXIMIZED=FALSE&amp;creator=factset&amp;display_string=Audit"}</definedName>
    <definedName name="_1568__FDSAUDITLINK__" hidden="1">{"fdsup://Directions/FactSet Auditing Viewer?action=AUDIT_VALUE&amp;DB=129&amp;ID1=00289620&amp;VALUEID=02101&amp;SDATE=201001&amp;PERIODTYPE=QTR_STD&amp;window=popup_no_bar&amp;width=385&amp;height=120&amp;START_MAXIMIZED=FALSE&amp;creator=factset&amp;display_string=Audit"}</definedName>
    <definedName name="_1569__FDSAUDITLINK__" hidden="1">{"fdsup://Directions/FactSet Auditing Viewer?action=AUDIT_VALUE&amp;DB=129&amp;ID1=00289620&amp;VALUEID=13040&amp;SDATE=201001&amp;PERIODTYPE=QTR_STD&amp;window=popup_no_bar&amp;width=385&amp;height=120&amp;START_MAXIMIZED=FALSE&amp;creator=factset&amp;display_string=Audit"}</definedName>
    <definedName name="_157__FDSAUDITLINK__" hidden="1">{"fdsup://Directions/FactSet Auditing Viewer?action=AUDIT_VALUE&amp;DB=129&amp;ID1=00786510&amp;VALUEID=02101&amp;SDATE=200802&amp;PERIODTYPE=QTR_STD&amp;window=popup_no_bar&amp;width=385&amp;height=120&amp;START_MAXIMIZED=FALSE&amp;creator=factset&amp;display_string=Audit"}</definedName>
    <definedName name="_1570__FDSAUDITLINK__" hidden="1">{"fdsup://Directions/FactSet Auditing Viewer?action=AUDIT_VALUE&amp;DB=129&amp;ID1=87416110&amp;VALUEID=01001&amp;SDATE=200904&amp;PERIODTYPE=QTR_STD&amp;window=popup_no_bar&amp;width=385&amp;height=120&amp;START_MAXIMIZED=FALSE&amp;creator=factset&amp;display_string=Audit"}</definedName>
    <definedName name="_1571__FDSAUDITLINK__" hidden="1">{"fdsup://directions/FAT Viewer?action=UPDATE&amp;creator=factset&amp;DYN_ARGS=TRUE&amp;DOC_NAME=FAT:FQL_AUDITING_CLIENT_TEMPLATE.FAT&amp;display_string=Audit&amp;VAR:KEY=BIFCDOPIRG&amp;VAR:QUERY=RkZfUlRfU0ZfVE9UX0dST1NTKFFUUiwtMSk=&amp;WINDOW=FIRST_POPUP&amp;HEIGHT=450&amp;WIDTH=450&amp;START_MA","XIMIZED=FALSE&amp;VAR:CALENDAR=US&amp;VAR:SYMBOL=TLB&amp;VAR:INDEX=0"}</definedName>
    <definedName name="_1572__FDSAUDITLINK__" hidden="1">{"fdsup://Directions/FactSet Auditing Viewer?action=AUDIT_VALUE&amp;DB=129&amp;ID1=46612H40&amp;VALUEID=01001&amp;SDATE=200904&amp;PERIODTYPE=QTR_STD&amp;window=popup_no_bar&amp;width=385&amp;height=120&amp;START_MAXIMIZED=FALSE&amp;creator=factset&amp;display_string=Audit"}</definedName>
    <definedName name="_1573__FDSAUDITLINK__" hidden="1">{"fdsup://Directions/FactSet Auditing Viewer?action=AUDIT_VALUE&amp;DB=129&amp;ID1=36476010&amp;VALUEID=01001&amp;SDATE=200904&amp;PERIODTYPE=QTR_STD&amp;window=popup_no_bar&amp;width=385&amp;height=120&amp;START_MAXIMIZED=FALSE&amp;creator=factset&amp;display_string=Audit"}</definedName>
    <definedName name="_1574__FDSAUDITLINK__" hidden="1">{"fdsup://Directions/FactSet Auditing Viewer?action=AUDIT_VALUE&amp;DB=129&amp;ID1=03611510&amp;VALUEID=01001&amp;SDATE=200904&amp;PERIODTYPE=QTR_STD&amp;window=popup_no_bar&amp;width=385&amp;height=120&amp;START_MAXIMIZED=FALSE&amp;creator=factset&amp;display_string=Audit"}</definedName>
    <definedName name="_1575__FDSAUDITLINK__" hidden="1">{"fdsup://Directions/FactSet Auditing Viewer?action=AUDIT_VALUE&amp;DB=129&amp;ID1=16890510&amp;VALUEID=01001&amp;SDATE=200904&amp;PERIODTYPE=QTR_STD&amp;window=popup_no_bar&amp;width=385&amp;height=120&amp;START_MAXIMIZED=FALSE&amp;creator=factset&amp;display_string=Audit"}</definedName>
    <definedName name="_1576__FDSAUDITLINK__" hidden="1">{"fdsup://Directions/FactSet Auditing Viewer?action=AUDIT_VALUE&amp;DB=129&amp;ID1=91704710&amp;VALUEID=01001&amp;SDATE=200904&amp;PERIODTYPE=QTR_STD&amp;window=popup_no_bar&amp;width=385&amp;height=120&amp;START_MAXIMIZED=FALSE&amp;creator=factset&amp;display_string=Audit"}</definedName>
    <definedName name="_1577__FDSAUDITLINK__" hidden="1">{"fdsup://Directions/FactSet Auditing Viewer?action=AUDIT_VALUE&amp;DB=129&amp;ID1=02553E10&amp;VALUEID=01001&amp;SDATE=200904&amp;PERIODTYPE=QTR_STD&amp;window=popup_no_bar&amp;width=385&amp;height=120&amp;START_MAXIMIZED=FALSE&amp;creator=factset&amp;display_string=Audit"}</definedName>
    <definedName name="_1578__FDSAUDITLINK__" hidden="1">{"fdsup://Directions/FactSet Auditing Viewer?action=AUDIT_VALUE&amp;DB=129&amp;ID1=00786510&amp;VALUEID=01001&amp;SDATE=200904&amp;PERIODTYPE=QTR_STD&amp;window=popup_no_bar&amp;width=385&amp;height=120&amp;START_MAXIMIZED=FALSE&amp;creator=factset&amp;display_string=Audit"}</definedName>
    <definedName name="_1579__FDSAUDITLINK__" hidden="1">{"fdsup://Directions/FactSet Auditing Viewer?action=AUDIT_VALUE&amp;DB=129&amp;ID1=87416110&amp;VALUEID=02101&amp;SDATE=200903&amp;PERIODTYPE=QTR_STD&amp;window=popup_no_bar&amp;width=385&amp;height=120&amp;START_MAXIMIZED=FALSE&amp;creator=factset&amp;display_string=Audit"}</definedName>
    <definedName name="_158__FDSAUDITLINK__" hidden="1">{"fdsup://Directions/FactSet Auditing Viewer?action=AUDIT_VALUE&amp;DB=129&amp;ID1=00786510&amp;VALUEID=01001&amp;SDATE=200802&amp;PERIODTYPE=QTR_STD&amp;window=popup_no_bar&amp;width=385&amp;height=120&amp;START_MAXIMIZED=FALSE&amp;creator=factset&amp;display_string=Audit"}</definedName>
    <definedName name="_1580__FDSAUDITLINK__" hidden="1">{"fdsup://Directions/FactSet Auditing Viewer?action=AUDIT_VALUE&amp;DB=129&amp;ID1=87416110&amp;VALUEID=01001&amp;SDATE=200903&amp;PERIODTYPE=QTR_STD&amp;window=popup_no_bar&amp;width=385&amp;height=120&amp;START_MAXIMIZED=FALSE&amp;creator=factset&amp;display_string=Audit"}</definedName>
    <definedName name="_1581__FDSAUDITLINK__" hidden="1">{"fdsup://Directions/FactSet Auditing Viewer?action=AUDIT_VALUE&amp;DB=129&amp;ID1=87416110&amp;VALUEID=13040&amp;SDATE=200903&amp;PERIODTYPE=QTR_STD&amp;window=popup_no_bar&amp;width=385&amp;height=120&amp;START_MAXIMIZED=FALSE&amp;creator=factset&amp;display_string=Audit"}</definedName>
    <definedName name="_1582__FDSAUDITLINK__" hidden="1">{"fdsup://directions/FAT Viewer?action=UPDATE&amp;creator=factset&amp;DYN_ARGS=TRUE&amp;DOC_NAME=FAT:FQL_AUDITING_CLIENT_TEMPLATE.FAT&amp;display_string=Audit&amp;VAR:KEY=XAZODYBEXK&amp;VAR:QUERY=RkZfUlRfU0ZfVE9UX0dST1NTKFFUUiwtMik=&amp;WINDOW=FIRST_POPUP&amp;HEIGHT=450&amp;WIDTH=450&amp;START_MA","XIMIZED=FALSE&amp;VAR:CALENDAR=US&amp;VAR:SYMBOL=TLB&amp;VAR:INDEX=0"}</definedName>
    <definedName name="_1583__FDSAUDITLINK__" hidden="1">{"fdsup://Directions/FactSet Auditing Viewer?action=AUDIT_VALUE&amp;DB=129&amp;ID1=53271610&amp;VALUEID=02101&amp;SDATE=200903&amp;PERIODTYPE=QTR_STD&amp;window=popup_no_bar&amp;width=385&amp;height=120&amp;START_MAXIMIZED=FALSE&amp;creator=factset&amp;display_string=Audit"}</definedName>
    <definedName name="_1584__FDSAUDITLINK__" hidden="1">{"fdsup://Directions/FactSet Auditing Viewer?action=AUDIT_VALUE&amp;DB=129&amp;ID1=53271610&amp;VALUEID=01001&amp;SDATE=200903&amp;PERIODTYPE=QTR_STD&amp;window=popup_no_bar&amp;width=385&amp;height=120&amp;START_MAXIMIZED=FALSE&amp;creator=factset&amp;display_string=Audit"}</definedName>
    <definedName name="_1585__FDSAUDITLINK__" hidden="1">{"fdsup://Directions/FactSet Auditing Viewer?action=AUDIT_VALUE&amp;DB=129&amp;ID1=53271610&amp;VALUEID=13040&amp;SDATE=200903&amp;PERIODTYPE=QTR_STD&amp;window=popup_no_bar&amp;width=385&amp;height=120&amp;START_MAXIMIZED=FALSE&amp;creator=factset&amp;display_string=Audit"}</definedName>
    <definedName name="_1586__FDSAUDITLINK__" hidden="1">{"fdsup://Directions/FactSet Auditing Viewer?action=AUDIT_VALUE&amp;DB=129&amp;ID1=46612H40&amp;VALUEID=02101&amp;SDATE=200903&amp;PERIODTYPE=QTR_STD&amp;window=popup_no_bar&amp;width=385&amp;height=120&amp;START_MAXIMIZED=FALSE&amp;creator=factset&amp;display_string=Audit"}</definedName>
    <definedName name="_1587__FDSAUDITLINK__" hidden="1">{"fdsup://Directions/FactSet Auditing Viewer?action=AUDIT_VALUE&amp;DB=129&amp;ID1=46612H40&amp;VALUEID=01001&amp;SDATE=200903&amp;PERIODTYPE=QTR_STD&amp;window=popup_no_bar&amp;width=385&amp;height=120&amp;START_MAXIMIZED=FALSE&amp;creator=factset&amp;display_string=Audit"}</definedName>
    <definedName name="_1588__FDSAUDITLINK__" hidden="1">{"fdsup://Directions/FactSet Auditing Viewer?action=AUDIT_VALUE&amp;DB=129&amp;ID1=46612H40&amp;VALUEID=13040&amp;SDATE=200903&amp;PERIODTYPE=QTR_STD&amp;window=popup_no_bar&amp;width=385&amp;height=120&amp;START_MAXIMIZED=FALSE&amp;creator=factset&amp;display_string=Audit"}</definedName>
    <definedName name="_1589__FDSAUDITLINK__" hidden="1">{"fdsup://Directions/FactSet Auditing Viewer?action=AUDIT_VALUE&amp;DB=129&amp;ID1=36476010&amp;VALUEID=02101&amp;SDATE=200903&amp;PERIODTYPE=QTR_STD&amp;window=popup_no_bar&amp;width=385&amp;height=120&amp;START_MAXIMIZED=FALSE&amp;creator=factset&amp;display_string=Audit"}</definedName>
    <definedName name="_159__FDSAUDITLINK__" hidden="1">{"fdsup://Directions/FactSet Auditing Viewer?action=AUDIT_VALUE&amp;DB=129&amp;ID1=00786510&amp;VALUEID=13040&amp;SDATE=200802&amp;PERIODTYPE=QTR_STD&amp;window=popup_no_bar&amp;width=385&amp;height=120&amp;START_MAXIMIZED=FALSE&amp;creator=factset&amp;display_string=Audit"}</definedName>
    <definedName name="_1590__FDSAUDITLINK__" hidden="1">{"fdsup://Directions/FactSet Auditing Viewer?action=AUDIT_VALUE&amp;DB=129&amp;ID1=36476010&amp;VALUEID=01001&amp;SDATE=200903&amp;PERIODTYPE=QTR_STD&amp;window=popup_no_bar&amp;width=385&amp;height=120&amp;START_MAXIMIZED=FALSE&amp;creator=factset&amp;display_string=Audit"}</definedName>
    <definedName name="_1591__FDSAUDITLINK__" hidden="1">{"fdsup://Directions/FactSet Auditing Viewer?action=AUDIT_VALUE&amp;DB=129&amp;ID1=36476010&amp;VALUEID=13040&amp;SDATE=200903&amp;PERIODTYPE=QTR_STD&amp;window=popup_no_bar&amp;width=385&amp;height=120&amp;START_MAXIMIZED=FALSE&amp;creator=factset&amp;display_string=Audit"}</definedName>
    <definedName name="_1592__FDSAUDITLINK__" hidden="1">{"fdsup://Directions/FactSet Auditing Viewer?action=AUDIT_VALUE&amp;DB=129&amp;ID1=03611510&amp;VALUEID=02101&amp;SDATE=200903&amp;PERIODTYPE=QTR_STD&amp;window=popup_no_bar&amp;width=385&amp;height=120&amp;START_MAXIMIZED=FALSE&amp;creator=factset&amp;display_string=Audit"}</definedName>
    <definedName name="_1593__FDSAUDITLINK__" hidden="1">{"fdsup://Directions/FactSet Auditing Viewer?action=AUDIT_VALUE&amp;DB=129&amp;ID1=03611510&amp;VALUEID=01001&amp;SDATE=200903&amp;PERIODTYPE=QTR_STD&amp;window=popup_no_bar&amp;width=385&amp;height=120&amp;START_MAXIMIZED=FALSE&amp;creator=factset&amp;display_string=Audit"}</definedName>
    <definedName name="_1594__FDSAUDITLINK__" hidden="1">{"fdsup://Directions/FactSet Auditing Viewer?action=AUDIT_VALUE&amp;DB=129&amp;ID1=03611510&amp;VALUEID=13040&amp;SDATE=200903&amp;PERIODTYPE=QTR_STD&amp;window=popup_no_bar&amp;width=385&amp;height=120&amp;START_MAXIMIZED=FALSE&amp;creator=factset&amp;display_string=Audit"}</definedName>
    <definedName name="_1595__FDSAUDITLINK__" hidden="1">{"fdsup://Directions/FactSet Auditing Viewer?action=AUDIT_VALUE&amp;DB=129&amp;ID1=16890510&amp;VALUEID=02101&amp;SDATE=200903&amp;PERIODTYPE=QTR_STD&amp;window=popup_no_bar&amp;width=385&amp;height=120&amp;START_MAXIMIZED=FALSE&amp;creator=factset&amp;display_string=Audit"}</definedName>
    <definedName name="_1596__FDSAUDITLINK__" hidden="1">{"fdsup://Directions/FactSet Auditing Viewer?action=AUDIT_VALUE&amp;DB=129&amp;ID1=16890510&amp;VALUEID=01001&amp;SDATE=200903&amp;PERIODTYPE=QTR_STD&amp;window=popup_no_bar&amp;width=385&amp;height=120&amp;START_MAXIMIZED=FALSE&amp;creator=factset&amp;display_string=Audit"}</definedName>
    <definedName name="_1597__FDSAUDITLINK__" hidden="1">{"fdsup://Directions/FactSet Auditing Viewer?action=AUDIT_VALUE&amp;DB=129&amp;ID1=91704710&amp;VALUEID=02101&amp;SDATE=200903&amp;PERIODTYPE=QTR_STD&amp;window=popup_no_bar&amp;width=385&amp;height=120&amp;START_MAXIMIZED=FALSE&amp;creator=factset&amp;display_string=Audit"}</definedName>
    <definedName name="_1598__FDSAUDITLINK__" hidden="1">{"fdsup://Directions/FactSet Auditing Viewer?action=AUDIT_VALUE&amp;DB=129&amp;ID1=91704710&amp;VALUEID=01001&amp;SDATE=200903&amp;PERIODTYPE=QTR_STD&amp;window=popup_no_bar&amp;width=385&amp;height=120&amp;START_MAXIMIZED=FALSE&amp;creator=factset&amp;display_string=Audit"}</definedName>
    <definedName name="_1599__FDSAUDITLINK__" hidden="1">{"fdsup://Directions/FactSet Auditing Viewer?action=AUDIT_VALUE&amp;DB=129&amp;ID1=91704710&amp;VALUEID=13040&amp;SDATE=200903&amp;PERIODTYPE=QTR_STD&amp;window=popup_no_bar&amp;width=385&amp;height=120&amp;START_MAXIMIZED=FALSE&amp;creator=factset&amp;display_string=Audit"}</definedName>
    <definedName name="_16__FDSAUDITLINK__" hidden="1">{"fdsup://Directions/FactSet Auditing Viewer?action=AUDIT_VALUE&amp;DB=129&amp;ID1=02553E10&amp;VALUEID=13040&amp;SDATE=201001&amp;PERIODTYPE=QTR_STD&amp;window=popup_no_bar&amp;width=385&amp;height=120&amp;START_MAXIMIZED=FALSE&amp;creator=factset&amp;display_string=Audit"}</definedName>
    <definedName name="_160__FDSAUDITLINK__" hidden="1">{"fdsup://Directions/FactSet Auditing Viewer?action=AUDIT_VALUE&amp;DB=129&amp;ID1=00289620&amp;VALUEID=02101&amp;SDATE=200802&amp;PERIODTYPE=QTR_STD&amp;window=popup_no_bar&amp;width=385&amp;height=120&amp;START_MAXIMIZED=FALSE&amp;creator=factset&amp;display_string=Audit"}</definedName>
    <definedName name="_1600__FDSAUDITLINK__" hidden="1">{"fdsup://Directions/FactSet Auditing Viewer?action=AUDIT_VALUE&amp;DB=129&amp;ID1=02553E10&amp;VALUEID=02101&amp;SDATE=200903&amp;PERIODTYPE=QTR_STD&amp;window=popup_no_bar&amp;width=385&amp;height=120&amp;START_MAXIMIZED=FALSE&amp;creator=factset&amp;display_string=Audit"}</definedName>
    <definedName name="_1601__FDSAUDITLINK__" hidden="1">{"fdsup://Directions/FactSet Auditing Viewer?action=AUDIT_VALUE&amp;DB=129&amp;ID1=02553E10&amp;VALUEID=01001&amp;SDATE=200903&amp;PERIODTYPE=QTR_STD&amp;window=popup_no_bar&amp;width=385&amp;height=120&amp;START_MAXIMIZED=FALSE&amp;creator=factset&amp;display_string=Audit"}</definedName>
    <definedName name="_1602__FDSAUDITLINK__" hidden="1">{"fdsup://Directions/FactSet Auditing Viewer?action=AUDIT_VALUE&amp;DB=129&amp;ID1=00786510&amp;VALUEID=02101&amp;SDATE=200903&amp;PERIODTYPE=QTR_STD&amp;window=popup_no_bar&amp;width=385&amp;height=120&amp;START_MAXIMIZED=FALSE&amp;creator=factset&amp;display_string=Audit"}</definedName>
    <definedName name="_1603__FDSAUDITLINK__" hidden="1">{"fdsup://Directions/FactSet Auditing Viewer?action=AUDIT_VALUE&amp;DB=129&amp;ID1=00786510&amp;VALUEID=01001&amp;SDATE=200903&amp;PERIODTYPE=QTR_STD&amp;window=popup_no_bar&amp;width=385&amp;height=120&amp;START_MAXIMIZED=FALSE&amp;creator=factset&amp;display_string=Audit"}</definedName>
    <definedName name="_1604__FDSAUDITLINK__" hidden="1">{"fdsup://Directions/FactSet Auditing Viewer?action=AUDIT_VALUE&amp;DB=129&amp;ID1=00786510&amp;VALUEID=13040&amp;SDATE=200903&amp;PERIODTYPE=QTR_STD&amp;window=popup_no_bar&amp;width=385&amp;height=120&amp;START_MAXIMIZED=FALSE&amp;creator=factset&amp;display_string=Audit"}</definedName>
    <definedName name="_1605__FDSAUDITLINK__" hidden="1">{"fdsup://Directions/FactSet Auditing Viewer?action=AUDIT_VALUE&amp;DB=129&amp;ID1=00289620&amp;VALUEID=02101&amp;SDATE=200903&amp;PERIODTYPE=QTR_STD&amp;window=popup_no_bar&amp;width=385&amp;height=120&amp;START_MAXIMIZED=FALSE&amp;creator=factset&amp;display_string=Audit"}</definedName>
    <definedName name="_1606__FDSAUDITLINK__" hidden="1">{"fdsup://Directions/FactSet Auditing Viewer?action=AUDIT_VALUE&amp;DB=129&amp;ID1=00289620&amp;VALUEID=01001&amp;SDATE=200903&amp;PERIODTYPE=QTR_STD&amp;window=popup_no_bar&amp;width=385&amp;height=120&amp;START_MAXIMIZED=FALSE&amp;creator=factset&amp;display_string=Audit"}</definedName>
    <definedName name="_1607__FDSAUDITLINK__" hidden="1">{"fdsup://Directions/FactSet Auditing Viewer?action=AUDIT_VALUE&amp;DB=129&amp;ID1=00289620&amp;VALUEID=13040&amp;SDATE=200903&amp;PERIODTYPE=QTR_STD&amp;window=popup_no_bar&amp;width=385&amp;height=120&amp;START_MAXIMIZED=FALSE&amp;creator=factset&amp;display_string=Audit"}</definedName>
    <definedName name="_1608__FDSAUDITLINK__" hidden="1">{"fdsup://Directions/FactSet Auditing Viewer?action=AUDIT_VALUE&amp;DB=129&amp;ID1=87416110&amp;VALUEID=02101&amp;SDATE=200902&amp;PERIODTYPE=QTR_STD&amp;window=popup_no_bar&amp;width=385&amp;height=120&amp;START_MAXIMIZED=FALSE&amp;creator=factset&amp;display_string=Audit"}</definedName>
    <definedName name="_1609__FDSAUDITLINK__" hidden="1">{"fdsup://Directions/FactSet Auditing Viewer?action=AUDIT_VALUE&amp;DB=129&amp;ID1=87416110&amp;VALUEID=01001&amp;SDATE=200902&amp;PERIODTYPE=QTR_STD&amp;window=popup_no_bar&amp;width=385&amp;height=120&amp;START_MAXIMIZED=FALSE&amp;creator=factset&amp;display_string=Audit"}</definedName>
    <definedName name="_161__FDSAUDITLINK__" hidden="1">{"fdsup://Directions/FactSet Auditing Viewer?action=AUDIT_VALUE&amp;DB=129&amp;ID1=00289620&amp;VALUEID=01001&amp;SDATE=200802&amp;PERIODTYPE=QTR_STD&amp;window=popup_no_bar&amp;width=385&amp;height=120&amp;START_MAXIMIZED=FALSE&amp;creator=factset&amp;display_string=Audit"}</definedName>
    <definedName name="_1610__FDSAUDITLINK__" hidden="1">{"fdsup://Directions/FactSet Auditing Viewer?action=AUDIT_VALUE&amp;DB=129&amp;ID1=53271610&amp;VALUEID=02101&amp;SDATE=200902&amp;PERIODTYPE=QTR_STD&amp;window=popup_no_bar&amp;width=385&amp;height=120&amp;START_MAXIMIZED=FALSE&amp;creator=factset&amp;display_string=Audit"}</definedName>
    <definedName name="_1611__FDSAUDITLINK__" hidden="1">{"fdsup://Directions/FactSet Auditing Viewer?action=AUDIT_VALUE&amp;DB=129&amp;ID1=53271610&amp;VALUEID=01001&amp;SDATE=200902&amp;PERIODTYPE=QTR_STD&amp;window=popup_no_bar&amp;width=385&amp;height=120&amp;START_MAXIMIZED=FALSE&amp;creator=factset&amp;display_string=Audit"}</definedName>
    <definedName name="_1612__FDSAUDITLINK__" hidden="1">{"fdsup://Directions/FactSet Auditing Viewer?action=AUDIT_VALUE&amp;DB=129&amp;ID1=53271610&amp;VALUEID=13040&amp;SDATE=200902&amp;PERIODTYPE=QTR_STD&amp;window=popup_no_bar&amp;width=385&amp;height=120&amp;START_MAXIMIZED=FALSE&amp;creator=factset&amp;display_string=Audit"}</definedName>
    <definedName name="_1613__FDSAUDITLINK__" hidden="1">{"fdsup://Directions/FactSet Auditing Viewer?action=AUDIT_VALUE&amp;DB=129&amp;ID1=46612H40&amp;VALUEID=02101&amp;SDATE=200902&amp;PERIODTYPE=QTR_STD&amp;window=popup_no_bar&amp;width=385&amp;height=120&amp;START_MAXIMIZED=FALSE&amp;creator=factset&amp;display_string=Audit"}</definedName>
    <definedName name="_1614__FDSAUDITLINK__" hidden="1">{"fdsup://Directions/FactSet Auditing Viewer?action=AUDIT_VALUE&amp;DB=129&amp;ID1=46612H40&amp;VALUEID=01001&amp;SDATE=200902&amp;PERIODTYPE=QTR_STD&amp;window=popup_no_bar&amp;width=385&amp;height=120&amp;START_MAXIMIZED=FALSE&amp;creator=factset&amp;display_string=Audit"}</definedName>
    <definedName name="_1615__FDSAUDITLINK__" hidden="1">{"fdsup://Directions/FactSet Auditing Viewer?action=AUDIT_VALUE&amp;DB=129&amp;ID1=46612H40&amp;VALUEID=13040&amp;SDATE=200902&amp;PERIODTYPE=QTR_STD&amp;window=popup_no_bar&amp;width=385&amp;height=120&amp;START_MAXIMIZED=FALSE&amp;creator=factset&amp;display_string=Audit"}</definedName>
    <definedName name="_1616__FDSAUDITLINK__" hidden="1">{"fdsup://Directions/FactSet Auditing Viewer?action=AUDIT_VALUE&amp;DB=129&amp;ID1=36476010&amp;VALUEID=02101&amp;SDATE=200902&amp;PERIODTYPE=QTR_STD&amp;window=popup_no_bar&amp;width=385&amp;height=120&amp;START_MAXIMIZED=FALSE&amp;creator=factset&amp;display_string=Audit"}</definedName>
    <definedName name="_1617__FDSAUDITLINK__" hidden="1">{"fdsup://Directions/FactSet Auditing Viewer?action=AUDIT_VALUE&amp;DB=129&amp;ID1=36476010&amp;VALUEID=01001&amp;SDATE=200902&amp;PERIODTYPE=QTR_STD&amp;window=popup_no_bar&amp;width=385&amp;height=120&amp;START_MAXIMIZED=FALSE&amp;creator=factset&amp;display_string=Audit"}</definedName>
    <definedName name="_1618__FDSAUDITLINK__" hidden="1">{"fdsup://Directions/FactSet Auditing Viewer?action=AUDIT_VALUE&amp;DB=129&amp;ID1=36476010&amp;VALUEID=13040&amp;SDATE=200902&amp;PERIODTYPE=QTR_STD&amp;window=popup_no_bar&amp;width=385&amp;height=120&amp;START_MAXIMIZED=FALSE&amp;creator=factset&amp;display_string=Audit"}</definedName>
    <definedName name="_1619__FDSAUDITLINK__" hidden="1">{"fdsup://Directions/FactSet Auditing Viewer?action=AUDIT_VALUE&amp;DB=129&amp;ID1=03611510&amp;VALUEID=02101&amp;SDATE=200902&amp;PERIODTYPE=QTR_STD&amp;window=popup_no_bar&amp;width=385&amp;height=120&amp;START_MAXIMIZED=FALSE&amp;creator=factset&amp;display_string=Audit"}</definedName>
    <definedName name="_162__FDSAUDITLINK__" hidden="1">{"fdsup://Directions/FactSet Auditing Viewer?action=AUDIT_VALUE&amp;DB=129&amp;ID1=00289620&amp;VALUEID=13040&amp;SDATE=200802&amp;PERIODTYPE=QTR_STD&amp;window=popup_no_bar&amp;width=385&amp;height=120&amp;START_MAXIMIZED=FALSE&amp;creator=factset&amp;display_string=Audit"}</definedName>
    <definedName name="_1620__FDSAUDITLINK__" hidden="1">{"fdsup://Directions/FactSet Auditing Viewer?action=AUDIT_VALUE&amp;DB=129&amp;ID1=03611510&amp;VALUEID=01001&amp;SDATE=200902&amp;PERIODTYPE=QTR_STD&amp;window=popup_no_bar&amp;width=385&amp;height=120&amp;START_MAXIMIZED=FALSE&amp;creator=factset&amp;display_string=Audit"}</definedName>
    <definedName name="_1621__FDSAUDITLINK__" hidden="1">{"fdsup://Directions/FactSet Auditing Viewer?action=AUDIT_VALUE&amp;DB=129&amp;ID1=03611510&amp;VALUEID=13040&amp;SDATE=200902&amp;PERIODTYPE=QTR_STD&amp;window=popup_no_bar&amp;width=385&amp;height=120&amp;START_MAXIMIZED=FALSE&amp;creator=factset&amp;display_string=Audit"}</definedName>
    <definedName name="_1622__FDSAUDITLINK__" hidden="1">{"fdsup://Directions/FactSet Auditing Viewer?action=AUDIT_VALUE&amp;DB=129&amp;ID1=16890510&amp;VALUEID=02101&amp;SDATE=200902&amp;PERIODTYPE=QTR_STD&amp;window=popup_no_bar&amp;width=385&amp;height=120&amp;START_MAXIMIZED=FALSE&amp;creator=factset&amp;display_string=Audit"}</definedName>
    <definedName name="_1623__FDSAUDITLINK__" hidden="1">{"fdsup://Directions/FactSet Auditing Viewer?action=AUDIT_VALUE&amp;DB=129&amp;ID1=16890510&amp;VALUEID=01001&amp;SDATE=200902&amp;PERIODTYPE=QTR_STD&amp;window=popup_no_bar&amp;width=385&amp;height=120&amp;START_MAXIMIZED=FALSE&amp;creator=factset&amp;display_string=Audit"}</definedName>
    <definedName name="_1624__FDSAUDITLINK__" hidden="1">{"fdsup://Directions/FactSet Auditing Viewer?action=AUDIT_VALUE&amp;DB=129&amp;ID1=91704710&amp;VALUEID=02101&amp;SDATE=200902&amp;PERIODTYPE=QTR_STD&amp;window=popup_no_bar&amp;width=385&amp;height=120&amp;START_MAXIMIZED=FALSE&amp;creator=factset&amp;display_string=Audit"}</definedName>
    <definedName name="_1625__FDSAUDITLINK__" hidden="1">{"fdsup://Directions/FactSet Auditing Viewer?action=AUDIT_VALUE&amp;DB=129&amp;ID1=91704710&amp;VALUEID=01001&amp;SDATE=200902&amp;PERIODTYPE=QTR_STD&amp;window=popup_no_bar&amp;width=385&amp;height=120&amp;START_MAXIMIZED=FALSE&amp;creator=factset&amp;display_string=Audit"}</definedName>
    <definedName name="_1626__FDSAUDITLINK__" hidden="1">{"fdsup://Directions/FactSet Auditing Viewer?action=AUDIT_VALUE&amp;DB=129&amp;ID1=02553E10&amp;VALUEID=02101&amp;SDATE=200902&amp;PERIODTYPE=QTR_STD&amp;window=popup_no_bar&amp;width=385&amp;height=120&amp;START_MAXIMIZED=FALSE&amp;creator=factset&amp;display_string=Audit"}</definedName>
    <definedName name="_1627__FDSAUDITLINK__" hidden="1">{"fdsup://Directions/FactSet Auditing Viewer?action=AUDIT_VALUE&amp;DB=129&amp;ID1=02553E10&amp;VALUEID=01001&amp;SDATE=200902&amp;PERIODTYPE=QTR_STD&amp;window=popup_no_bar&amp;width=385&amp;height=120&amp;START_MAXIMIZED=FALSE&amp;creator=factset&amp;display_string=Audit"}</definedName>
    <definedName name="_1628__FDSAUDITLINK__" hidden="1">{"fdsup://Directions/FactSet Auditing Viewer?action=AUDIT_VALUE&amp;DB=129&amp;ID1=02553E10&amp;VALUEID=13040&amp;SDATE=200902&amp;PERIODTYPE=QTR_STD&amp;window=popup_no_bar&amp;width=385&amp;height=120&amp;START_MAXIMIZED=FALSE&amp;creator=factset&amp;display_string=Audit"}</definedName>
    <definedName name="_1629__FDSAUDITLINK__" hidden="1">{"fdsup://Directions/FactSet Auditing Viewer?action=AUDIT_VALUE&amp;DB=129&amp;ID1=00786510&amp;VALUEID=02101&amp;SDATE=200902&amp;PERIODTYPE=QTR_STD&amp;window=popup_no_bar&amp;width=385&amp;height=120&amp;START_MAXIMIZED=FALSE&amp;creator=factset&amp;display_string=Audit"}</definedName>
    <definedName name="_163__FDSAUDITLINK__" hidden="1">{"fdsup://Directions/FactSet Auditing Viewer?action=AUDIT_VALUE&amp;DB=129&amp;ID1=87416110&amp;VALUEID=02101&amp;SDATE=200801&amp;PERIODTYPE=QTR_STD&amp;window=popup_no_bar&amp;width=385&amp;height=120&amp;START_MAXIMIZED=FALSE&amp;creator=factset&amp;display_string=Audit"}</definedName>
    <definedName name="_1630__FDSAUDITLINK__" hidden="1">{"fdsup://Directions/FactSet Auditing Viewer?action=AUDIT_VALUE&amp;DB=129&amp;ID1=00786510&amp;VALUEID=01001&amp;SDATE=200902&amp;PERIODTYPE=QTR_STD&amp;window=popup_no_bar&amp;width=385&amp;height=120&amp;START_MAXIMIZED=FALSE&amp;creator=factset&amp;display_string=Audit"}</definedName>
    <definedName name="_1631__FDSAUDITLINK__" hidden="1">{"fdsup://Directions/FactSet Auditing Viewer?action=AUDIT_VALUE&amp;DB=129&amp;ID1=00786510&amp;VALUEID=13040&amp;SDATE=200902&amp;PERIODTYPE=QTR_STD&amp;window=popup_no_bar&amp;width=385&amp;height=120&amp;START_MAXIMIZED=FALSE&amp;creator=factset&amp;display_string=Audit"}</definedName>
    <definedName name="_1632__FDSAUDITLINK__" hidden="1">{"fdsup://Directions/FactSet Auditing Viewer?action=AUDIT_VALUE&amp;DB=129&amp;ID1=00289620&amp;VALUEID=02101&amp;SDATE=200902&amp;PERIODTYPE=QTR_STD&amp;window=popup_no_bar&amp;width=385&amp;height=120&amp;START_MAXIMIZED=FALSE&amp;creator=factset&amp;display_string=Audit"}</definedName>
    <definedName name="_1633__FDSAUDITLINK__" hidden="1">{"fdsup://Directions/FactSet Auditing Viewer?action=AUDIT_VALUE&amp;DB=129&amp;ID1=00289620&amp;VALUEID=01001&amp;SDATE=200902&amp;PERIODTYPE=QTR_STD&amp;window=popup_no_bar&amp;width=385&amp;height=120&amp;START_MAXIMIZED=FALSE&amp;creator=factset&amp;display_string=Audit"}</definedName>
    <definedName name="_1634__FDSAUDITLINK__" hidden="1">{"fdsup://Directions/FactSet Auditing Viewer?action=AUDIT_VALUE&amp;DB=129&amp;ID1=00289620&amp;VALUEID=13040&amp;SDATE=200902&amp;PERIODTYPE=QTR_STD&amp;window=popup_no_bar&amp;width=385&amp;height=120&amp;START_MAXIMIZED=FALSE&amp;creator=factset&amp;display_string=Audit"}</definedName>
    <definedName name="_1635__FDSAUDITLINK__" hidden="1">{"fdsup://Directions/FactSet Auditing Viewer?action=AUDIT_VALUE&amp;DB=129&amp;ID1=87416110&amp;VALUEID=02101&amp;SDATE=200901&amp;PERIODTYPE=QTR_STD&amp;window=popup_no_bar&amp;width=385&amp;height=120&amp;START_MAXIMIZED=FALSE&amp;creator=factset&amp;display_string=Audit"}</definedName>
    <definedName name="_1636__FDSAUDITLINK__" hidden="1">{"fdsup://Directions/FactSet Auditing Viewer?action=AUDIT_VALUE&amp;DB=129&amp;ID1=87416110&amp;VALUEID=01001&amp;SDATE=200901&amp;PERIODTYPE=QTR_STD&amp;window=popup_no_bar&amp;width=385&amp;height=120&amp;START_MAXIMIZED=FALSE&amp;creator=factset&amp;display_string=Audit"}</definedName>
    <definedName name="_1637__FDSAUDITLINK__" hidden="1">{"fdsup://Directions/FactSet Auditing Viewer?action=AUDIT_VALUE&amp;DB=129&amp;ID1=87416110&amp;VALUEID=13040&amp;SDATE=200901&amp;PERIODTYPE=QTR_STD&amp;window=popup_no_bar&amp;width=385&amp;height=120&amp;START_MAXIMIZED=FALSE&amp;creator=factset&amp;display_string=Audit"}</definedName>
    <definedName name="_1638__FDSAUDITLINK__" hidden="1">{"fdsup://directions/FAT Viewer?action=UPDATE&amp;creator=factset&amp;DYN_ARGS=TRUE&amp;DOC_NAME=FAT:FQL_AUDITING_CLIENT_TEMPLATE.FAT&amp;display_string=Audit&amp;VAR:KEY=RSZCXYZEJW&amp;VAR:QUERY=RkZfUlRfU0ZfVE9UX0dST1NTKFFUUiwtNCk=&amp;WINDOW=FIRST_POPUP&amp;HEIGHT=450&amp;WIDTH=450&amp;START_MA","XIMIZED=FALSE&amp;VAR:CALENDAR=US&amp;VAR:SYMBOL=TLB&amp;VAR:INDEX=0"}</definedName>
    <definedName name="_1639__FDSAUDITLINK__" hidden="1">{"fdsup://Directions/FactSet Auditing Viewer?action=AUDIT_VALUE&amp;DB=129&amp;ID1=53271610&amp;VALUEID=13040&amp;SDATE=200901&amp;PERIODTYPE=QTR_STD&amp;window=popup_no_bar&amp;width=385&amp;height=120&amp;START_MAXIMIZED=FALSE&amp;creator=factset&amp;display_string=Audit"}</definedName>
    <definedName name="_164__FDSAUDITLINK__" hidden="1">{"fdsup://Directions/FactSet Auditing Viewer?action=AUDIT_VALUE&amp;DB=129&amp;ID1=87416110&amp;VALUEID=01001&amp;SDATE=200801&amp;PERIODTYPE=QTR_STD&amp;window=popup_no_bar&amp;width=385&amp;height=120&amp;START_MAXIMIZED=FALSE&amp;creator=factset&amp;display_string=Audit"}</definedName>
    <definedName name="_1640__FDSAUDITLINK__" hidden="1">{"fdsup://Directions/FactSet Auditing Viewer?action=AUDIT_VALUE&amp;DB=129&amp;ID1=46612H40&amp;VALUEID=02101&amp;SDATE=200901&amp;PERIODTYPE=QTR_STD&amp;window=popup_no_bar&amp;width=385&amp;height=120&amp;START_MAXIMIZED=FALSE&amp;creator=factset&amp;display_string=Audit"}</definedName>
    <definedName name="_1641__FDSAUDITLINK__" hidden="1">{"fdsup://Directions/FactSet Auditing Viewer?action=AUDIT_VALUE&amp;DB=129&amp;ID1=46612H40&amp;VALUEID=01001&amp;SDATE=200901&amp;PERIODTYPE=QTR_STD&amp;window=popup_no_bar&amp;width=385&amp;height=120&amp;START_MAXIMIZED=FALSE&amp;creator=factset&amp;display_string=Audit"}</definedName>
    <definedName name="_1642__FDSAUDITLINK__" hidden="1">{"fdsup://Directions/FactSet Auditing Viewer?action=AUDIT_VALUE&amp;DB=129&amp;ID1=46612H40&amp;VALUEID=13040&amp;SDATE=200901&amp;PERIODTYPE=QTR_STD&amp;window=popup_no_bar&amp;width=385&amp;height=120&amp;START_MAXIMIZED=FALSE&amp;creator=factset&amp;display_string=Audit"}</definedName>
    <definedName name="_1643__FDSAUDITLINK__" hidden="1">{"fdsup://Directions/FactSet Auditing Viewer?action=AUDIT_VALUE&amp;DB=129&amp;ID1=03611510&amp;VALUEID=02101&amp;SDATE=200901&amp;PERIODTYPE=QTR_STD&amp;window=popup_no_bar&amp;width=385&amp;height=120&amp;START_MAXIMIZED=FALSE&amp;creator=factset&amp;display_string=Audit"}</definedName>
    <definedName name="_1644__FDSAUDITLINK__" hidden="1">{"fdsup://Directions/FactSet Auditing Viewer?action=AUDIT_VALUE&amp;DB=129&amp;ID1=03611510&amp;VALUEID=01001&amp;SDATE=200901&amp;PERIODTYPE=QTR_STD&amp;window=popup_no_bar&amp;width=385&amp;height=120&amp;START_MAXIMIZED=FALSE&amp;creator=factset&amp;display_string=Audit"}</definedName>
    <definedName name="_1645__FDSAUDITLINK__" hidden="1">{"fdsup://Directions/FactSet Auditing Viewer?action=AUDIT_VALUE&amp;DB=129&amp;ID1=16890510&amp;VALUEID=02101&amp;SDATE=200901&amp;PERIODTYPE=QTR_STD&amp;window=popup_no_bar&amp;width=385&amp;height=120&amp;START_MAXIMIZED=FALSE&amp;creator=factset&amp;display_string=Audit"}</definedName>
    <definedName name="_1646__FDSAUDITLINK__" hidden="1">{"fdsup://Directions/FactSet Auditing Viewer?action=AUDIT_VALUE&amp;DB=129&amp;ID1=16890510&amp;VALUEID=01001&amp;SDATE=200901&amp;PERIODTYPE=QTR_STD&amp;window=popup_no_bar&amp;width=385&amp;height=120&amp;START_MAXIMIZED=FALSE&amp;creator=factset&amp;display_string=Audit"}</definedName>
    <definedName name="_1647__FDSAUDITLINK__" hidden="1">{"fdsup://Directions/FactSet Auditing Viewer?action=AUDIT_VALUE&amp;DB=129&amp;ID1=00786510&amp;VALUEID=02101&amp;SDATE=200901&amp;PERIODTYPE=QTR_STD&amp;window=popup_no_bar&amp;width=385&amp;height=120&amp;START_MAXIMIZED=FALSE&amp;creator=factset&amp;display_string=Audit"}</definedName>
    <definedName name="_1648__FDSAUDITLINK__" hidden="1">{"fdsup://Directions/FactSet Auditing Viewer?action=AUDIT_VALUE&amp;DB=129&amp;ID1=00786510&amp;VALUEID=01001&amp;SDATE=200901&amp;PERIODTYPE=QTR_STD&amp;window=popup_no_bar&amp;width=385&amp;height=120&amp;START_MAXIMIZED=FALSE&amp;creator=factset&amp;display_string=Audit"}</definedName>
    <definedName name="_1649__FDSAUDITLINK__" hidden="1">{"fdsup://Directions/FactSet Auditing Viewer?action=AUDIT_VALUE&amp;DB=129&amp;ID1=00786510&amp;VALUEID=13040&amp;SDATE=200901&amp;PERIODTYPE=QTR_STD&amp;window=popup_no_bar&amp;width=385&amp;height=120&amp;START_MAXIMIZED=FALSE&amp;creator=factset&amp;display_string=Audit"}</definedName>
    <definedName name="_165__FDSAUDITLINK__" hidden="1">{"fdsup://Directions/FactSet Auditing Viewer?action=AUDIT_VALUE&amp;DB=129&amp;ID1=53271610&amp;VALUEID=02101&amp;SDATE=200801&amp;PERIODTYPE=QTR_STD&amp;window=popup_no_bar&amp;width=385&amp;height=120&amp;START_MAXIMIZED=FALSE&amp;creator=factset&amp;display_string=Audit"}</definedName>
    <definedName name="_1650__FDSAUDITLINK__" hidden="1">{"fdsup://Directions/FactSet Auditing Viewer?action=AUDIT_VALUE&amp;DB=129&amp;ID1=00289620&amp;VALUEID=13040&amp;SDATE=200901&amp;PERIODTYPE=QTR_STD&amp;window=popup_no_bar&amp;width=385&amp;height=120&amp;START_MAXIMIZED=FALSE&amp;creator=factset&amp;display_string=Audit"}</definedName>
    <definedName name="_1651__FDSAUDITLINK__" hidden="1">{"fdsup://Directions/FactSet Auditing Viewer?action=AUDIT_VALUE&amp;DB=129&amp;ID1=87416110&amp;VALUEID=01001&amp;SDATE=200804&amp;PERIODTYPE=QTR_STD&amp;window=popup_no_bar&amp;width=385&amp;height=120&amp;START_MAXIMIZED=FALSE&amp;creator=factset&amp;display_string=Audit"}</definedName>
    <definedName name="_1652__FDSAUDITLINK__" hidden="1">{"fdsup://directions/FAT Viewer?action=UPDATE&amp;creator=factset&amp;DYN_ARGS=TRUE&amp;DOC_NAME=FAT:FQL_AUDITING_CLIENT_TEMPLATE.FAT&amp;display_string=Audit&amp;VAR:KEY=BSXQNALGBC&amp;VAR:QUERY=RkZfUlRfU0ZfVE9UX0dST1NTKFFUUiwtNSk=&amp;WINDOW=FIRST_POPUP&amp;HEIGHT=450&amp;WIDTH=450&amp;START_MA","XIMIZED=FALSE&amp;VAR:CALENDAR=US&amp;VAR:SYMBOL=TLB&amp;VAR:INDEX=0"}</definedName>
    <definedName name="_1653__FDSAUDITLINK__" hidden="1">{"fdsup://Directions/FactSet Auditing Viewer?action=AUDIT_VALUE&amp;DB=129&amp;ID1=46612H40&amp;VALUEID=01001&amp;SDATE=200804&amp;PERIODTYPE=QTR_STD&amp;window=popup_no_bar&amp;width=385&amp;height=120&amp;START_MAXIMIZED=FALSE&amp;creator=factset&amp;display_string=Audit"}</definedName>
    <definedName name="_1654__FDSAUDITLINK__" hidden="1">{"fdsup://Directions/FactSet Auditing Viewer?action=AUDIT_VALUE&amp;DB=129&amp;ID1=46612H40&amp;VALUEID=13040&amp;SDATE=200804&amp;PERIODTYPE=QTR_STD&amp;window=popup_no_bar&amp;width=385&amp;height=120&amp;START_MAXIMIZED=FALSE&amp;creator=factset&amp;display_string=Audit"}</definedName>
    <definedName name="_1655__FDSAUDITLINK__" hidden="1">{"fdsup://Directions/FactSet Auditing Viewer?action=AUDIT_VALUE&amp;DB=129&amp;ID1=36476010&amp;VALUEID=01001&amp;SDATE=200804&amp;PERIODTYPE=QTR_STD&amp;window=popup_no_bar&amp;width=385&amp;height=120&amp;START_MAXIMIZED=FALSE&amp;creator=factset&amp;display_string=Audit"}</definedName>
    <definedName name="_1656__FDSAUDITLINK__" hidden="1">{"fdsup://Directions/FactSet Auditing Viewer?action=AUDIT_VALUE&amp;DB=129&amp;ID1=03611510&amp;VALUEID=01001&amp;SDATE=200804&amp;PERIODTYPE=QTR_STD&amp;window=popup_no_bar&amp;width=385&amp;height=120&amp;START_MAXIMIZED=FALSE&amp;creator=factset&amp;display_string=Audit"}</definedName>
    <definedName name="_1657__FDSAUDITLINK__" hidden="1">{"fdsup://Directions/FactSet Auditing Viewer?action=AUDIT_VALUE&amp;DB=129&amp;ID1=16890510&amp;VALUEID=01001&amp;SDATE=200804&amp;PERIODTYPE=QTR_STD&amp;window=popup_no_bar&amp;width=385&amp;height=120&amp;START_MAXIMIZED=FALSE&amp;creator=factset&amp;display_string=Audit"}</definedName>
    <definedName name="_1658__FDSAUDITLINK__" hidden="1">{"fdsup://Directions/FactSet Auditing Viewer?action=AUDIT_VALUE&amp;DB=129&amp;ID1=00786510&amp;VALUEID=01001&amp;SDATE=200804&amp;PERIODTYPE=QTR_STD&amp;window=popup_no_bar&amp;width=385&amp;height=120&amp;START_MAXIMIZED=FALSE&amp;creator=factset&amp;display_string=Audit"}</definedName>
    <definedName name="_1659__FDSAUDITLINK__" hidden="1">{"fdsup://Directions/FactSet Auditing Viewer?action=AUDIT_VALUE&amp;DB=129&amp;ID1=87416110&amp;VALUEID=02101&amp;SDATE=200803&amp;PERIODTYPE=QTR_STD&amp;window=popup_no_bar&amp;width=385&amp;height=120&amp;START_MAXIMIZED=FALSE&amp;creator=factset&amp;display_string=Audit"}</definedName>
    <definedName name="_166__FDSAUDITLINK__" hidden="1">{"fdsup://Directions/FactSet Auditing Viewer?action=AUDIT_VALUE&amp;DB=129&amp;ID1=53271610&amp;VALUEID=01001&amp;SDATE=200801&amp;PERIODTYPE=QTR_STD&amp;window=popup_no_bar&amp;width=385&amp;height=120&amp;START_MAXIMIZED=FALSE&amp;creator=factset&amp;display_string=Audit"}</definedName>
    <definedName name="_1660__FDSAUDITLINK__" hidden="1">{"fdsup://Directions/FactSet Auditing Viewer?action=AUDIT_VALUE&amp;DB=129&amp;ID1=87416110&amp;VALUEID=01001&amp;SDATE=200803&amp;PERIODTYPE=QTR_STD&amp;window=popup_no_bar&amp;width=385&amp;height=120&amp;START_MAXIMIZED=FALSE&amp;creator=factset&amp;display_string=Audit"}</definedName>
    <definedName name="_1661__FDSAUDITLINK__" hidden="1">{"fdsup://Directions/FactSet Auditing Viewer?action=AUDIT_VALUE&amp;DB=129&amp;ID1=87416110&amp;VALUEID=13040&amp;SDATE=200803&amp;PERIODTYPE=QTR_STD&amp;window=popup_no_bar&amp;width=385&amp;height=120&amp;START_MAXIMIZED=FALSE&amp;creator=factset&amp;display_string=Audit"}</definedName>
    <definedName name="_1662__FDSAUDITLINK__" hidden="1">{"fdsup://directions/FAT Viewer?action=UPDATE&amp;creator=factset&amp;DYN_ARGS=TRUE&amp;DOC_NAME=FAT:FQL_AUDITING_CLIENT_TEMPLATE.FAT&amp;display_string=Audit&amp;VAR:KEY=VAFWFCDYFC&amp;VAR:QUERY=RkZfUlRfU0ZfVE9UX0dST1NTKFFUUiwtNik=&amp;WINDOW=FIRST_POPUP&amp;HEIGHT=450&amp;WIDTH=450&amp;START_MA","XIMIZED=FALSE&amp;VAR:CALENDAR=US&amp;VAR:SYMBOL=TLB&amp;VAR:INDEX=0"}</definedName>
    <definedName name="_1663__FDSAUDITLINK__" hidden="1">{"fdsup://Directions/FactSet Auditing Viewer?action=AUDIT_VALUE&amp;DB=129&amp;ID1=46612H40&amp;VALUEID=02101&amp;SDATE=200803&amp;PERIODTYPE=QTR_STD&amp;window=popup_no_bar&amp;width=385&amp;height=120&amp;START_MAXIMIZED=FALSE&amp;creator=factset&amp;display_string=Audit"}</definedName>
    <definedName name="_1664__FDSAUDITLINK__" hidden="1">{"fdsup://Directions/FactSet Auditing Viewer?action=AUDIT_VALUE&amp;DB=129&amp;ID1=46612H40&amp;VALUEID=01001&amp;SDATE=200803&amp;PERIODTYPE=QTR_STD&amp;window=popup_no_bar&amp;width=385&amp;height=120&amp;START_MAXIMIZED=FALSE&amp;creator=factset&amp;display_string=Audit"}</definedName>
    <definedName name="_1665__FDSAUDITLINK__" hidden="1">{"fdsup://Directions/FactSet Auditing Viewer?action=AUDIT_VALUE&amp;DB=129&amp;ID1=46612H40&amp;VALUEID=13040&amp;SDATE=200803&amp;PERIODTYPE=QTR_STD&amp;window=popup_no_bar&amp;width=385&amp;height=120&amp;START_MAXIMIZED=FALSE&amp;creator=factset&amp;display_string=Audit"}</definedName>
    <definedName name="_1666__FDSAUDITLINK__" hidden="1">{"fdsup://Directions/FactSet Auditing Viewer?action=AUDIT_VALUE&amp;DB=129&amp;ID1=36476010&amp;VALUEID=02101&amp;SDATE=200803&amp;PERIODTYPE=QTR_STD&amp;window=popup_no_bar&amp;width=385&amp;height=120&amp;START_MAXIMIZED=FALSE&amp;creator=factset&amp;display_string=Audit"}</definedName>
    <definedName name="_1667__FDSAUDITLINK__" hidden="1">{"fdsup://Directions/FactSet Auditing Viewer?action=AUDIT_VALUE&amp;DB=129&amp;ID1=36476010&amp;VALUEID=01001&amp;SDATE=200803&amp;PERIODTYPE=QTR_STD&amp;window=popup_no_bar&amp;width=385&amp;height=120&amp;START_MAXIMIZED=FALSE&amp;creator=factset&amp;display_string=Audit"}</definedName>
    <definedName name="_1668__FDSAUDITLINK__" hidden="1">{"fdsup://Directions/FactSet Auditing Viewer?action=AUDIT_VALUE&amp;DB=129&amp;ID1=36476010&amp;VALUEID=13040&amp;SDATE=200803&amp;PERIODTYPE=QTR_STD&amp;window=popup_no_bar&amp;width=385&amp;height=120&amp;START_MAXIMIZED=FALSE&amp;creator=factset&amp;display_string=Audit"}</definedName>
    <definedName name="_1669__FDSAUDITLINK__" hidden="1">{"fdsup://Directions/FactSet Auditing Viewer?action=AUDIT_VALUE&amp;DB=129&amp;ID1=03611510&amp;VALUEID=02101&amp;SDATE=200803&amp;PERIODTYPE=QTR_STD&amp;window=popup_no_bar&amp;width=385&amp;height=120&amp;START_MAXIMIZED=FALSE&amp;creator=factset&amp;display_string=Audit"}</definedName>
    <definedName name="_167__FDSAUDITLINK__" hidden="1">{"fdsup://Directions/FactSet Auditing Viewer?action=AUDIT_VALUE&amp;DB=129&amp;ID1=53271610&amp;VALUEID=13040&amp;SDATE=200801&amp;PERIODTYPE=QTR_STD&amp;window=popup_no_bar&amp;width=385&amp;height=120&amp;START_MAXIMIZED=FALSE&amp;creator=factset&amp;display_string=Audit"}</definedName>
    <definedName name="_1670__FDSAUDITLINK__" hidden="1">{"fdsup://Directions/FactSet Auditing Viewer?action=AUDIT_VALUE&amp;DB=129&amp;ID1=03611510&amp;VALUEID=01001&amp;SDATE=200803&amp;PERIODTYPE=QTR_STD&amp;window=popup_no_bar&amp;width=385&amp;height=120&amp;START_MAXIMIZED=FALSE&amp;creator=factset&amp;display_string=Audit"}</definedName>
    <definedName name="_1671__FDSAUDITLINK__" hidden="1">{"fdsup://Directions/FactSet Auditing Viewer?action=AUDIT_VALUE&amp;DB=129&amp;ID1=16890510&amp;VALUEID=02101&amp;SDATE=200803&amp;PERIODTYPE=QTR_STD&amp;window=popup_no_bar&amp;width=385&amp;height=120&amp;START_MAXIMIZED=FALSE&amp;creator=factset&amp;display_string=Audit"}</definedName>
    <definedName name="_1672__FDSAUDITLINK__" hidden="1">{"fdsup://Directions/FactSet Auditing Viewer?action=AUDIT_VALUE&amp;DB=129&amp;ID1=16890510&amp;VALUEID=01001&amp;SDATE=200803&amp;PERIODTYPE=QTR_STD&amp;window=popup_no_bar&amp;width=385&amp;height=120&amp;START_MAXIMIZED=FALSE&amp;creator=factset&amp;display_string=Audit"}</definedName>
    <definedName name="_1673__FDSAUDITLINK__" hidden="1">{"fdsup://Directions/FactSet Auditing Viewer?action=AUDIT_VALUE&amp;DB=129&amp;ID1=91704710&amp;VALUEID=02101&amp;SDATE=200803&amp;PERIODTYPE=QTR_STD&amp;window=popup_no_bar&amp;width=385&amp;height=120&amp;START_MAXIMIZED=FALSE&amp;creator=factset&amp;display_string=Audit"}</definedName>
    <definedName name="_1674__FDSAUDITLINK__" hidden="1">{"fdsup://Directions/FactSet Auditing Viewer?action=AUDIT_VALUE&amp;DB=129&amp;ID1=91704710&amp;VALUEID=01001&amp;SDATE=200803&amp;PERIODTYPE=QTR_STD&amp;window=popup_no_bar&amp;width=385&amp;height=120&amp;START_MAXIMIZED=FALSE&amp;creator=factset&amp;display_string=Audit"}</definedName>
    <definedName name="_1675__FDSAUDITLINK__" hidden="1">{"fdsup://Directions/FactSet Auditing Viewer?action=AUDIT_VALUE&amp;DB=129&amp;ID1=91704710&amp;VALUEID=13040&amp;SDATE=200803&amp;PERIODTYPE=QTR_STD&amp;window=popup_no_bar&amp;width=385&amp;height=120&amp;START_MAXIMIZED=FALSE&amp;creator=factset&amp;display_string=Audit"}</definedName>
    <definedName name="_1676__FDSAUDITLINK__" hidden="1">{"fdsup://Directions/FactSet Auditing Viewer?action=AUDIT_VALUE&amp;DB=129&amp;ID1=02553E10&amp;VALUEID=02101&amp;SDATE=200803&amp;PERIODTYPE=QTR_STD&amp;window=popup_no_bar&amp;width=385&amp;height=120&amp;START_MAXIMIZED=FALSE&amp;creator=factset&amp;display_string=Audit"}</definedName>
    <definedName name="_1677__FDSAUDITLINK__" hidden="1">{"fdsup://Directions/FactSet Auditing Viewer?action=AUDIT_VALUE&amp;DB=129&amp;ID1=02553E10&amp;VALUEID=01001&amp;SDATE=200803&amp;PERIODTYPE=QTR_STD&amp;window=popup_no_bar&amp;width=385&amp;height=120&amp;START_MAXIMIZED=FALSE&amp;creator=factset&amp;display_string=Audit"}</definedName>
    <definedName name="_1678__FDSAUDITLINK__" hidden="1">{"fdsup://Directions/FactSet Auditing Viewer?action=AUDIT_VALUE&amp;DB=129&amp;ID1=02553E10&amp;VALUEID=13040&amp;SDATE=200803&amp;PERIODTYPE=QTR_STD&amp;window=popup_no_bar&amp;width=385&amp;height=120&amp;START_MAXIMIZED=FALSE&amp;creator=factset&amp;display_string=Audit"}</definedName>
    <definedName name="_1679__FDSAUDITLINK__" hidden="1">{"fdsup://Directions/FactSet Auditing Viewer?action=AUDIT_VALUE&amp;DB=129&amp;ID1=00786510&amp;VALUEID=02101&amp;SDATE=200803&amp;PERIODTYPE=QTR_STD&amp;window=popup_no_bar&amp;width=385&amp;height=120&amp;START_MAXIMIZED=FALSE&amp;creator=factset&amp;display_string=Audit"}</definedName>
    <definedName name="_168__FDSAUDITLINK__" hidden="1">{"fdsup://Directions/FactSet Auditing Viewer?action=AUDIT_VALUE&amp;DB=129&amp;ID1=46612H40&amp;VALUEID=02101&amp;SDATE=200801&amp;PERIODTYPE=QTR_STD&amp;window=popup_no_bar&amp;width=385&amp;height=120&amp;START_MAXIMIZED=FALSE&amp;creator=factset&amp;display_string=Audit"}</definedName>
    <definedName name="_1680__FDSAUDITLINK__" hidden="1">{"fdsup://Directions/FactSet Auditing Viewer?action=AUDIT_VALUE&amp;DB=129&amp;ID1=00786510&amp;VALUEID=01001&amp;SDATE=200803&amp;PERIODTYPE=QTR_STD&amp;window=popup_no_bar&amp;width=385&amp;height=120&amp;START_MAXIMIZED=FALSE&amp;creator=factset&amp;display_string=Audit"}</definedName>
    <definedName name="_1681__FDSAUDITLINK__" hidden="1">{"fdsup://Directions/FactSet Auditing Viewer?action=AUDIT_VALUE&amp;DB=129&amp;ID1=00786510&amp;VALUEID=13040&amp;SDATE=200803&amp;PERIODTYPE=QTR_STD&amp;window=popup_no_bar&amp;width=385&amp;height=120&amp;START_MAXIMIZED=FALSE&amp;creator=factset&amp;display_string=Audit"}</definedName>
    <definedName name="_1682__FDSAUDITLINK__" hidden="1">{"fdsup://Directions/FactSet Auditing Viewer?action=AUDIT_VALUE&amp;DB=129&amp;ID1=00289620&amp;VALUEID=02101&amp;SDATE=200803&amp;PERIODTYPE=QTR_STD&amp;window=popup_no_bar&amp;width=385&amp;height=120&amp;START_MAXIMIZED=FALSE&amp;creator=factset&amp;display_string=Audit"}</definedName>
    <definedName name="_1683__FDSAUDITLINK__" hidden="1">{"fdsup://Directions/FactSet Auditing Viewer?action=AUDIT_VALUE&amp;DB=129&amp;ID1=00289620&amp;VALUEID=01001&amp;SDATE=200803&amp;PERIODTYPE=QTR_STD&amp;window=popup_no_bar&amp;width=385&amp;height=120&amp;START_MAXIMIZED=FALSE&amp;creator=factset&amp;display_string=Audit"}</definedName>
    <definedName name="_1684__FDSAUDITLINK__" hidden="1">{"fdsup://Directions/FactSet Auditing Viewer?action=AUDIT_VALUE&amp;DB=129&amp;ID1=00289620&amp;VALUEID=13040&amp;SDATE=200803&amp;PERIODTYPE=QTR_STD&amp;window=popup_no_bar&amp;width=385&amp;height=120&amp;START_MAXIMIZED=FALSE&amp;creator=factset&amp;display_string=Audit"}</definedName>
    <definedName name="_1685__FDSAUDITLINK__" hidden="1">{"fdsup://Directions/FactSet Auditing Viewer?action=AUDIT_VALUE&amp;DB=129&amp;ID1=87416110&amp;VALUEID=02101&amp;SDATE=200802&amp;PERIODTYPE=QTR_STD&amp;window=popup_no_bar&amp;width=385&amp;height=120&amp;START_MAXIMIZED=FALSE&amp;creator=factset&amp;display_string=Audit"}</definedName>
    <definedName name="_1686__FDSAUDITLINK__" hidden="1">{"fdsup://Directions/FactSet Auditing Viewer?action=AUDIT_VALUE&amp;DB=129&amp;ID1=87416110&amp;VALUEID=01001&amp;SDATE=200802&amp;PERIODTYPE=QTR_STD&amp;window=popup_no_bar&amp;width=385&amp;height=120&amp;START_MAXIMIZED=FALSE&amp;creator=factset&amp;display_string=Audit"}</definedName>
    <definedName name="_1687__FDSAUDITLINK__" hidden="1">{"fdsup://Directions/FactSet Auditing Viewer?action=AUDIT_VALUE&amp;DB=129&amp;ID1=53271610&amp;VALUEID=02101&amp;SDATE=200802&amp;PERIODTYPE=QTR_STD&amp;window=popup_no_bar&amp;width=385&amp;height=120&amp;START_MAXIMIZED=FALSE&amp;creator=factset&amp;display_string=Audit"}</definedName>
    <definedName name="_1688__FDSAUDITLINK__" hidden="1">{"fdsup://Directions/FactSet Auditing Viewer?action=AUDIT_VALUE&amp;DB=129&amp;ID1=53271610&amp;VALUEID=01001&amp;SDATE=200802&amp;PERIODTYPE=QTR_STD&amp;window=popup_no_bar&amp;width=385&amp;height=120&amp;START_MAXIMIZED=FALSE&amp;creator=factset&amp;display_string=Audit"}</definedName>
    <definedName name="_1689__FDSAUDITLINK__" hidden="1">{"fdsup://Directions/FactSet Auditing Viewer?action=AUDIT_VALUE&amp;DB=129&amp;ID1=53271610&amp;VALUEID=13040&amp;SDATE=200802&amp;PERIODTYPE=QTR_STD&amp;window=popup_no_bar&amp;width=385&amp;height=120&amp;START_MAXIMIZED=FALSE&amp;creator=factset&amp;display_string=Audit"}</definedName>
    <definedName name="_169__FDSAUDITLINK__" hidden="1">{"fdsup://Directions/FactSet Auditing Viewer?action=AUDIT_VALUE&amp;DB=129&amp;ID1=46612H40&amp;VALUEID=01001&amp;SDATE=200801&amp;PERIODTYPE=QTR_STD&amp;window=popup_no_bar&amp;width=385&amp;height=120&amp;START_MAXIMIZED=FALSE&amp;creator=factset&amp;display_string=Audit"}</definedName>
    <definedName name="_1690__FDSAUDITLINK__" hidden="1">{"fdsup://Directions/FactSet Auditing Viewer?action=AUDIT_VALUE&amp;DB=129&amp;ID1=46612H40&amp;VALUEID=02101&amp;SDATE=200802&amp;PERIODTYPE=QTR_STD&amp;window=popup_no_bar&amp;width=385&amp;height=120&amp;START_MAXIMIZED=FALSE&amp;creator=factset&amp;display_string=Audit"}</definedName>
    <definedName name="_1691__FDSAUDITLINK__" hidden="1">{"fdsup://Directions/FactSet Auditing Viewer?action=AUDIT_VALUE&amp;DB=129&amp;ID1=46612H40&amp;VALUEID=01001&amp;SDATE=200802&amp;PERIODTYPE=QTR_STD&amp;window=popup_no_bar&amp;width=385&amp;height=120&amp;START_MAXIMIZED=FALSE&amp;creator=factset&amp;display_string=Audit"}</definedName>
    <definedName name="_1692__FDSAUDITLINK__" hidden="1">{"fdsup://Directions/FactSet Auditing Viewer?action=AUDIT_VALUE&amp;DB=129&amp;ID1=46612H40&amp;VALUEID=13040&amp;SDATE=200802&amp;PERIODTYPE=QTR_STD&amp;window=popup_no_bar&amp;width=385&amp;height=120&amp;START_MAXIMIZED=FALSE&amp;creator=factset&amp;display_string=Audit"}</definedName>
    <definedName name="_1693__FDSAUDITLINK__" hidden="1">{"fdsup://Directions/FactSet Auditing Viewer?action=AUDIT_VALUE&amp;DB=129&amp;ID1=36476010&amp;VALUEID=02101&amp;SDATE=200802&amp;PERIODTYPE=QTR_STD&amp;window=popup_no_bar&amp;width=385&amp;height=120&amp;START_MAXIMIZED=FALSE&amp;creator=factset&amp;display_string=Audit"}</definedName>
    <definedName name="_1694__FDSAUDITLINK__" hidden="1">{"fdsup://Directions/FactSet Auditing Viewer?action=AUDIT_VALUE&amp;DB=129&amp;ID1=36476010&amp;VALUEID=01001&amp;SDATE=200802&amp;PERIODTYPE=QTR_STD&amp;window=popup_no_bar&amp;width=385&amp;height=120&amp;START_MAXIMIZED=FALSE&amp;creator=factset&amp;display_string=Audit"}</definedName>
    <definedName name="_1695__FDSAUDITLINK__" hidden="1">{"fdsup://Directions/FactSet Auditing Viewer?action=AUDIT_VALUE&amp;DB=129&amp;ID1=36476010&amp;VALUEID=13040&amp;SDATE=200802&amp;PERIODTYPE=QTR_STD&amp;window=popup_no_bar&amp;width=385&amp;height=120&amp;START_MAXIMIZED=FALSE&amp;creator=factset&amp;display_string=Audit"}</definedName>
    <definedName name="_1696__FDSAUDITLINK__" hidden="1">{"fdsup://Directions/FactSet Auditing Viewer?action=AUDIT_VALUE&amp;DB=129&amp;ID1=03611510&amp;VALUEID=02101&amp;SDATE=200802&amp;PERIODTYPE=QTR_STD&amp;window=popup_no_bar&amp;width=385&amp;height=120&amp;START_MAXIMIZED=FALSE&amp;creator=factset&amp;display_string=Audit"}</definedName>
    <definedName name="_1697__FDSAUDITLINK__" hidden="1">{"fdsup://Directions/FactSet Auditing Viewer?action=AUDIT_VALUE&amp;DB=129&amp;ID1=03611510&amp;VALUEID=01001&amp;SDATE=200802&amp;PERIODTYPE=QTR_STD&amp;window=popup_no_bar&amp;width=385&amp;height=120&amp;START_MAXIMIZED=FALSE&amp;creator=factset&amp;display_string=Audit"}</definedName>
    <definedName name="_1698__FDSAUDITLINK__" hidden="1">{"fdsup://Directions/FactSet Auditing Viewer?action=AUDIT_VALUE&amp;DB=129&amp;ID1=16890510&amp;VALUEID=02101&amp;SDATE=200802&amp;PERIODTYPE=QTR_STD&amp;window=popup_no_bar&amp;width=385&amp;height=120&amp;START_MAXIMIZED=FALSE&amp;creator=factset&amp;display_string=Audit"}</definedName>
    <definedName name="_1699__FDSAUDITLINK__" hidden="1">{"fdsup://Directions/FactSet Auditing Viewer?action=AUDIT_VALUE&amp;DB=129&amp;ID1=16890510&amp;VALUEID=01001&amp;SDATE=200802&amp;PERIODTYPE=QTR_STD&amp;window=popup_no_bar&amp;width=385&amp;height=120&amp;START_MAXIMIZED=FALSE&amp;creator=factset&amp;display_string=Audit"}</definedName>
    <definedName name="_17__FDSAUDITLINK__" hidden="1">{"fdsup://Directions/FactSet Auditing Viewer?action=AUDIT_VALUE&amp;DB=129&amp;ID1=00786510&amp;VALUEID=02101&amp;SDATE=201001&amp;PERIODTYPE=QTR_STD&amp;window=popup_no_bar&amp;width=385&amp;height=120&amp;START_MAXIMIZED=FALSE&amp;creator=factset&amp;display_string=Audit"}</definedName>
    <definedName name="_170__FDSAUDITLINK__" hidden="1">{"fdsup://Directions/FactSet Auditing Viewer?action=AUDIT_VALUE&amp;DB=129&amp;ID1=46612H40&amp;VALUEID=13040&amp;SDATE=200801&amp;PERIODTYPE=QTR_STD&amp;window=popup_no_bar&amp;width=385&amp;height=120&amp;START_MAXIMIZED=FALSE&amp;creator=factset&amp;display_string=Audit"}</definedName>
    <definedName name="_1700__FDSAUDITLINK__" hidden="1">{"fdsup://Directions/FactSet Auditing Viewer?action=AUDIT_VALUE&amp;DB=129&amp;ID1=91704710&amp;VALUEID=02101&amp;SDATE=200802&amp;PERIODTYPE=QTR_STD&amp;window=popup_no_bar&amp;width=385&amp;height=120&amp;START_MAXIMIZED=FALSE&amp;creator=factset&amp;display_string=Audit"}</definedName>
    <definedName name="_1701__FDSAUDITLINK__" hidden="1">{"fdsup://Directions/FactSet Auditing Viewer?action=AUDIT_VALUE&amp;DB=129&amp;ID1=91704710&amp;VALUEID=01001&amp;SDATE=200802&amp;PERIODTYPE=QTR_STD&amp;window=popup_no_bar&amp;width=385&amp;height=120&amp;START_MAXIMIZED=FALSE&amp;creator=factset&amp;display_string=Audit"}</definedName>
    <definedName name="_1702__FDSAUDITLINK__" hidden="1">{"fdsup://Directions/FactSet Auditing Viewer?action=AUDIT_VALUE&amp;DB=129&amp;ID1=91704710&amp;VALUEID=13040&amp;SDATE=200802&amp;PERIODTYPE=QTR_STD&amp;window=popup_no_bar&amp;width=385&amp;height=120&amp;START_MAXIMIZED=FALSE&amp;creator=factset&amp;display_string=Audit"}</definedName>
    <definedName name="_1703__FDSAUDITLINK__" hidden="1">{"fdsup://Directions/FactSet Auditing Viewer?action=AUDIT_VALUE&amp;DB=129&amp;ID1=02553E10&amp;VALUEID=02101&amp;SDATE=200802&amp;PERIODTYPE=QTR_STD&amp;window=popup_no_bar&amp;width=385&amp;height=120&amp;START_MAXIMIZED=FALSE&amp;creator=factset&amp;display_string=Audit"}</definedName>
    <definedName name="_1704__FDSAUDITLINK__" hidden="1">{"fdsup://Directions/FactSet Auditing Viewer?action=AUDIT_VALUE&amp;DB=129&amp;ID1=02553E10&amp;VALUEID=01001&amp;SDATE=200802&amp;PERIODTYPE=QTR_STD&amp;window=popup_no_bar&amp;width=385&amp;height=120&amp;START_MAXIMIZED=FALSE&amp;creator=factset&amp;display_string=Audit"}</definedName>
    <definedName name="_1705__FDSAUDITLINK__" hidden="1">{"fdsup://Directions/FactSet Auditing Viewer?action=AUDIT_VALUE&amp;DB=129&amp;ID1=02553E10&amp;VALUEID=13040&amp;SDATE=200802&amp;PERIODTYPE=QTR_STD&amp;window=popup_no_bar&amp;width=385&amp;height=120&amp;START_MAXIMIZED=FALSE&amp;creator=factset&amp;display_string=Audit"}</definedName>
    <definedName name="_1706__FDSAUDITLINK__" hidden="1">{"fdsup://Directions/FactSet Auditing Viewer?action=AUDIT_VALUE&amp;DB=129&amp;ID1=00786510&amp;VALUEID=02101&amp;SDATE=200802&amp;PERIODTYPE=QTR_STD&amp;window=popup_no_bar&amp;width=385&amp;height=120&amp;START_MAXIMIZED=FALSE&amp;creator=factset&amp;display_string=Audit"}</definedName>
    <definedName name="_1707__FDSAUDITLINK__" hidden="1">{"fdsup://Directions/FactSet Auditing Viewer?action=AUDIT_VALUE&amp;DB=129&amp;ID1=00786510&amp;VALUEID=01001&amp;SDATE=200802&amp;PERIODTYPE=QTR_STD&amp;window=popup_no_bar&amp;width=385&amp;height=120&amp;START_MAXIMIZED=FALSE&amp;creator=factset&amp;display_string=Audit"}</definedName>
    <definedName name="_1708__FDSAUDITLINK__" hidden="1">{"fdsup://Directions/FactSet Auditing Viewer?action=AUDIT_VALUE&amp;DB=129&amp;ID1=00786510&amp;VALUEID=13040&amp;SDATE=200802&amp;PERIODTYPE=QTR_STD&amp;window=popup_no_bar&amp;width=385&amp;height=120&amp;START_MAXIMIZED=FALSE&amp;creator=factset&amp;display_string=Audit"}</definedName>
    <definedName name="_1709__FDSAUDITLINK__" hidden="1">{"fdsup://Directions/FactSet Auditing Viewer?action=AUDIT_VALUE&amp;DB=129&amp;ID1=00289620&amp;VALUEID=02101&amp;SDATE=200802&amp;PERIODTYPE=QTR_STD&amp;window=popup_no_bar&amp;width=385&amp;height=120&amp;START_MAXIMIZED=FALSE&amp;creator=factset&amp;display_string=Audit"}</definedName>
    <definedName name="_171__FDSAUDITLINK__" hidden="1">{"fdsup://Directions/FactSet Auditing Viewer?action=AUDIT_VALUE&amp;DB=129&amp;ID1=36476010&amp;VALUEID=02101&amp;SDATE=200801&amp;PERIODTYPE=QTR_STD&amp;window=popup_no_bar&amp;width=385&amp;height=120&amp;START_MAXIMIZED=FALSE&amp;creator=factset&amp;display_string=Audit"}</definedName>
    <definedName name="_1710__FDSAUDITLINK__" hidden="1">{"fdsup://Directions/FactSet Auditing Viewer?action=AUDIT_VALUE&amp;DB=129&amp;ID1=00289620&amp;VALUEID=01001&amp;SDATE=200802&amp;PERIODTYPE=QTR_STD&amp;window=popup_no_bar&amp;width=385&amp;height=120&amp;START_MAXIMIZED=FALSE&amp;creator=factset&amp;display_string=Audit"}</definedName>
    <definedName name="_1711__FDSAUDITLINK__" hidden="1">{"fdsup://Directions/FactSet Auditing Viewer?action=AUDIT_VALUE&amp;DB=129&amp;ID1=00289620&amp;VALUEID=13040&amp;SDATE=200802&amp;PERIODTYPE=QTR_STD&amp;window=popup_no_bar&amp;width=385&amp;height=120&amp;START_MAXIMIZED=FALSE&amp;creator=factset&amp;display_string=Audit"}</definedName>
    <definedName name="_1712__FDSAUDITLINK__" hidden="1">{"fdsup://Directions/FactSet Auditing Viewer?action=AUDIT_VALUE&amp;DB=129&amp;ID1=87416110&amp;VALUEID=02101&amp;SDATE=200801&amp;PERIODTYPE=QTR_STD&amp;window=popup_no_bar&amp;width=385&amp;height=120&amp;START_MAXIMIZED=FALSE&amp;creator=factset&amp;display_string=Audit"}</definedName>
    <definedName name="_1713__FDSAUDITLINK__" hidden="1">{"fdsup://Directions/FactSet Auditing Viewer?action=AUDIT_VALUE&amp;DB=129&amp;ID1=87416110&amp;VALUEID=01001&amp;SDATE=200801&amp;PERIODTYPE=QTR_STD&amp;window=popup_no_bar&amp;width=385&amp;height=120&amp;START_MAXIMIZED=FALSE&amp;creator=factset&amp;display_string=Audit"}</definedName>
    <definedName name="_1714__FDSAUDITLINK__" hidden="1">{"fdsup://Directions/FactSet Auditing Viewer?action=AUDIT_VALUE&amp;DB=129&amp;ID1=53271610&amp;VALUEID=02101&amp;SDATE=200801&amp;PERIODTYPE=QTR_STD&amp;window=popup_no_bar&amp;width=385&amp;height=120&amp;START_MAXIMIZED=FALSE&amp;creator=factset&amp;display_string=Audit"}</definedName>
    <definedName name="_1715__FDSAUDITLINK__" hidden="1">{"fdsup://Directions/FactSet Auditing Viewer?action=AUDIT_VALUE&amp;DB=129&amp;ID1=53271610&amp;VALUEID=01001&amp;SDATE=200801&amp;PERIODTYPE=QTR_STD&amp;window=popup_no_bar&amp;width=385&amp;height=120&amp;START_MAXIMIZED=FALSE&amp;creator=factset&amp;display_string=Audit"}</definedName>
    <definedName name="_1716__FDSAUDITLINK__" hidden="1">{"fdsup://Directions/FactSet Auditing Viewer?action=AUDIT_VALUE&amp;DB=129&amp;ID1=53271610&amp;VALUEID=13040&amp;SDATE=200801&amp;PERIODTYPE=QTR_STD&amp;window=popup_no_bar&amp;width=385&amp;height=120&amp;START_MAXIMIZED=FALSE&amp;creator=factset&amp;display_string=Audit"}</definedName>
    <definedName name="_1717__FDSAUDITLINK__" hidden="1">{"fdsup://Directions/FactSet Auditing Viewer?action=AUDIT_VALUE&amp;DB=129&amp;ID1=46612H40&amp;VALUEID=02101&amp;SDATE=200801&amp;PERIODTYPE=QTR_STD&amp;window=popup_no_bar&amp;width=385&amp;height=120&amp;START_MAXIMIZED=FALSE&amp;creator=factset&amp;display_string=Audit"}</definedName>
    <definedName name="_1718__FDSAUDITLINK__" hidden="1">{"fdsup://Directions/FactSet Auditing Viewer?action=AUDIT_VALUE&amp;DB=129&amp;ID1=46612H40&amp;VALUEID=01001&amp;SDATE=200801&amp;PERIODTYPE=QTR_STD&amp;window=popup_no_bar&amp;width=385&amp;height=120&amp;START_MAXIMIZED=FALSE&amp;creator=factset&amp;display_string=Audit"}</definedName>
    <definedName name="_1719__FDSAUDITLINK__" hidden="1">{"fdsup://Directions/FactSet Auditing Viewer?action=AUDIT_VALUE&amp;DB=129&amp;ID1=46612H40&amp;VALUEID=13040&amp;SDATE=200801&amp;PERIODTYPE=QTR_STD&amp;window=popup_no_bar&amp;width=385&amp;height=120&amp;START_MAXIMIZED=FALSE&amp;creator=factset&amp;display_string=Audit"}</definedName>
    <definedName name="_172__FDSAUDITLINK__" hidden="1">{"fdsup://Directions/FactSet Auditing Viewer?action=AUDIT_VALUE&amp;DB=129&amp;ID1=36476010&amp;VALUEID=01001&amp;SDATE=200801&amp;PERIODTYPE=QTR_STD&amp;window=popup_no_bar&amp;width=385&amp;height=120&amp;START_MAXIMIZED=FALSE&amp;creator=factset&amp;display_string=Audit"}</definedName>
    <definedName name="_1720__FDSAUDITLINK__" hidden="1">{"fdsup://Directions/FactSet Auditing Viewer?action=AUDIT_VALUE&amp;DB=129&amp;ID1=36476010&amp;VALUEID=02101&amp;SDATE=200801&amp;PERIODTYPE=QTR_STD&amp;window=popup_no_bar&amp;width=385&amp;height=120&amp;START_MAXIMIZED=FALSE&amp;creator=factset&amp;display_string=Audit"}</definedName>
    <definedName name="_1721__FDSAUDITLINK__" hidden="1">{"fdsup://Directions/FactSet Auditing Viewer?action=AUDIT_VALUE&amp;DB=129&amp;ID1=36476010&amp;VALUEID=01001&amp;SDATE=200801&amp;PERIODTYPE=QTR_STD&amp;window=popup_no_bar&amp;width=385&amp;height=120&amp;START_MAXIMIZED=FALSE&amp;creator=factset&amp;display_string=Audit"}</definedName>
    <definedName name="_1722__FDSAUDITLINK__" hidden="1">{"fdsup://Directions/FactSet Auditing Viewer?action=AUDIT_VALUE&amp;DB=129&amp;ID1=36476010&amp;VALUEID=13040&amp;SDATE=200801&amp;PERIODTYPE=QTR_STD&amp;window=popup_no_bar&amp;width=385&amp;height=120&amp;START_MAXIMIZED=FALSE&amp;creator=factset&amp;display_string=Audit"}</definedName>
    <definedName name="_1723__FDSAUDITLINK__" hidden="1">{"fdsup://Directions/FactSet Auditing Viewer?action=AUDIT_VALUE&amp;DB=129&amp;ID1=03611510&amp;VALUEID=02101&amp;SDATE=200801&amp;PERIODTYPE=QTR_STD&amp;window=popup_no_bar&amp;width=385&amp;height=120&amp;START_MAXIMIZED=FALSE&amp;creator=factset&amp;display_string=Audit"}</definedName>
    <definedName name="_1724__FDSAUDITLINK__" hidden="1">{"fdsup://Directions/FactSet Auditing Viewer?action=AUDIT_VALUE&amp;DB=129&amp;ID1=03611510&amp;VALUEID=01001&amp;SDATE=200801&amp;PERIODTYPE=QTR_STD&amp;window=popup_no_bar&amp;width=385&amp;height=120&amp;START_MAXIMIZED=FALSE&amp;creator=factset&amp;display_string=Audit"}</definedName>
    <definedName name="_1725__FDSAUDITLINK__" hidden="1">{"fdsup://Directions/FactSet Auditing Viewer?action=AUDIT_VALUE&amp;DB=129&amp;ID1=03611510&amp;VALUEID=13040&amp;SDATE=200801&amp;PERIODTYPE=QTR_STD&amp;window=popup_no_bar&amp;width=385&amp;height=120&amp;START_MAXIMIZED=FALSE&amp;creator=factset&amp;display_string=Audit"}</definedName>
    <definedName name="_1726__FDSAUDITLINK__" hidden="1">{"fdsup://Directions/FactSet Auditing Viewer?action=AUDIT_VALUE&amp;DB=129&amp;ID1=16890510&amp;VALUEID=02101&amp;SDATE=200801&amp;PERIODTYPE=QTR_STD&amp;window=popup_no_bar&amp;width=385&amp;height=120&amp;START_MAXIMIZED=FALSE&amp;creator=factset&amp;display_string=Audit"}</definedName>
    <definedName name="_1727__FDSAUDITLINK__" hidden="1">{"fdsup://Directions/FactSet Auditing Viewer?action=AUDIT_VALUE&amp;DB=129&amp;ID1=16890510&amp;VALUEID=01001&amp;SDATE=200801&amp;PERIODTYPE=QTR_STD&amp;window=popup_no_bar&amp;width=385&amp;height=120&amp;START_MAXIMIZED=FALSE&amp;creator=factset&amp;display_string=Audit"}</definedName>
    <definedName name="_1728__FDSAUDITLINK__" hidden="1">{"fdsup://Directions/FactSet Auditing Viewer?action=AUDIT_VALUE&amp;DB=129&amp;ID1=91704710&amp;VALUEID=02101&amp;SDATE=200801&amp;PERIODTYPE=QTR_STD&amp;window=popup_no_bar&amp;width=385&amp;height=120&amp;START_MAXIMIZED=FALSE&amp;creator=factset&amp;display_string=Audit"}</definedName>
    <definedName name="_1729__FDSAUDITLINK__" hidden="1">{"fdsup://Directions/FactSet Auditing Viewer?action=AUDIT_VALUE&amp;DB=129&amp;ID1=91704710&amp;VALUEID=01001&amp;SDATE=200801&amp;PERIODTYPE=QTR_STD&amp;window=popup_no_bar&amp;width=385&amp;height=120&amp;START_MAXIMIZED=FALSE&amp;creator=factset&amp;display_string=Audit"}</definedName>
    <definedName name="_173__FDSAUDITLINK__" hidden="1">{"fdsup://Directions/FactSet Auditing Viewer?action=AUDIT_VALUE&amp;DB=129&amp;ID1=36476010&amp;VALUEID=13040&amp;SDATE=200801&amp;PERIODTYPE=QTR_STD&amp;window=popup_no_bar&amp;width=385&amp;height=120&amp;START_MAXIMIZED=FALSE&amp;creator=factset&amp;display_string=Audit"}</definedName>
    <definedName name="_1730__FDSAUDITLINK__" hidden="1">{"fdsup://Directions/FactSet Auditing Viewer?action=AUDIT_VALUE&amp;DB=129&amp;ID1=91704710&amp;VALUEID=13040&amp;SDATE=200801&amp;PERIODTYPE=QTR_STD&amp;window=popup_no_bar&amp;width=385&amp;height=120&amp;START_MAXIMIZED=FALSE&amp;creator=factset&amp;display_string=Audit"}</definedName>
    <definedName name="_1731__FDSAUDITLINK__" hidden="1">{"fdsup://Directions/FactSet Auditing Viewer?action=AUDIT_VALUE&amp;DB=129&amp;ID1=02553E10&amp;VALUEID=02101&amp;SDATE=200801&amp;PERIODTYPE=QTR_STD&amp;window=popup_no_bar&amp;width=385&amp;height=120&amp;START_MAXIMIZED=FALSE&amp;creator=factset&amp;display_string=Audit"}</definedName>
    <definedName name="_1732__FDSAUDITLINK__" hidden="1">{"fdsup://Directions/FactSet Auditing Viewer?action=AUDIT_VALUE&amp;DB=129&amp;ID1=02553E10&amp;VALUEID=01001&amp;SDATE=200801&amp;PERIODTYPE=QTR_STD&amp;window=popup_no_bar&amp;width=385&amp;height=120&amp;START_MAXIMIZED=FALSE&amp;creator=factset&amp;display_string=Audit"}</definedName>
    <definedName name="_1733__FDSAUDITLINK__" hidden="1">{"fdsup://Directions/FactSet Auditing Viewer?action=AUDIT_VALUE&amp;DB=129&amp;ID1=02553E10&amp;VALUEID=13040&amp;SDATE=200801&amp;PERIODTYPE=QTR_STD&amp;window=popup_no_bar&amp;width=385&amp;height=120&amp;START_MAXIMIZED=FALSE&amp;creator=factset&amp;display_string=Audit"}</definedName>
    <definedName name="_1734__FDSAUDITLINK__" hidden="1">{"fdsup://Directions/FactSet Auditing Viewer?action=AUDIT_VALUE&amp;DB=129&amp;ID1=00786510&amp;VALUEID=02101&amp;SDATE=200801&amp;PERIODTYPE=QTR_STD&amp;window=popup_no_bar&amp;width=385&amp;height=120&amp;START_MAXIMIZED=FALSE&amp;creator=factset&amp;display_string=Audit"}</definedName>
    <definedName name="_1735__FDSAUDITLINK__" hidden="1">{"fdsup://Directions/FactSet Auditing Viewer?action=AUDIT_VALUE&amp;DB=129&amp;ID1=00786510&amp;VALUEID=01001&amp;SDATE=200801&amp;PERIODTYPE=QTR_STD&amp;window=popup_no_bar&amp;width=385&amp;height=120&amp;START_MAXIMIZED=FALSE&amp;creator=factset&amp;display_string=Audit"}</definedName>
    <definedName name="_1736__FDSAUDITLINK__" hidden="1">{"fdsup://Directions/FactSet Auditing Viewer?action=AUDIT_VALUE&amp;DB=129&amp;ID1=00786510&amp;VALUEID=13040&amp;SDATE=200801&amp;PERIODTYPE=QTR_STD&amp;window=popup_no_bar&amp;width=385&amp;height=120&amp;START_MAXIMIZED=FALSE&amp;creator=factset&amp;display_string=Audit"}</definedName>
    <definedName name="_1737__FDSAUDITLINK__" hidden="1">{"fdsup://Directions/FactSet Auditing Viewer?action=AUDIT_VALUE&amp;DB=129&amp;ID1=00289620&amp;VALUEID=02101&amp;SDATE=200801&amp;PERIODTYPE=QTR_STD&amp;window=popup_no_bar&amp;width=385&amp;height=120&amp;START_MAXIMIZED=FALSE&amp;creator=factset&amp;display_string=Audit"}</definedName>
    <definedName name="_1738__FDSAUDITLINK__" hidden="1">{"fdsup://Directions/FactSet Auditing Viewer?action=AUDIT_VALUE&amp;DB=129&amp;ID1=00289620&amp;VALUEID=01001&amp;SDATE=200801&amp;PERIODTYPE=QTR_STD&amp;window=popup_no_bar&amp;width=385&amp;height=120&amp;START_MAXIMIZED=FALSE&amp;creator=factset&amp;display_string=Audit"}</definedName>
    <definedName name="_1739__FDSAUDITLINK__" hidden="1">{"fdsup://Directions/FactSet Auditing Viewer?action=AUDIT_VALUE&amp;DB=129&amp;ID1=00289620&amp;VALUEID=13040&amp;SDATE=200801&amp;PERIODTYPE=QTR_STD&amp;window=popup_no_bar&amp;width=385&amp;height=120&amp;START_MAXIMIZED=FALSE&amp;creator=factset&amp;display_string=Audit"}</definedName>
    <definedName name="_174__FDSAUDITLINK__" hidden="1">{"fdsup://Directions/FactSet Auditing Viewer?action=AUDIT_VALUE&amp;DB=129&amp;ID1=03611510&amp;VALUEID=02101&amp;SDATE=200801&amp;PERIODTYPE=QTR_STD&amp;window=popup_no_bar&amp;width=385&amp;height=120&amp;START_MAXIMIZED=FALSE&amp;creator=factset&amp;display_string=Audit"}</definedName>
    <definedName name="_1740__FDSAUDITLINK__" hidden="1">{"fdsup://Directions/FactSet Auditing Viewer?action=AUDIT_VALUE&amp;DB=129&amp;ID1=87416110&amp;VALUEID=01001&amp;SDATE=200704&amp;PERIODTYPE=QTR_STD&amp;window=popup_no_bar&amp;width=385&amp;height=120&amp;START_MAXIMIZED=FALSE&amp;creator=factset&amp;display_string=Audit"}</definedName>
    <definedName name="_1741__FDSAUDITLINK__" hidden="1">{"fdsup://Directions/FactSet Auditing Viewer?action=AUDIT_VALUE&amp;DB=129&amp;ID1=46612H40&amp;VALUEID=01001&amp;SDATE=200704&amp;PERIODTYPE=QTR_STD&amp;window=popup_no_bar&amp;width=385&amp;height=120&amp;START_MAXIMIZED=FALSE&amp;creator=factset&amp;display_string=Audit"}</definedName>
    <definedName name="_1742__FDSAUDITLINK__" hidden="1">{"fdsup://Directions/FactSet Auditing Viewer?action=AUDIT_VALUE&amp;DB=129&amp;ID1=46612H40&amp;VALUEID=13040&amp;SDATE=200704&amp;PERIODTYPE=QTR_STD&amp;window=popup_no_bar&amp;width=385&amp;height=120&amp;START_MAXIMIZED=FALSE&amp;creator=factset&amp;display_string=Audit"}</definedName>
    <definedName name="_1743__FDSAUDITLINK__" hidden="1">{"fdsup://Directions/FactSet Auditing Viewer?action=AUDIT_VALUE&amp;DB=129&amp;ID1=36476010&amp;VALUEID=01001&amp;SDATE=200704&amp;PERIODTYPE=QTR_STD&amp;window=popup_no_bar&amp;width=385&amp;height=120&amp;START_MAXIMIZED=FALSE&amp;creator=factset&amp;display_string=Audit"}</definedName>
    <definedName name="_1744__FDSAUDITLINK__" hidden="1">{"fdsup://Directions/FactSet Auditing Viewer?action=AUDIT_VALUE&amp;DB=129&amp;ID1=03611510&amp;VALUEID=01001&amp;SDATE=200704&amp;PERIODTYPE=QTR_STD&amp;window=popup_no_bar&amp;width=385&amp;height=120&amp;START_MAXIMIZED=FALSE&amp;creator=factset&amp;display_string=Audit"}</definedName>
    <definedName name="_1745__FDSAUDITLINK__" hidden="1">{"fdsup://Directions/FactSet Auditing Viewer?action=AUDIT_VALUE&amp;DB=129&amp;ID1=03611510&amp;VALUEID=13040&amp;SDATE=200704&amp;PERIODTYPE=QTR_STD&amp;window=popup_no_bar&amp;width=385&amp;height=120&amp;START_MAXIMIZED=FALSE&amp;creator=factset&amp;display_string=Audit"}</definedName>
    <definedName name="_1746__FDSAUDITLINK__" hidden="1">{"fdsup://Directions/FactSet Auditing Viewer?action=AUDIT_VALUE&amp;DB=129&amp;ID1=16890510&amp;VALUEID=01001&amp;SDATE=200704&amp;PERIODTYPE=QTR_STD&amp;window=popup_no_bar&amp;width=385&amp;height=120&amp;START_MAXIMIZED=FALSE&amp;creator=factset&amp;display_string=Audit"}</definedName>
    <definedName name="_1747__FDSAUDITLINK__" hidden="1">{"fdsup://Directions/FactSet Auditing Viewer?action=AUDIT_VALUE&amp;DB=129&amp;ID1=00786510&amp;VALUEID=01001&amp;SDATE=200704&amp;PERIODTYPE=QTR_STD&amp;window=popup_no_bar&amp;width=385&amp;height=120&amp;START_MAXIMIZED=FALSE&amp;creator=factset&amp;display_string=Audit"}</definedName>
    <definedName name="_1748__FDSAUDITLINK__" hidden="1">{"fdsup://Directions/FactSet Auditing Viewer?action=AUDIT_VALUE&amp;DB=129&amp;ID1=87416110&amp;VALUEID=02101&amp;SDATE=200703&amp;PERIODTYPE=QTR_STD&amp;window=popup_no_bar&amp;width=385&amp;height=120&amp;START_MAXIMIZED=FALSE&amp;creator=factset&amp;display_string=Audit"}</definedName>
    <definedName name="_1749__FDSAUDITLINK__" hidden="1">{"fdsup://Directions/FactSet Auditing Viewer?action=AUDIT_VALUE&amp;DB=129&amp;ID1=87416110&amp;VALUEID=01001&amp;SDATE=200703&amp;PERIODTYPE=QTR_STD&amp;window=popup_no_bar&amp;width=385&amp;height=120&amp;START_MAXIMIZED=FALSE&amp;creator=factset&amp;display_string=Audit"}</definedName>
    <definedName name="_175__FDSAUDITLINK__" hidden="1">{"fdsup://Directions/FactSet Auditing Viewer?action=AUDIT_VALUE&amp;DB=129&amp;ID1=03611510&amp;VALUEID=01001&amp;SDATE=200801&amp;PERIODTYPE=QTR_STD&amp;window=popup_no_bar&amp;width=385&amp;height=120&amp;START_MAXIMIZED=FALSE&amp;creator=factset&amp;display_string=Audit"}</definedName>
    <definedName name="_1750__FDSAUDITLINK__" hidden="1">{"fdsup://Directions/FactSet Auditing Viewer?action=AUDIT_VALUE&amp;DB=129&amp;ID1=53271610&amp;VALUEID=02101&amp;SDATE=200703&amp;PERIODTYPE=QTR_STD&amp;window=popup_no_bar&amp;width=385&amp;height=120&amp;START_MAXIMIZED=FALSE&amp;creator=factset&amp;display_string=Audit"}</definedName>
    <definedName name="_1751__FDSAUDITLINK__" hidden="1">{"fdsup://Directions/FactSet Auditing Viewer?action=AUDIT_VALUE&amp;DB=129&amp;ID1=53271610&amp;VALUEID=01001&amp;SDATE=200703&amp;PERIODTYPE=QTR_STD&amp;window=popup_no_bar&amp;width=385&amp;height=120&amp;START_MAXIMIZED=FALSE&amp;creator=factset&amp;display_string=Audit"}</definedName>
    <definedName name="_1752__FDSAUDITLINK__" hidden="1">{"fdsup://Directions/FactSet Auditing Viewer?action=AUDIT_VALUE&amp;DB=129&amp;ID1=53271610&amp;VALUEID=13040&amp;SDATE=200703&amp;PERIODTYPE=QTR_STD&amp;window=popup_no_bar&amp;width=385&amp;height=120&amp;START_MAXIMIZED=FALSE&amp;creator=factset&amp;display_string=Audit"}</definedName>
    <definedName name="_1753__FDSAUDITLINK__" hidden="1">{"fdsup://Directions/FactSet Auditing Viewer?action=AUDIT_VALUE&amp;DB=129&amp;ID1=46612H40&amp;VALUEID=02101&amp;SDATE=200703&amp;PERIODTYPE=QTR_STD&amp;window=popup_no_bar&amp;width=385&amp;height=120&amp;START_MAXIMIZED=FALSE&amp;creator=factset&amp;display_string=Audit"}</definedName>
    <definedName name="_1754__FDSAUDITLINK__" hidden="1">{"fdsup://Directions/FactSet Auditing Viewer?action=AUDIT_VALUE&amp;DB=129&amp;ID1=46612H40&amp;VALUEID=01001&amp;SDATE=200703&amp;PERIODTYPE=QTR_STD&amp;window=popup_no_bar&amp;width=385&amp;height=120&amp;START_MAXIMIZED=FALSE&amp;creator=factset&amp;display_string=Audit"}</definedName>
    <definedName name="_1755__FDSAUDITLINK__" hidden="1">{"fdsup://Directions/FactSet Auditing Viewer?action=AUDIT_VALUE&amp;DB=129&amp;ID1=46612H40&amp;VALUEID=13040&amp;SDATE=200703&amp;PERIODTYPE=QTR_STD&amp;window=popup_no_bar&amp;width=385&amp;height=120&amp;START_MAXIMIZED=FALSE&amp;creator=factset&amp;display_string=Audit"}</definedName>
    <definedName name="_1756__FDSAUDITLINK__" hidden="1">{"fdsup://Directions/FactSet Auditing Viewer?action=AUDIT_VALUE&amp;DB=129&amp;ID1=36476010&amp;VALUEID=02101&amp;SDATE=200703&amp;PERIODTYPE=QTR_STD&amp;window=popup_no_bar&amp;width=385&amp;height=120&amp;START_MAXIMIZED=FALSE&amp;creator=factset&amp;display_string=Audit"}</definedName>
    <definedName name="_1757__FDSAUDITLINK__" hidden="1">{"fdsup://Directions/FactSet Auditing Viewer?action=AUDIT_VALUE&amp;DB=129&amp;ID1=36476010&amp;VALUEID=01001&amp;SDATE=200703&amp;PERIODTYPE=QTR_STD&amp;window=popup_no_bar&amp;width=385&amp;height=120&amp;START_MAXIMIZED=FALSE&amp;creator=factset&amp;display_string=Audit"}</definedName>
    <definedName name="_1758__FDSAUDITLINK__" hidden="1">{"fdsup://Directions/FactSet Auditing Viewer?action=AUDIT_VALUE&amp;DB=129&amp;ID1=36476010&amp;VALUEID=13040&amp;SDATE=200703&amp;PERIODTYPE=QTR_STD&amp;window=popup_no_bar&amp;width=385&amp;height=120&amp;START_MAXIMIZED=FALSE&amp;creator=factset&amp;display_string=Audit"}</definedName>
    <definedName name="_1759__FDSAUDITLINK__" hidden="1">{"fdsup://Directions/FactSet Auditing Viewer?action=AUDIT_VALUE&amp;DB=129&amp;ID1=03611510&amp;VALUEID=02101&amp;SDATE=200703&amp;PERIODTYPE=QTR_STD&amp;window=popup_no_bar&amp;width=385&amp;height=120&amp;START_MAXIMIZED=FALSE&amp;creator=factset&amp;display_string=Audit"}</definedName>
    <definedName name="_176__FDSAUDITLINK__" hidden="1">{"fdsup://Directions/FactSet Auditing Viewer?action=AUDIT_VALUE&amp;DB=129&amp;ID1=03611510&amp;VALUEID=13040&amp;SDATE=200801&amp;PERIODTYPE=QTR_STD&amp;window=popup_no_bar&amp;width=385&amp;height=120&amp;START_MAXIMIZED=FALSE&amp;creator=factset&amp;display_string=Audit"}</definedName>
    <definedName name="_1760__FDSAUDITLINK__" hidden="1">{"fdsup://Directions/FactSet Auditing Viewer?action=AUDIT_VALUE&amp;DB=129&amp;ID1=03611510&amp;VALUEID=01001&amp;SDATE=200703&amp;PERIODTYPE=QTR_STD&amp;window=popup_no_bar&amp;width=385&amp;height=120&amp;START_MAXIMIZED=FALSE&amp;creator=factset&amp;display_string=Audit"}</definedName>
    <definedName name="_1761__FDSAUDITLINK__" hidden="1">{"fdsup://Directions/FactSet Auditing Viewer?action=AUDIT_VALUE&amp;DB=129&amp;ID1=03611510&amp;VALUEID=13040&amp;SDATE=200703&amp;PERIODTYPE=QTR_STD&amp;window=popup_no_bar&amp;width=385&amp;height=120&amp;START_MAXIMIZED=FALSE&amp;creator=factset&amp;display_string=Audit"}</definedName>
    <definedName name="_1762__FDSAUDITLINK__" hidden="1">{"fdsup://Directions/FactSet Auditing Viewer?action=AUDIT_VALUE&amp;DB=129&amp;ID1=16890510&amp;VALUEID=02101&amp;SDATE=200703&amp;PERIODTYPE=QTR_STD&amp;window=popup_no_bar&amp;width=385&amp;height=120&amp;START_MAXIMIZED=FALSE&amp;creator=factset&amp;display_string=Audit"}</definedName>
    <definedName name="_1763__FDSAUDITLINK__" hidden="1">{"fdsup://Directions/FactSet Auditing Viewer?action=AUDIT_VALUE&amp;DB=129&amp;ID1=16890510&amp;VALUEID=01001&amp;SDATE=200703&amp;PERIODTYPE=QTR_STD&amp;window=popup_no_bar&amp;width=385&amp;height=120&amp;START_MAXIMIZED=FALSE&amp;creator=factset&amp;display_string=Audit"}</definedName>
    <definedName name="_1764__FDSAUDITLINK__" hidden="1">{"fdsup://Directions/FactSet Auditing Viewer?action=AUDIT_VALUE&amp;DB=129&amp;ID1=91704710&amp;VALUEID=02101&amp;SDATE=200703&amp;PERIODTYPE=QTR_STD&amp;window=popup_no_bar&amp;width=385&amp;height=120&amp;START_MAXIMIZED=FALSE&amp;creator=factset&amp;display_string=Audit"}</definedName>
    <definedName name="_1765__FDSAUDITLINK__" hidden="1">{"fdsup://Directions/FactSet Auditing Viewer?action=AUDIT_VALUE&amp;DB=129&amp;ID1=91704710&amp;VALUEID=01001&amp;SDATE=200703&amp;PERIODTYPE=QTR_STD&amp;window=popup_no_bar&amp;width=385&amp;height=120&amp;START_MAXIMIZED=FALSE&amp;creator=factset&amp;display_string=Audit"}</definedName>
    <definedName name="_1766__FDSAUDITLINK__" hidden="1">{"fdsup://Directions/FactSet Auditing Viewer?action=AUDIT_VALUE&amp;DB=129&amp;ID1=91704710&amp;VALUEID=13040&amp;SDATE=200703&amp;PERIODTYPE=QTR_STD&amp;window=popup_no_bar&amp;width=385&amp;height=120&amp;START_MAXIMIZED=FALSE&amp;creator=factset&amp;display_string=Audit"}</definedName>
    <definedName name="_1767__FDSAUDITLINK__" hidden="1">{"fdsup://Directions/FactSet Auditing Viewer?action=AUDIT_VALUE&amp;DB=129&amp;ID1=02553E10&amp;VALUEID=02101&amp;SDATE=200703&amp;PERIODTYPE=QTR_STD&amp;window=popup_no_bar&amp;width=385&amp;height=120&amp;START_MAXIMIZED=FALSE&amp;creator=factset&amp;display_string=Audit"}</definedName>
    <definedName name="_1768__FDSAUDITLINK__" hidden="1">{"fdsup://Directions/FactSet Auditing Viewer?action=AUDIT_VALUE&amp;DB=129&amp;ID1=02553E10&amp;VALUEID=01001&amp;SDATE=200703&amp;PERIODTYPE=QTR_STD&amp;window=popup_no_bar&amp;width=385&amp;height=120&amp;START_MAXIMIZED=FALSE&amp;creator=factset&amp;display_string=Audit"}</definedName>
    <definedName name="_1769__FDSAUDITLINK__" hidden="1">{"fdsup://Directions/FactSet Auditing Viewer?action=AUDIT_VALUE&amp;DB=129&amp;ID1=00786510&amp;VALUEID=02101&amp;SDATE=200703&amp;PERIODTYPE=QTR_STD&amp;window=popup_no_bar&amp;width=385&amp;height=120&amp;START_MAXIMIZED=FALSE&amp;creator=factset&amp;display_string=Audit"}</definedName>
    <definedName name="_177__FDSAUDITLINK__" hidden="1">{"fdsup://Directions/FactSet Auditing Viewer?action=AUDIT_VALUE&amp;DB=129&amp;ID1=16890510&amp;VALUEID=02101&amp;SDATE=200801&amp;PERIODTYPE=QTR_STD&amp;window=popup_no_bar&amp;width=385&amp;height=120&amp;START_MAXIMIZED=FALSE&amp;creator=factset&amp;display_string=Audit"}</definedName>
    <definedName name="_1770__FDSAUDITLINK__" hidden="1">{"fdsup://Directions/FactSet Auditing Viewer?action=AUDIT_VALUE&amp;DB=129&amp;ID1=00786510&amp;VALUEID=01001&amp;SDATE=200703&amp;PERIODTYPE=QTR_STD&amp;window=popup_no_bar&amp;width=385&amp;height=120&amp;START_MAXIMIZED=FALSE&amp;creator=factset&amp;display_string=Audit"}</definedName>
    <definedName name="_1771__FDSAUDITLINK__" hidden="1">{"fdsup://Directions/FactSet Auditing Viewer?action=AUDIT_VALUE&amp;DB=129&amp;ID1=00786510&amp;VALUEID=13040&amp;SDATE=200703&amp;PERIODTYPE=QTR_STD&amp;window=popup_no_bar&amp;width=385&amp;height=120&amp;START_MAXIMIZED=FALSE&amp;creator=factset&amp;display_string=Audit"}</definedName>
    <definedName name="_1772__FDSAUDITLINK__" hidden="1">{"fdsup://Directions/FactSet Auditing Viewer?action=AUDIT_VALUE&amp;DB=129&amp;ID1=00289620&amp;VALUEID=02101&amp;SDATE=200703&amp;PERIODTYPE=QTR_STD&amp;window=popup_no_bar&amp;width=385&amp;height=120&amp;START_MAXIMIZED=FALSE&amp;creator=factset&amp;display_string=Audit"}</definedName>
    <definedName name="_1773__FDSAUDITLINK__" hidden="1">{"fdsup://Directions/FactSet Auditing Viewer?action=AUDIT_VALUE&amp;DB=129&amp;ID1=00289620&amp;VALUEID=01001&amp;SDATE=200703&amp;PERIODTYPE=QTR_STD&amp;window=popup_no_bar&amp;width=385&amp;height=120&amp;START_MAXIMIZED=FALSE&amp;creator=factset&amp;display_string=Audit"}</definedName>
    <definedName name="_1774__FDSAUDITLINK__" hidden="1">{"fdsup://Directions/FactSet Auditing Viewer?action=AUDIT_VALUE&amp;DB=129&amp;ID1=00289620&amp;VALUEID=13040&amp;SDATE=200703&amp;PERIODTYPE=QTR_STD&amp;window=popup_no_bar&amp;width=385&amp;height=120&amp;START_MAXIMIZED=FALSE&amp;creator=factset&amp;display_string=Audit"}</definedName>
    <definedName name="_1775__FDSAUDITLINK__" hidden="1">{"fdsup://Directions/FactSet Auditing Viewer?action=AUDIT_VALUE&amp;DB=129&amp;ID1=87416110&amp;VALUEID=02101&amp;SDATE=200702&amp;PERIODTYPE=QTR_STD&amp;window=popup_no_bar&amp;width=385&amp;height=120&amp;START_MAXIMIZED=FALSE&amp;creator=factset&amp;display_string=Audit"}</definedName>
    <definedName name="_1776__FDSAUDITLINK__" hidden="1">{"fdsup://Directions/FactSet Auditing Viewer?action=AUDIT_VALUE&amp;DB=129&amp;ID1=87416110&amp;VALUEID=01001&amp;SDATE=200702&amp;PERIODTYPE=QTR_STD&amp;window=popup_no_bar&amp;width=385&amp;height=120&amp;START_MAXIMIZED=FALSE&amp;creator=factset&amp;display_string=Audit"}</definedName>
    <definedName name="_1777__FDSAUDITLINK__" hidden="1">{"fdsup://Directions/FactSet Auditing Viewer?action=AUDIT_VALUE&amp;DB=129&amp;ID1=53271610&amp;VALUEID=02101&amp;SDATE=200702&amp;PERIODTYPE=QTR_STD&amp;window=popup_no_bar&amp;width=385&amp;height=120&amp;START_MAXIMIZED=FALSE&amp;creator=factset&amp;display_string=Audit"}</definedName>
    <definedName name="_1778__FDSAUDITLINK__" hidden="1">{"fdsup://Directions/FactSet Auditing Viewer?action=AUDIT_VALUE&amp;DB=129&amp;ID1=53271610&amp;VALUEID=01001&amp;SDATE=200702&amp;PERIODTYPE=QTR_STD&amp;window=popup_no_bar&amp;width=385&amp;height=120&amp;START_MAXIMIZED=FALSE&amp;creator=factset&amp;display_string=Audit"}</definedName>
    <definedName name="_1779__FDSAUDITLINK__" hidden="1">{"fdsup://Directions/FactSet Auditing Viewer?action=AUDIT_VALUE&amp;DB=129&amp;ID1=53271610&amp;VALUEID=13040&amp;SDATE=200702&amp;PERIODTYPE=QTR_STD&amp;window=popup_no_bar&amp;width=385&amp;height=120&amp;START_MAXIMIZED=FALSE&amp;creator=factset&amp;display_string=Audit"}</definedName>
    <definedName name="_178__FDSAUDITLINK__" hidden="1">{"fdsup://Directions/FactSet Auditing Viewer?action=AUDIT_VALUE&amp;DB=129&amp;ID1=16890510&amp;VALUEID=01001&amp;SDATE=200801&amp;PERIODTYPE=QTR_STD&amp;window=popup_no_bar&amp;width=385&amp;height=120&amp;START_MAXIMIZED=FALSE&amp;creator=factset&amp;display_string=Audit"}</definedName>
    <definedName name="_1780__FDSAUDITLINK__" hidden="1">{"fdsup://Directions/FactSet Auditing Viewer?action=AUDIT_VALUE&amp;DB=129&amp;ID1=46612H40&amp;VALUEID=02101&amp;SDATE=200702&amp;PERIODTYPE=QTR_STD&amp;window=popup_no_bar&amp;width=385&amp;height=120&amp;START_MAXIMIZED=FALSE&amp;creator=factset&amp;display_string=Audit"}</definedName>
    <definedName name="_1781__FDSAUDITLINK__" hidden="1">{"fdsup://Directions/FactSet Auditing Viewer?action=AUDIT_VALUE&amp;DB=129&amp;ID1=46612H40&amp;VALUEID=01001&amp;SDATE=200702&amp;PERIODTYPE=QTR_STD&amp;window=popup_no_bar&amp;width=385&amp;height=120&amp;START_MAXIMIZED=FALSE&amp;creator=factset&amp;display_string=Audit"}</definedName>
    <definedName name="_1782__FDSAUDITLINK__" hidden="1">{"fdsup://Directions/FactSet Auditing Viewer?action=AUDIT_VALUE&amp;DB=129&amp;ID1=46612H40&amp;VALUEID=13040&amp;SDATE=200702&amp;PERIODTYPE=QTR_STD&amp;window=popup_no_bar&amp;width=385&amp;height=120&amp;START_MAXIMIZED=FALSE&amp;creator=factset&amp;display_string=Audit"}</definedName>
    <definedName name="_1783__FDSAUDITLINK__" hidden="1">{"fdsup://Directions/FactSet Auditing Viewer?action=AUDIT_VALUE&amp;DB=129&amp;ID1=36476010&amp;VALUEID=02101&amp;SDATE=200702&amp;PERIODTYPE=QTR_STD&amp;window=popup_no_bar&amp;width=385&amp;height=120&amp;START_MAXIMIZED=FALSE&amp;creator=factset&amp;display_string=Audit"}</definedName>
    <definedName name="_1784__FDSAUDITLINK__" hidden="1">{"fdsup://Directions/FactSet Auditing Viewer?action=AUDIT_VALUE&amp;DB=129&amp;ID1=36476010&amp;VALUEID=01001&amp;SDATE=200702&amp;PERIODTYPE=QTR_STD&amp;window=popup_no_bar&amp;width=385&amp;height=120&amp;START_MAXIMIZED=FALSE&amp;creator=factset&amp;display_string=Audit"}</definedName>
    <definedName name="_1785__FDSAUDITLINK__" hidden="1">{"fdsup://Directions/FactSet Auditing Viewer?action=AUDIT_VALUE&amp;DB=129&amp;ID1=03611510&amp;VALUEID=02101&amp;SDATE=200702&amp;PERIODTYPE=QTR_STD&amp;window=popup_no_bar&amp;width=385&amp;height=120&amp;START_MAXIMIZED=FALSE&amp;creator=factset&amp;display_string=Audit"}</definedName>
    <definedName name="_1786__FDSAUDITLINK__" hidden="1">{"fdsup://Directions/FactSet Auditing Viewer?action=AUDIT_VALUE&amp;DB=129&amp;ID1=03611510&amp;VALUEID=01001&amp;SDATE=200702&amp;PERIODTYPE=QTR_STD&amp;window=popup_no_bar&amp;width=385&amp;height=120&amp;START_MAXIMIZED=FALSE&amp;creator=factset&amp;display_string=Audit"}</definedName>
    <definedName name="_1787__FDSAUDITLINK__" hidden="1">{"fdsup://Directions/FactSet Auditing Viewer?action=AUDIT_VALUE&amp;DB=129&amp;ID1=03611510&amp;VALUEID=13040&amp;SDATE=200702&amp;PERIODTYPE=QTR_STD&amp;window=popup_no_bar&amp;width=385&amp;height=120&amp;START_MAXIMIZED=FALSE&amp;creator=factset&amp;display_string=Audit"}</definedName>
    <definedName name="_1788__FDSAUDITLINK__" hidden="1">{"fdsup://Directions/FactSet Auditing Viewer?action=AUDIT_VALUE&amp;DB=129&amp;ID1=16890510&amp;VALUEID=02101&amp;SDATE=200702&amp;PERIODTYPE=QTR_STD&amp;window=popup_no_bar&amp;width=385&amp;height=120&amp;START_MAXIMIZED=FALSE&amp;creator=factset&amp;display_string=Audit"}</definedName>
    <definedName name="_1789__FDSAUDITLINK__" hidden="1">{"fdsup://Directions/FactSet Auditing Viewer?action=AUDIT_VALUE&amp;DB=129&amp;ID1=16890510&amp;VALUEID=01001&amp;SDATE=200702&amp;PERIODTYPE=QTR_STD&amp;window=popup_no_bar&amp;width=385&amp;height=120&amp;START_MAXIMIZED=FALSE&amp;creator=factset&amp;display_string=Audit"}</definedName>
    <definedName name="_179__FDSAUDITLINK__" hidden="1">{"fdsup://Directions/FactSet Auditing Viewer?action=AUDIT_VALUE&amp;DB=129&amp;ID1=91704710&amp;VALUEID=02101&amp;SDATE=200801&amp;PERIODTYPE=QTR_STD&amp;window=popup_no_bar&amp;width=385&amp;height=120&amp;START_MAXIMIZED=FALSE&amp;creator=factset&amp;display_string=Audit"}</definedName>
    <definedName name="_1790__FDSAUDITLINK__" hidden="1">{"fdsup://Directions/FactSet Auditing Viewer?action=AUDIT_VALUE&amp;DB=129&amp;ID1=91704710&amp;VALUEID=02101&amp;SDATE=200702&amp;PERIODTYPE=QTR_STD&amp;window=popup_no_bar&amp;width=385&amp;height=120&amp;START_MAXIMIZED=FALSE&amp;creator=factset&amp;display_string=Audit"}</definedName>
    <definedName name="_1791__FDSAUDITLINK__" hidden="1">{"fdsup://Directions/FactSet Auditing Viewer?action=AUDIT_VALUE&amp;DB=129&amp;ID1=91704710&amp;VALUEID=01001&amp;SDATE=200702&amp;PERIODTYPE=QTR_STD&amp;window=popup_no_bar&amp;width=385&amp;height=120&amp;START_MAXIMIZED=FALSE&amp;creator=factset&amp;display_string=Audit"}</definedName>
    <definedName name="_1792__FDSAUDITLINK__" hidden="1">{"fdsup://Directions/FactSet Auditing Viewer?action=AUDIT_VALUE&amp;DB=129&amp;ID1=91704710&amp;VALUEID=13040&amp;SDATE=200702&amp;PERIODTYPE=QTR_STD&amp;window=popup_no_bar&amp;width=385&amp;height=120&amp;START_MAXIMIZED=FALSE&amp;creator=factset&amp;display_string=Audit"}</definedName>
    <definedName name="_1793__FDSAUDITLINK__" hidden="1">{"fdsup://Directions/FactSet Auditing Viewer?action=AUDIT_VALUE&amp;DB=129&amp;ID1=02553E10&amp;VALUEID=02101&amp;SDATE=200702&amp;PERIODTYPE=QTR_STD&amp;window=popup_no_bar&amp;width=385&amp;height=120&amp;START_MAXIMIZED=FALSE&amp;creator=factset&amp;display_string=Audit"}</definedName>
    <definedName name="_1794__FDSAUDITLINK__" hidden="1">{"fdsup://Directions/FactSet Auditing Viewer?action=AUDIT_VALUE&amp;DB=129&amp;ID1=02553E10&amp;VALUEID=01001&amp;SDATE=200702&amp;PERIODTYPE=QTR_STD&amp;window=popup_no_bar&amp;width=385&amp;height=120&amp;START_MAXIMIZED=FALSE&amp;creator=factset&amp;display_string=Audit"}</definedName>
    <definedName name="_1795__FDSAUDITLINK__" hidden="1">{"fdsup://Directions/FactSet Auditing Viewer?action=AUDIT_VALUE&amp;DB=129&amp;ID1=02553E10&amp;VALUEID=13040&amp;SDATE=200702&amp;PERIODTYPE=QTR_STD&amp;window=popup_no_bar&amp;width=385&amp;height=120&amp;START_MAXIMIZED=FALSE&amp;creator=factset&amp;display_string=Audit"}</definedName>
    <definedName name="_1796__FDSAUDITLINK__" hidden="1">{"fdsup://Directions/FactSet Auditing Viewer?action=AUDIT_VALUE&amp;DB=129&amp;ID1=00786510&amp;VALUEID=02101&amp;SDATE=200702&amp;PERIODTYPE=QTR_STD&amp;window=popup_no_bar&amp;width=385&amp;height=120&amp;START_MAXIMIZED=FALSE&amp;creator=factset&amp;display_string=Audit"}</definedName>
    <definedName name="_1797__FDSAUDITLINK__" hidden="1">{"fdsup://Directions/FactSet Auditing Viewer?action=AUDIT_VALUE&amp;DB=129&amp;ID1=00786510&amp;VALUEID=01001&amp;SDATE=200702&amp;PERIODTYPE=QTR_STD&amp;window=popup_no_bar&amp;width=385&amp;height=120&amp;START_MAXIMIZED=FALSE&amp;creator=factset&amp;display_string=Audit"}</definedName>
    <definedName name="_1798__FDSAUDITLINK__" hidden="1">{"fdsup://Directions/FactSet Auditing Viewer?action=AUDIT_VALUE&amp;DB=129&amp;ID1=00786510&amp;VALUEID=13040&amp;SDATE=200702&amp;PERIODTYPE=QTR_STD&amp;window=popup_no_bar&amp;width=385&amp;height=120&amp;START_MAXIMIZED=FALSE&amp;creator=factset&amp;display_string=Audit"}</definedName>
    <definedName name="_1799__FDSAUDITLINK__" hidden="1">{"fdsup://Directions/FactSet Auditing Viewer?action=AUDIT_VALUE&amp;DB=129&amp;ID1=00289620&amp;VALUEID=02101&amp;SDATE=200702&amp;PERIODTYPE=QTR_STD&amp;window=popup_no_bar&amp;width=385&amp;height=120&amp;START_MAXIMIZED=FALSE&amp;creator=factset&amp;display_string=Audit"}</definedName>
    <definedName name="_18__FDSAUDITLINK__" hidden="1">{"fdsup://Directions/FactSet Auditing Viewer?action=AUDIT_VALUE&amp;DB=129&amp;ID1=00786510&amp;VALUEID=13040&amp;SDATE=201001&amp;PERIODTYPE=QTR_STD&amp;window=popup_no_bar&amp;width=385&amp;height=120&amp;START_MAXIMIZED=FALSE&amp;creator=factset&amp;display_string=Audit"}</definedName>
    <definedName name="_180__FDSAUDITLINK__" hidden="1">{"fdsup://Directions/FactSet Auditing Viewer?action=AUDIT_VALUE&amp;DB=129&amp;ID1=91704710&amp;VALUEID=01001&amp;SDATE=200801&amp;PERIODTYPE=QTR_STD&amp;window=popup_no_bar&amp;width=385&amp;height=120&amp;START_MAXIMIZED=FALSE&amp;creator=factset&amp;display_string=Audit"}</definedName>
    <definedName name="_1800__FDSAUDITLINK__" hidden="1">{"fdsup://Directions/FactSet Auditing Viewer?action=AUDIT_VALUE&amp;DB=129&amp;ID1=00289620&amp;VALUEID=01001&amp;SDATE=200702&amp;PERIODTYPE=QTR_STD&amp;window=popup_no_bar&amp;width=385&amp;height=120&amp;START_MAXIMIZED=FALSE&amp;creator=factset&amp;display_string=Audit"}</definedName>
    <definedName name="_1801__FDSAUDITLINK__" hidden="1">{"fdsup://Directions/FactSet Auditing Viewer?action=AUDIT_VALUE&amp;DB=129&amp;ID1=87416110&amp;VALUEID=02101&amp;SDATE=200701&amp;PERIODTYPE=QTR_STD&amp;window=popup_no_bar&amp;width=385&amp;height=120&amp;START_MAXIMIZED=FALSE&amp;creator=factset&amp;display_string=Audit"}</definedName>
    <definedName name="_1802__FDSAUDITLINK__" hidden="1">{"fdsup://Directions/FactSet Auditing Viewer?action=AUDIT_VALUE&amp;DB=129&amp;ID1=87416110&amp;VALUEID=01001&amp;SDATE=200701&amp;PERIODTYPE=QTR_STD&amp;window=popup_no_bar&amp;width=385&amp;height=120&amp;START_MAXIMIZED=FALSE&amp;creator=factset&amp;display_string=Audit"}</definedName>
    <definedName name="_1803__FDSAUDITLINK__" hidden="1">{"fdsup://Directions/FactSet Auditing Viewer?action=AUDIT_VALUE&amp;DB=129&amp;ID1=53271610&amp;VALUEID=02101&amp;SDATE=200701&amp;PERIODTYPE=QTR_STD&amp;window=popup_no_bar&amp;width=385&amp;height=120&amp;START_MAXIMIZED=FALSE&amp;creator=factset&amp;display_string=Audit"}</definedName>
    <definedName name="_1804__FDSAUDITLINK__" hidden="1">{"fdsup://Directions/FactSet Auditing Viewer?action=AUDIT_VALUE&amp;DB=129&amp;ID1=53271610&amp;VALUEID=01001&amp;SDATE=200701&amp;PERIODTYPE=QTR_STD&amp;window=popup_no_bar&amp;width=385&amp;height=120&amp;START_MAXIMIZED=FALSE&amp;creator=factset&amp;display_string=Audit"}</definedName>
    <definedName name="_1805__FDSAUDITLINK__" hidden="1">{"fdsup://Directions/FactSet Auditing Viewer?action=AUDIT_VALUE&amp;DB=129&amp;ID1=53271610&amp;VALUEID=13040&amp;SDATE=200701&amp;PERIODTYPE=QTR_STD&amp;window=popup_no_bar&amp;width=385&amp;height=120&amp;START_MAXIMIZED=FALSE&amp;creator=factset&amp;display_string=Audit"}</definedName>
    <definedName name="_1806__FDSAUDITLINK__" hidden="1">{"fdsup://Directions/FactSet Auditing Viewer?action=AUDIT_VALUE&amp;DB=129&amp;ID1=46612H40&amp;VALUEID=02101&amp;SDATE=200701&amp;PERIODTYPE=QTR_STD&amp;window=popup_no_bar&amp;width=385&amp;height=120&amp;START_MAXIMIZED=FALSE&amp;creator=factset&amp;display_string=Audit"}</definedName>
    <definedName name="_1807__FDSAUDITLINK__" hidden="1">{"fdsup://Directions/FactSet Auditing Viewer?action=AUDIT_VALUE&amp;DB=129&amp;ID1=46612H40&amp;VALUEID=01001&amp;SDATE=200701&amp;PERIODTYPE=QTR_STD&amp;window=popup_no_bar&amp;width=385&amp;height=120&amp;START_MAXIMIZED=FALSE&amp;creator=factset&amp;display_string=Audit"}</definedName>
    <definedName name="_1808__FDSAUDITLINK__" hidden="1">{"fdsup://Directions/FactSet Auditing Viewer?action=AUDIT_VALUE&amp;DB=129&amp;ID1=46612H40&amp;VALUEID=13040&amp;SDATE=200701&amp;PERIODTYPE=QTR_STD&amp;window=popup_no_bar&amp;width=385&amp;height=120&amp;START_MAXIMIZED=FALSE&amp;creator=factset&amp;display_string=Audit"}</definedName>
    <definedName name="_1809__FDSAUDITLINK__" hidden="1">{"fdsup://Directions/FactSet Auditing Viewer?action=AUDIT_VALUE&amp;DB=129&amp;ID1=36476010&amp;VALUEID=02101&amp;SDATE=200701&amp;PERIODTYPE=QTR_STD&amp;window=popup_no_bar&amp;width=385&amp;height=120&amp;START_MAXIMIZED=FALSE&amp;creator=factset&amp;display_string=Audit"}</definedName>
    <definedName name="_181__FDSAUDITLINK__" hidden="1">{"fdsup://Directions/FactSet Auditing Viewer?action=AUDIT_VALUE&amp;DB=129&amp;ID1=91704710&amp;VALUEID=13040&amp;SDATE=200801&amp;PERIODTYPE=QTR_STD&amp;window=popup_no_bar&amp;width=385&amp;height=120&amp;START_MAXIMIZED=FALSE&amp;creator=factset&amp;display_string=Audit"}</definedName>
    <definedName name="_1810__FDSAUDITLINK__" hidden="1">{"fdsup://Directions/FactSet Auditing Viewer?action=AUDIT_VALUE&amp;DB=129&amp;ID1=36476010&amp;VALUEID=01001&amp;SDATE=200701&amp;PERIODTYPE=QTR_STD&amp;window=popup_no_bar&amp;width=385&amp;height=120&amp;START_MAXIMIZED=FALSE&amp;creator=factset&amp;display_string=Audit"}</definedName>
    <definedName name="_1811__FDSAUDITLINK__" hidden="1">{"fdsup://Directions/FactSet Auditing Viewer?action=AUDIT_VALUE&amp;DB=129&amp;ID1=36476010&amp;VALUEID=13040&amp;SDATE=200701&amp;PERIODTYPE=QTR_STD&amp;window=popup_no_bar&amp;width=385&amp;height=120&amp;START_MAXIMIZED=FALSE&amp;creator=factset&amp;display_string=Audit"}</definedName>
    <definedName name="_1812__FDSAUDITLINK__" hidden="1">{"fdsup://Directions/FactSet Auditing Viewer?action=AUDIT_VALUE&amp;DB=129&amp;ID1=03611510&amp;VALUEID=02101&amp;SDATE=200701&amp;PERIODTYPE=QTR_STD&amp;window=popup_no_bar&amp;width=385&amp;height=120&amp;START_MAXIMIZED=FALSE&amp;creator=factset&amp;display_string=Audit"}</definedName>
    <definedName name="_1813__FDSAUDITLINK__" hidden="1">{"fdsup://Directions/FactSet Auditing Viewer?action=AUDIT_VALUE&amp;DB=129&amp;ID1=03611510&amp;VALUEID=01001&amp;SDATE=200701&amp;PERIODTYPE=QTR_STD&amp;window=popup_no_bar&amp;width=385&amp;height=120&amp;START_MAXIMIZED=FALSE&amp;creator=factset&amp;display_string=Audit"}</definedName>
    <definedName name="_1814__FDSAUDITLINK__" hidden="1">{"fdsup://Directions/FactSet Auditing Viewer?action=AUDIT_VALUE&amp;DB=129&amp;ID1=03611510&amp;VALUEID=13040&amp;SDATE=200701&amp;PERIODTYPE=QTR_STD&amp;window=popup_no_bar&amp;width=385&amp;height=120&amp;START_MAXIMIZED=FALSE&amp;creator=factset&amp;display_string=Audit"}</definedName>
    <definedName name="_1815__FDSAUDITLINK__" hidden="1">{"fdsup://Directions/FactSet Auditing Viewer?action=AUDIT_VALUE&amp;DB=129&amp;ID1=16890510&amp;VALUEID=02101&amp;SDATE=200701&amp;PERIODTYPE=QTR_STD&amp;window=popup_no_bar&amp;width=385&amp;height=120&amp;START_MAXIMIZED=FALSE&amp;creator=factset&amp;display_string=Audit"}</definedName>
    <definedName name="_1816__FDSAUDITLINK__" hidden="1">{"fdsup://Directions/FactSet Auditing Viewer?action=AUDIT_VALUE&amp;DB=129&amp;ID1=16890510&amp;VALUEID=01001&amp;SDATE=200701&amp;PERIODTYPE=QTR_STD&amp;window=popup_no_bar&amp;width=385&amp;height=120&amp;START_MAXIMIZED=FALSE&amp;creator=factset&amp;display_string=Audit"}</definedName>
    <definedName name="_1817__FDSAUDITLINK__" hidden="1">{"fdsup://Directions/FactSet Auditing Viewer?action=AUDIT_VALUE&amp;DB=129&amp;ID1=91704710&amp;VALUEID=02101&amp;SDATE=200701&amp;PERIODTYPE=QTR_STD&amp;window=popup_no_bar&amp;width=385&amp;height=120&amp;START_MAXIMIZED=FALSE&amp;creator=factset&amp;display_string=Audit"}</definedName>
    <definedName name="_1818__FDSAUDITLINK__" hidden="1">{"fdsup://Directions/FactSet Auditing Viewer?action=AUDIT_VALUE&amp;DB=129&amp;ID1=91704710&amp;VALUEID=01001&amp;SDATE=200701&amp;PERIODTYPE=QTR_STD&amp;window=popup_no_bar&amp;width=385&amp;height=120&amp;START_MAXIMIZED=FALSE&amp;creator=factset&amp;display_string=Audit"}</definedName>
    <definedName name="_1819__FDSAUDITLINK__" hidden="1">{"fdsup://Directions/FactSet Auditing Viewer?action=AUDIT_VALUE&amp;DB=129&amp;ID1=91704710&amp;VALUEID=13040&amp;SDATE=200701&amp;PERIODTYPE=QTR_STD&amp;window=popup_no_bar&amp;width=385&amp;height=120&amp;START_MAXIMIZED=FALSE&amp;creator=factset&amp;display_string=Audit"}</definedName>
    <definedName name="_182__FDSAUDITLINK__" hidden="1">{"fdsup://Directions/FactSet Auditing Viewer?action=AUDIT_VALUE&amp;DB=129&amp;ID1=02553E10&amp;VALUEID=02101&amp;SDATE=200801&amp;PERIODTYPE=QTR_STD&amp;window=popup_no_bar&amp;width=385&amp;height=120&amp;START_MAXIMIZED=FALSE&amp;creator=factset&amp;display_string=Audit"}</definedName>
    <definedName name="_1820__FDSAUDITLINK__" hidden="1">{"fdsup://Directions/FactSet Auditing Viewer?action=AUDIT_VALUE&amp;DB=129&amp;ID1=02553E10&amp;VALUEID=02101&amp;SDATE=200701&amp;PERIODTYPE=QTR_STD&amp;window=popup_no_bar&amp;width=385&amp;height=120&amp;START_MAXIMIZED=FALSE&amp;creator=factset&amp;display_string=Audit"}</definedName>
    <definedName name="_1821__FDSAUDITLINK__" hidden="1">{"fdsup://Directions/FactSet Auditing Viewer?action=AUDIT_VALUE&amp;DB=129&amp;ID1=02553E10&amp;VALUEID=01001&amp;SDATE=200701&amp;PERIODTYPE=QTR_STD&amp;window=popup_no_bar&amp;width=385&amp;height=120&amp;START_MAXIMIZED=FALSE&amp;creator=factset&amp;display_string=Audit"}</definedName>
    <definedName name="_1822__FDSAUDITLINK__" hidden="1">{"fdsup://Directions/FactSet Auditing Viewer?action=AUDIT_VALUE&amp;DB=129&amp;ID1=02553E10&amp;VALUEID=13040&amp;SDATE=200701&amp;PERIODTYPE=QTR_STD&amp;window=popup_no_bar&amp;width=385&amp;height=120&amp;START_MAXIMIZED=FALSE&amp;creator=factset&amp;display_string=Audit"}</definedName>
    <definedName name="_1823__FDSAUDITLINK__" hidden="1">{"fdsup://Directions/FactSet Auditing Viewer?action=AUDIT_VALUE&amp;DB=129&amp;ID1=00786510&amp;VALUEID=02101&amp;SDATE=200701&amp;PERIODTYPE=QTR_STD&amp;window=popup_no_bar&amp;width=385&amp;height=120&amp;START_MAXIMIZED=FALSE&amp;creator=factset&amp;display_string=Audit"}</definedName>
    <definedName name="_1824__FDSAUDITLINK__" hidden="1">{"fdsup://Directions/FactSet Auditing Viewer?action=AUDIT_VALUE&amp;DB=129&amp;ID1=00786510&amp;VALUEID=01001&amp;SDATE=200701&amp;PERIODTYPE=QTR_STD&amp;window=popup_no_bar&amp;width=385&amp;height=120&amp;START_MAXIMIZED=FALSE&amp;creator=factset&amp;display_string=Audit"}</definedName>
    <definedName name="_1825__FDSAUDITLINK__" hidden="1">{"fdsup://Directions/FactSet Auditing Viewer?action=AUDIT_VALUE&amp;DB=129&amp;ID1=00786510&amp;VALUEID=13040&amp;SDATE=200701&amp;PERIODTYPE=QTR_STD&amp;window=popup_no_bar&amp;width=385&amp;height=120&amp;START_MAXIMIZED=FALSE&amp;creator=factset&amp;display_string=Audit"}</definedName>
    <definedName name="_1826__FDSAUDITLINK__" hidden="1">{"fdsup://Directions/FactSet Auditing Viewer?action=AUDIT_VALUE&amp;DB=129&amp;ID1=00289620&amp;VALUEID=02101&amp;SDATE=200701&amp;PERIODTYPE=QTR_STD&amp;window=popup_no_bar&amp;width=385&amp;height=120&amp;START_MAXIMIZED=FALSE&amp;creator=factset&amp;display_string=Audit"}</definedName>
    <definedName name="_1827__FDSAUDITLINK__" hidden="1">{"fdsup://Directions/FactSet Auditing Viewer?action=AUDIT_VALUE&amp;DB=129&amp;ID1=00289620&amp;VALUEID=01001&amp;SDATE=200701&amp;PERIODTYPE=QTR_STD&amp;window=popup_no_bar&amp;width=385&amp;height=120&amp;START_MAXIMIZED=FALSE&amp;creator=factset&amp;display_string=Audit"}</definedName>
    <definedName name="_1828__FDSAUDITLINK__" hidden="1">{"fdsup://Directions/FactSet Auditing Viewer?action=AUDIT_VALUE&amp;DB=129&amp;ID1=00289620&amp;VALUEID=13040&amp;SDATE=200701&amp;PERIODTYPE=QTR_STD&amp;window=popup_no_bar&amp;width=385&amp;height=120&amp;START_MAXIMIZED=FALSE&amp;creator=factset&amp;display_string=Audit"}</definedName>
    <definedName name="_1829__FDSAUDITLINK__" hidden="1">{"fdsup://Directions/FactSet Auditing Viewer?action=AUDIT_VALUE&amp;DB=129&amp;ID1=87416110&amp;VALUEID=01001&amp;SDATE=200604&amp;PERIODTYPE=QTR_STD&amp;window=popup_no_bar&amp;width=385&amp;height=120&amp;START_MAXIMIZED=FALSE&amp;creator=factset&amp;display_string=Audit"}</definedName>
    <definedName name="_183__FDSAUDITLINK__" hidden="1">{"fdsup://Directions/FactSet Auditing Viewer?action=AUDIT_VALUE&amp;DB=129&amp;ID1=02553E10&amp;VALUEID=01001&amp;SDATE=200801&amp;PERIODTYPE=QTR_STD&amp;window=popup_no_bar&amp;width=385&amp;height=120&amp;START_MAXIMIZED=FALSE&amp;creator=factset&amp;display_string=Audit"}</definedName>
    <definedName name="_1830__FDSAUDITLINK__" hidden="1">{"fdsup://Directions/FactSet Auditing Viewer?action=AUDIT_VALUE&amp;DB=129&amp;ID1=46612H40&amp;VALUEID=01001&amp;SDATE=200604&amp;PERIODTYPE=QTR_STD&amp;window=popup_no_bar&amp;width=385&amp;height=120&amp;START_MAXIMIZED=FALSE&amp;creator=factset&amp;display_string=Audit"}</definedName>
    <definedName name="_1831__FDSAUDITLINK__" hidden="1">{"fdsup://Directions/FactSet Auditing Viewer?action=AUDIT_VALUE&amp;DB=129&amp;ID1=36476010&amp;VALUEID=01001&amp;SDATE=200604&amp;PERIODTYPE=QTR_STD&amp;window=popup_no_bar&amp;width=385&amp;height=120&amp;START_MAXIMIZED=FALSE&amp;creator=factset&amp;display_string=Audit"}</definedName>
    <definedName name="_1832__FDSAUDITLINK__" hidden="1">{"fdsup://Directions/FactSet Auditing Viewer?action=AUDIT_VALUE&amp;DB=129&amp;ID1=03611510&amp;VALUEID=01001&amp;SDATE=200604&amp;PERIODTYPE=QTR_STD&amp;window=popup_no_bar&amp;width=385&amp;height=120&amp;START_MAXIMIZED=FALSE&amp;creator=factset&amp;display_string=Audit"}</definedName>
    <definedName name="_1833__FDSAUDITLINK__" hidden="1">{"fdsup://Directions/FactSet Auditing Viewer?action=AUDIT_VALUE&amp;DB=129&amp;ID1=16890510&amp;VALUEID=01001&amp;SDATE=200604&amp;PERIODTYPE=QTR_STD&amp;window=popup_no_bar&amp;width=385&amp;height=120&amp;START_MAXIMIZED=FALSE&amp;creator=factset&amp;display_string=Audit"}</definedName>
    <definedName name="_1834__FDSAUDITLINK__" hidden="1">{"fdsup://directions/FAT Viewer?action=UPDATE&amp;creator=factset&amp;DYN_ARGS=TRUE&amp;DOC_NAME=FAT:FQL_AUDITING_CLIENT_TEMPLATE.FAT&amp;display_string=Audit&amp;VAR:KEY=BONMBKFGLQ&amp;VAR:QUERY=RkZfUlRfU0ZfVE9UX0dST1NTKFFUUiwtMTMp&amp;WINDOW=FIRST_POPUP&amp;HEIGHT=450&amp;WIDTH=450&amp;START_MA","XIMIZED=FALSE&amp;VAR:CALENDAR=US&amp;VAR:SYMBOL=AEO&amp;VAR:INDEX=0"}</definedName>
    <definedName name="_1835__FDSAUDITLINK__" hidden="1">{"fdsup://Directions/FactSet Auditing Viewer?action=AUDIT_VALUE&amp;DB=129&amp;ID1=00786510&amp;VALUEID=01001&amp;SDATE=200604&amp;PERIODTYPE=QTR_STD&amp;window=popup_no_bar&amp;width=385&amp;height=120&amp;START_MAXIMIZED=FALSE&amp;creator=factset&amp;display_string=Audit"}</definedName>
    <definedName name="_1836__FDSAUDITLINK__" hidden="1">{"fdsup://Directions/FactSet Auditing Viewer?action=AUDIT_VALUE&amp;DB=129&amp;ID1=87416110&amp;VALUEID=02101&amp;SDATE=200603&amp;PERIODTYPE=QTR_STD&amp;window=popup_no_bar&amp;width=385&amp;height=120&amp;START_MAXIMIZED=FALSE&amp;creator=factset&amp;display_string=Audit"}</definedName>
    <definedName name="_1837__FDSAUDITLINK__" hidden="1">{"fdsup://Directions/FactSet Auditing Viewer?action=AUDIT_VALUE&amp;DB=129&amp;ID1=87416110&amp;VALUEID=01001&amp;SDATE=200603&amp;PERIODTYPE=QTR_STD&amp;window=popup_no_bar&amp;width=385&amp;height=120&amp;START_MAXIMIZED=FALSE&amp;creator=factset&amp;display_string=Audit"}</definedName>
    <definedName name="_1838__FDSAUDITLINK__" hidden="1">{"fdsup://Directions/FactSet Auditing Viewer?action=AUDIT_VALUE&amp;DB=129&amp;ID1=53271610&amp;VALUEID=02101&amp;SDATE=200603&amp;PERIODTYPE=QTR_STD&amp;window=popup_no_bar&amp;width=385&amp;height=120&amp;START_MAXIMIZED=FALSE&amp;creator=factset&amp;display_string=Audit"}</definedName>
    <definedName name="_1839__FDSAUDITLINK__" hidden="1">{"fdsup://Directions/FactSet Auditing Viewer?action=AUDIT_VALUE&amp;DB=129&amp;ID1=53271610&amp;VALUEID=01001&amp;SDATE=200603&amp;PERIODTYPE=QTR_STD&amp;window=popup_no_bar&amp;width=385&amp;height=120&amp;START_MAXIMIZED=FALSE&amp;creator=factset&amp;display_string=Audit"}</definedName>
    <definedName name="_184__FDSAUDITLINK__" hidden="1">{"fdsup://Directions/FactSet Auditing Viewer?action=AUDIT_VALUE&amp;DB=129&amp;ID1=02553E10&amp;VALUEID=13040&amp;SDATE=200801&amp;PERIODTYPE=QTR_STD&amp;window=popup_no_bar&amp;width=385&amp;height=120&amp;START_MAXIMIZED=FALSE&amp;creator=factset&amp;display_string=Audit"}</definedName>
    <definedName name="_1840__FDSAUDITLINK__" hidden="1">{"fdsup://Directions/FactSet Auditing Viewer?action=AUDIT_VALUE&amp;DB=129&amp;ID1=53271610&amp;VALUEID=13040&amp;SDATE=200603&amp;PERIODTYPE=QTR_STD&amp;window=popup_no_bar&amp;width=385&amp;height=120&amp;START_MAXIMIZED=FALSE&amp;creator=factset&amp;display_string=Audit"}</definedName>
    <definedName name="_1841__FDSAUDITLINK__" hidden="1">{"fdsup://Directions/FactSet Auditing Viewer?action=AUDIT_VALUE&amp;DB=129&amp;ID1=46612H40&amp;VALUEID=02101&amp;SDATE=200603&amp;PERIODTYPE=QTR_STD&amp;window=popup_no_bar&amp;width=385&amp;height=120&amp;START_MAXIMIZED=FALSE&amp;creator=factset&amp;display_string=Audit"}</definedName>
    <definedName name="_1842__FDSAUDITLINK__" hidden="1">{"fdsup://Directions/FactSet Auditing Viewer?action=AUDIT_VALUE&amp;DB=129&amp;ID1=46612H40&amp;VALUEID=01001&amp;SDATE=200603&amp;PERIODTYPE=QTR_STD&amp;window=popup_no_bar&amp;width=385&amp;height=120&amp;START_MAXIMIZED=FALSE&amp;creator=factset&amp;display_string=Audit"}</definedName>
    <definedName name="_1843__FDSAUDITLINK__" hidden="1">{"fdsup://Directions/FactSet Auditing Viewer?action=AUDIT_VALUE&amp;DB=129&amp;ID1=46612H40&amp;VALUEID=13040&amp;SDATE=200603&amp;PERIODTYPE=QTR_STD&amp;window=popup_no_bar&amp;width=385&amp;height=120&amp;START_MAXIMIZED=FALSE&amp;creator=factset&amp;display_string=Audit"}</definedName>
    <definedName name="_1844__FDSAUDITLINK__" hidden="1">{"fdsup://Directions/FactSet Auditing Viewer?action=AUDIT_VALUE&amp;DB=129&amp;ID1=36476010&amp;VALUEID=02101&amp;SDATE=200603&amp;PERIODTYPE=QTR_STD&amp;window=popup_no_bar&amp;width=385&amp;height=120&amp;START_MAXIMIZED=FALSE&amp;creator=factset&amp;display_string=Audit"}</definedName>
    <definedName name="_1845__FDSAUDITLINK__" hidden="1">{"fdsup://Directions/FactSet Auditing Viewer?action=AUDIT_VALUE&amp;DB=129&amp;ID1=36476010&amp;VALUEID=01001&amp;SDATE=200603&amp;PERIODTYPE=QTR_STD&amp;window=popup_no_bar&amp;width=385&amp;height=120&amp;START_MAXIMIZED=FALSE&amp;creator=factset&amp;display_string=Audit"}</definedName>
    <definedName name="_1846__FDSAUDITLINK__" hidden="1">{"fdsup://Directions/FactSet Auditing Viewer?action=AUDIT_VALUE&amp;DB=129&amp;ID1=36476010&amp;VALUEID=13040&amp;SDATE=200603&amp;PERIODTYPE=QTR_STD&amp;window=popup_no_bar&amp;width=385&amp;height=120&amp;START_MAXIMIZED=FALSE&amp;creator=factset&amp;display_string=Audit"}</definedName>
    <definedName name="_1847__FDSAUDITLINK__" hidden="1">{"fdsup://Directions/FactSet Auditing Viewer?action=AUDIT_VALUE&amp;DB=129&amp;ID1=03611510&amp;VALUEID=02101&amp;SDATE=200603&amp;PERIODTYPE=QTR_STD&amp;window=popup_no_bar&amp;width=385&amp;height=120&amp;START_MAXIMIZED=FALSE&amp;creator=factset&amp;display_string=Audit"}</definedName>
    <definedName name="_1848__FDSAUDITLINK__" hidden="1">{"fdsup://Directions/FactSet Auditing Viewer?action=AUDIT_VALUE&amp;DB=129&amp;ID1=03611510&amp;VALUEID=01001&amp;SDATE=200603&amp;PERIODTYPE=QTR_STD&amp;window=popup_no_bar&amp;width=385&amp;height=120&amp;START_MAXIMIZED=FALSE&amp;creator=factset&amp;display_string=Audit"}</definedName>
    <definedName name="_1849__FDSAUDITLINK__" hidden="1">{"fdsup://Directions/FactSet Auditing Viewer?action=AUDIT_VALUE&amp;DB=129&amp;ID1=03611510&amp;VALUEID=13040&amp;SDATE=200603&amp;PERIODTYPE=QTR_STD&amp;window=popup_no_bar&amp;width=385&amp;height=120&amp;START_MAXIMIZED=FALSE&amp;creator=factset&amp;display_string=Audit"}</definedName>
    <definedName name="_185__FDSAUDITLINK__" hidden="1">{"fdsup://Directions/FactSet Auditing Viewer?action=AUDIT_VALUE&amp;DB=129&amp;ID1=00786510&amp;VALUEID=02101&amp;SDATE=200801&amp;PERIODTYPE=QTR_STD&amp;window=popup_no_bar&amp;width=385&amp;height=120&amp;START_MAXIMIZED=FALSE&amp;creator=factset&amp;display_string=Audit"}</definedName>
    <definedName name="_1850__FDSAUDITLINK__" hidden="1">{"fdsup://Directions/FactSet Auditing Viewer?action=AUDIT_VALUE&amp;DB=129&amp;ID1=16890510&amp;VALUEID=02101&amp;SDATE=200603&amp;PERIODTYPE=QTR_STD&amp;window=popup_no_bar&amp;width=385&amp;height=120&amp;START_MAXIMIZED=FALSE&amp;creator=factset&amp;display_string=Audit"}</definedName>
    <definedName name="_1851__FDSAUDITLINK__" hidden="1">{"fdsup://Directions/FactSet Auditing Viewer?action=AUDIT_VALUE&amp;DB=129&amp;ID1=16890510&amp;VALUEID=01001&amp;SDATE=200603&amp;PERIODTYPE=QTR_STD&amp;window=popup_no_bar&amp;width=385&amp;height=120&amp;START_MAXIMIZED=FALSE&amp;creator=factset&amp;display_string=Audit"}</definedName>
    <definedName name="_1852__FDSAUDITLINK__" hidden="1">{"fdsup://Directions/FactSet Auditing Viewer?action=AUDIT_VALUE&amp;DB=129&amp;ID1=91704710&amp;VALUEID=02101&amp;SDATE=200603&amp;PERIODTYPE=QTR_STD&amp;window=popup_no_bar&amp;width=385&amp;height=120&amp;START_MAXIMIZED=FALSE&amp;creator=factset&amp;display_string=Audit"}</definedName>
    <definedName name="_1853__FDSAUDITLINK__" hidden="1">{"fdsup://Directions/FactSet Auditing Viewer?action=AUDIT_VALUE&amp;DB=129&amp;ID1=91704710&amp;VALUEID=01001&amp;SDATE=200603&amp;PERIODTYPE=QTR_STD&amp;window=popup_no_bar&amp;width=385&amp;height=120&amp;START_MAXIMIZED=FALSE&amp;creator=factset&amp;display_string=Audit"}</definedName>
    <definedName name="_1854__FDSAUDITLINK__" hidden="1">{"fdsup://Directions/FactSet Auditing Viewer?action=AUDIT_VALUE&amp;DB=129&amp;ID1=91704710&amp;VALUEID=13040&amp;SDATE=200603&amp;PERIODTYPE=QTR_STD&amp;window=popup_no_bar&amp;width=385&amp;height=120&amp;START_MAXIMIZED=FALSE&amp;creator=factset&amp;display_string=Audit"}</definedName>
    <definedName name="_1855__FDSAUDITLINK__" hidden="1">{"fdsup://directions/FAT Viewer?action=UPDATE&amp;creator=factset&amp;DYN_ARGS=TRUE&amp;DOC_NAME=FAT:FQL_AUDITING_CLIENT_TEMPLATE.FAT&amp;display_string=Audit&amp;VAR:KEY=NGXYHSLMBY&amp;VAR:QUERY=RkZfUlRfU0ZfVE9UX0dST1NTKFFUUiwtMTQp&amp;WINDOW=FIRST_POPUP&amp;HEIGHT=450&amp;WIDTH=450&amp;START_MA","XIMIZED=FALSE&amp;VAR:CALENDAR=US&amp;VAR:SYMBOL=AEO&amp;VAR:INDEX=0"}</definedName>
    <definedName name="_1856__FDSAUDITLINK__" hidden="1">{"fdsup://Directions/FactSet Auditing Viewer?action=AUDIT_VALUE&amp;DB=129&amp;ID1=00786510&amp;VALUEID=02101&amp;SDATE=200603&amp;PERIODTYPE=QTR_STD&amp;window=popup_no_bar&amp;width=385&amp;height=120&amp;START_MAXIMIZED=FALSE&amp;creator=factset&amp;display_string=Audit"}</definedName>
    <definedName name="_1857__FDSAUDITLINK__" hidden="1">{"fdsup://Directions/FactSet Auditing Viewer?action=AUDIT_VALUE&amp;DB=129&amp;ID1=00786510&amp;VALUEID=01001&amp;SDATE=200603&amp;PERIODTYPE=QTR_STD&amp;window=popup_no_bar&amp;width=385&amp;height=120&amp;START_MAXIMIZED=FALSE&amp;creator=factset&amp;display_string=Audit"}</definedName>
    <definedName name="_1858__FDSAUDITLINK__" hidden="1">{"fdsup://Directions/FactSet Auditing Viewer?action=AUDIT_VALUE&amp;DB=129&amp;ID1=00786510&amp;VALUEID=13040&amp;SDATE=200603&amp;PERIODTYPE=QTR_STD&amp;window=popup_no_bar&amp;width=385&amp;height=120&amp;START_MAXIMIZED=FALSE&amp;creator=factset&amp;display_string=Audit"}</definedName>
    <definedName name="_1859__FDSAUDITLINK__" hidden="1">{"fdsup://Directions/FactSet Auditing Viewer?action=AUDIT_VALUE&amp;DB=129&amp;ID1=00289620&amp;VALUEID=02101&amp;SDATE=200603&amp;PERIODTYPE=QTR_STD&amp;window=popup_no_bar&amp;width=385&amp;height=120&amp;START_MAXIMIZED=FALSE&amp;creator=factset&amp;display_string=Audit"}</definedName>
    <definedName name="_186__FDSAUDITLINK__" hidden="1">{"fdsup://Directions/FactSet Auditing Viewer?action=AUDIT_VALUE&amp;DB=129&amp;ID1=00786510&amp;VALUEID=01001&amp;SDATE=200801&amp;PERIODTYPE=QTR_STD&amp;window=popup_no_bar&amp;width=385&amp;height=120&amp;START_MAXIMIZED=FALSE&amp;creator=factset&amp;display_string=Audit"}</definedName>
    <definedName name="_1860__FDSAUDITLINK__" hidden="1">{"fdsup://Directions/FactSet Auditing Viewer?action=AUDIT_VALUE&amp;DB=129&amp;ID1=00289620&amp;VALUEID=01001&amp;SDATE=200603&amp;PERIODTYPE=QTR_STD&amp;window=popup_no_bar&amp;width=385&amp;height=120&amp;START_MAXIMIZED=FALSE&amp;creator=factset&amp;display_string=Audit"}</definedName>
    <definedName name="_1861__FDSAUDITLINK__" hidden="1">{"fdsup://Directions/FactSet Auditing Viewer?action=AUDIT_VALUE&amp;DB=129&amp;ID1=00289620&amp;VALUEID=13040&amp;SDATE=200603&amp;PERIODTYPE=QTR_STD&amp;window=popup_no_bar&amp;width=385&amp;height=120&amp;START_MAXIMIZED=FALSE&amp;creator=factset&amp;display_string=Audit"}</definedName>
    <definedName name="_1862__FDSAUDITLINK__" hidden="1">{"fdsup://Directions/FactSet Auditing Viewer?action=AUDIT_VALUE&amp;DB=129&amp;ID1=87416110&amp;VALUEID=02101&amp;SDATE=200602&amp;PERIODTYPE=QTR_STD&amp;window=popup_no_bar&amp;width=385&amp;height=120&amp;START_MAXIMIZED=FALSE&amp;creator=factset&amp;display_string=Audit"}</definedName>
    <definedName name="_1863__FDSAUDITLINK__" hidden="1">{"fdsup://Directions/FactSet Auditing Viewer?action=AUDIT_VALUE&amp;DB=129&amp;ID1=87416110&amp;VALUEID=01001&amp;SDATE=200602&amp;PERIODTYPE=QTR_STD&amp;window=popup_no_bar&amp;width=385&amp;height=120&amp;START_MAXIMIZED=FALSE&amp;creator=factset&amp;display_string=Audit"}</definedName>
    <definedName name="_1864__FDSAUDITLINK__" hidden="1">{"fdsup://Directions/FactSet Auditing Viewer?action=AUDIT_VALUE&amp;DB=129&amp;ID1=53271610&amp;VALUEID=02101&amp;SDATE=200602&amp;PERIODTYPE=QTR_STD&amp;window=popup_no_bar&amp;width=385&amp;height=120&amp;START_MAXIMIZED=FALSE&amp;creator=factset&amp;display_string=Audit"}</definedName>
    <definedName name="_1865__FDSAUDITLINK__" hidden="1">{"fdsup://Directions/FactSet Auditing Viewer?action=AUDIT_VALUE&amp;DB=129&amp;ID1=53271610&amp;VALUEID=01001&amp;SDATE=200602&amp;PERIODTYPE=QTR_STD&amp;window=popup_no_bar&amp;width=385&amp;height=120&amp;START_MAXIMIZED=FALSE&amp;creator=factset&amp;display_string=Audit"}</definedName>
    <definedName name="_1866__FDSAUDITLINK__" hidden="1">{"fdsup://Directions/FactSet Auditing Viewer?action=AUDIT_VALUE&amp;DB=129&amp;ID1=53271610&amp;VALUEID=13040&amp;SDATE=200602&amp;PERIODTYPE=QTR_STD&amp;window=popup_no_bar&amp;width=385&amp;height=120&amp;START_MAXIMIZED=FALSE&amp;creator=factset&amp;display_string=Audit"}</definedName>
    <definedName name="_1867__FDSAUDITLINK__" hidden="1">{"fdsup://Directions/FactSet Auditing Viewer?action=AUDIT_VALUE&amp;DB=129&amp;ID1=46612H40&amp;VALUEID=02101&amp;SDATE=200602&amp;PERIODTYPE=QTR_STD&amp;window=popup_no_bar&amp;width=385&amp;height=120&amp;START_MAXIMIZED=FALSE&amp;creator=factset&amp;display_string=Audit"}</definedName>
    <definedName name="_1868__FDSAUDITLINK__" hidden="1">{"fdsup://Directions/FactSet Auditing Viewer?action=AUDIT_VALUE&amp;DB=129&amp;ID1=46612H40&amp;VALUEID=01001&amp;SDATE=200602&amp;PERIODTYPE=QTR_STD&amp;window=popup_no_bar&amp;width=385&amp;height=120&amp;START_MAXIMIZED=FALSE&amp;creator=factset&amp;display_string=Audit"}</definedName>
    <definedName name="_1869__FDSAUDITLINK__" hidden="1">{"fdsup://Directions/FactSet Auditing Viewer?action=AUDIT_VALUE&amp;DB=129&amp;ID1=46612H40&amp;VALUEID=13040&amp;SDATE=200602&amp;PERIODTYPE=QTR_STD&amp;window=popup_no_bar&amp;width=385&amp;height=120&amp;START_MAXIMIZED=FALSE&amp;creator=factset&amp;display_string=Audit"}</definedName>
    <definedName name="_187__FDSAUDITLINK__" hidden="1">{"fdsup://Directions/FactSet Auditing Viewer?action=AUDIT_VALUE&amp;DB=129&amp;ID1=00786510&amp;VALUEID=13040&amp;SDATE=200801&amp;PERIODTYPE=QTR_STD&amp;window=popup_no_bar&amp;width=385&amp;height=120&amp;START_MAXIMIZED=FALSE&amp;creator=factset&amp;display_string=Audit"}</definedName>
    <definedName name="_1870__FDSAUDITLINK__" hidden="1">{"fdsup://Directions/FactSet Auditing Viewer?action=AUDIT_VALUE&amp;DB=129&amp;ID1=36476010&amp;VALUEID=02101&amp;SDATE=200602&amp;PERIODTYPE=QTR_STD&amp;window=popup_no_bar&amp;width=385&amp;height=120&amp;START_MAXIMIZED=FALSE&amp;creator=factset&amp;display_string=Audit"}</definedName>
    <definedName name="_1871__FDSAUDITLINK__" hidden="1">{"fdsup://Directions/FactSet Auditing Viewer?action=AUDIT_VALUE&amp;DB=129&amp;ID1=36476010&amp;VALUEID=01001&amp;SDATE=200602&amp;PERIODTYPE=QTR_STD&amp;window=popup_no_bar&amp;width=385&amp;height=120&amp;START_MAXIMIZED=FALSE&amp;creator=factset&amp;display_string=Audit"}</definedName>
    <definedName name="_1872__FDSAUDITLINK__" hidden="1">{"fdsup://Directions/FactSet Auditing Viewer?action=AUDIT_VALUE&amp;DB=129&amp;ID1=36476010&amp;VALUEID=13040&amp;SDATE=200602&amp;PERIODTYPE=QTR_STD&amp;window=popup_no_bar&amp;width=385&amp;height=120&amp;START_MAXIMIZED=FALSE&amp;creator=factset&amp;display_string=Audit"}</definedName>
    <definedName name="_1873__FDSAUDITLINK__" hidden="1">{"fdsup://Directions/FactSet Auditing Viewer?action=AUDIT_VALUE&amp;DB=129&amp;ID1=03611510&amp;VALUEID=02101&amp;SDATE=200602&amp;PERIODTYPE=QTR_STD&amp;window=popup_no_bar&amp;width=385&amp;height=120&amp;START_MAXIMIZED=FALSE&amp;creator=factset&amp;display_string=Audit"}</definedName>
    <definedName name="_1874__FDSAUDITLINK__" hidden="1">{"fdsup://Directions/FactSet Auditing Viewer?action=AUDIT_VALUE&amp;DB=129&amp;ID1=03611510&amp;VALUEID=01001&amp;SDATE=200602&amp;PERIODTYPE=QTR_STD&amp;window=popup_no_bar&amp;width=385&amp;height=120&amp;START_MAXIMIZED=FALSE&amp;creator=factset&amp;display_string=Audit"}</definedName>
    <definedName name="_1875__FDSAUDITLINK__" hidden="1">{"fdsup://Directions/FactSet Auditing Viewer?action=AUDIT_VALUE&amp;DB=129&amp;ID1=03611510&amp;VALUEID=13040&amp;SDATE=200602&amp;PERIODTYPE=QTR_STD&amp;window=popup_no_bar&amp;width=385&amp;height=120&amp;START_MAXIMIZED=FALSE&amp;creator=factset&amp;display_string=Audit"}</definedName>
    <definedName name="_1876__FDSAUDITLINK__" hidden="1">{"fdsup://Directions/FactSet Auditing Viewer?action=AUDIT_VALUE&amp;DB=129&amp;ID1=16890510&amp;VALUEID=02101&amp;SDATE=200602&amp;PERIODTYPE=QTR_STD&amp;window=popup_no_bar&amp;width=385&amp;height=120&amp;START_MAXIMIZED=FALSE&amp;creator=factset&amp;display_string=Audit"}</definedName>
    <definedName name="_1877__FDSAUDITLINK__" hidden="1">{"fdsup://Directions/FactSet Auditing Viewer?action=AUDIT_VALUE&amp;DB=129&amp;ID1=16890510&amp;VALUEID=01001&amp;SDATE=200602&amp;PERIODTYPE=QTR_STD&amp;window=popup_no_bar&amp;width=385&amp;height=120&amp;START_MAXIMIZED=FALSE&amp;creator=factset&amp;display_string=Audit"}</definedName>
    <definedName name="_1878__FDSAUDITLINK__" hidden="1">{"fdsup://Directions/FactSet Auditing Viewer?action=AUDIT_VALUE&amp;DB=129&amp;ID1=91704710&amp;VALUEID=02101&amp;SDATE=200602&amp;PERIODTYPE=QTR_STD&amp;window=popup_no_bar&amp;width=385&amp;height=120&amp;START_MAXIMIZED=FALSE&amp;creator=factset&amp;display_string=Audit"}</definedName>
    <definedName name="_1879__FDSAUDITLINK__" hidden="1">{"fdsup://Directions/FactSet Auditing Viewer?action=AUDIT_VALUE&amp;DB=129&amp;ID1=91704710&amp;VALUEID=01001&amp;SDATE=200602&amp;PERIODTYPE=QTR_STD&amp;window=popup_no_bar&amp;width=385&amp;height=120&amp;START_MAXIMIZED=FALSE&amp;creator=factset&amp;display_string=Audit"}</definedName>
    <definedName name="_188__FDSAUDITLINK__" hidden="1">{"fdsup://Directions/FactSet Auditing Viewer?action=AUDIT_VALUE&amp;DB=129&amp;ID1=00289620&amp;VALUEID=02101&amp;SDATE=200801&amp;PERIODTYPE=QTR_STD&amp;window=popup_no_bar&amp;width=385&amp;height=120&amp;START_MAXIMIZED=FALSE&amp;creator=factset&amp;display_string=Audit"}</definedName>
    <definedName name="_1880__FDSAUDITLINK__" hidden="1">{"fdsup://Directions/FactSet Auditing Viewer?action=AUDIT_VALUE&amp;DB=129&amp;ID1=91704710&amp;VALUEID=13040&amp;SDATE=200602&amp;PERIODTYPE=QTR_STD&amp;window=popup_no_bar&amp;width=385&amp;height=120&amp;START_MAXIMIZED=FALSE&amp;creator=factset&amp;display_string=Audit"}</definedName>
    <definedName name="_1881__FDSAUDITLINK__" hidden="1">{"fdsup://directions/FAT Viewer?action=UPDATE&amp;creator=factset&amp;DYN_ARGS=TRUE&amp;DOC_NAME=FAT:FQL_AUDITING_CLIENT_TEMPLATE.FAT&amp;display_string=Audit&amp;VAR:KEY=VUNQJUHWBQ&amp;VAR:QUERY=RkZfUlRfU0ZfVE9UX0dST1NTKFFUUiwtMTUp&amp;WINDOW=FIRST_POPUP&amp;HEIGHT=450&amp;WIDTH=450&amp;START_MA","XIMIZED=FALSE&amp;VAR:CALENDAR=US&amp;VAR:SYMBOL=AEO&amp;VAR:INDEX=0"}</definedName>
    <definedName name="_1882__FDSAUDITLINK__" hidden="1">{"fdsup://Directions/FactSet Auditing Viewer?action=AUDIT_VALUE&amp;DB=129&amp;ID1=00786510&amp;VALUEID=02101&amp;SDATE=200602&amp;PERIODTYPE=QTR_STD&amp;window=popup_no_bar&amp;width=385&amp;height=120&amp;START_MAXIMIZED=FALSE&amp;creator=factset&amp;display_string=Audit"}</definedName>
    <definedName name="_1883__FDSAUDITLINK__" hidden="1">{"fdsup://Directions/FactSet Auditing Viewer?action=AUDIT_VALUE&amp;DB=129&amp;ID1=00786510&amp;VALUEID=01001&amp;SDATE=200602&amp;PERIODTYPE=QTR_STD&amp;window=popup_no_bar&amp;width=385&amp;height=120&amp;START_MAXIMIZED=FALSE&amp;creator=factset&amp;display_string=Audit"}</definedName>
    <definedName name="_1884__FDSAUDITLINK__" hidden="1">{"fdsup://Directions/FactSet Auditing Viewer?action=AUDIT_VALUE&amp;DB=129&amp;ID1=00786510&amp;VALUEID=13040&amp;SDATE=200602&amp;PERIODTYPE=QTR_STD&amp;window=popup_no_bar&amp;width=385&amp;height=120&amp;START_MAXIMIZED=FALSE&amp;creator=factset&amp;display_string=Audit"}</definedName>
    <definedName name="_1885__FDSAUDITLINK__" hidden="1">{"fdsup://Directions/FactSet Auditing Viewer?action=AUDIT_VALUE&amp;DB=129&amp;ID1=00289620&amp;VALUEID=02101&amp;SDATE=200602&amp;PERIODTYPE=QTR_STD&amp;window=popup_no_bar&amp;width=385&amp;height=120&amp;START_MAXIMIZED=FALSE&amp;creator=factset&amp;display_string=Audit"}</definedName>
    <definedName name="_1886__FDSAUDITLINK__" hidden="1">{"fdsup://Directions/FactSet Auditing Viewer?action=AUDIT_VALUE&amp;DB=129&amp;ID1=00289620&amp;VALUEID=01001&amp;SDATE=200602&amp;PERIODTYPE=QTR_STD&amp;window=popup_no_bar&amp;width=385&amp;height=120&amp;START_MAXIMIZED=FALSE&amp;creator=factset&amp;display_string=Audit"}</definedName>
    <definedName name="_1887__FDSAUDITLINK__" hidden="1">{"fdsup://Directions/FactSet Auditing Viewer?action=AUDIT_VALUE&amp;DB=129&amp;ID1=00289620&amp;VALUEID=13040&amp;SDATE=200602&amp;PERIODTYPE=QTR_STD&amp;window=popup_no_bar&amp;width=385&amp;height=120&amp;START_MAXIMIZED=FALSE&amp;creator=factset&amp;display_string=Audit"}</definedName>
    <definedName name="_1888__FDSAUDITLINK__" hidden="1">{"fdsup://Directions/FactSet Auditing Viewer?action=AUDIT_VALUE&amp;DB=129&amp;ID1=87416110&amp;VALUEID=02101&amp;SDATE=200601&amp;PERIODTYPE=QTR_STD&amp;window=popup_no_bar&amp;width=385&amp;height=120&amp;START_MAXIMIZED=FALSE&amp;creator=factset&amp;display_string=Audit"}</definedName>
    <definedName name="_1889__FDSAUDITLINK__" hidden="1">{"fdsup://Directions/FactSet Auditing Viewer?action=AUDIT_VALUE&amp;DB=129&amp;ID1=87416110&amp;VALUEID=01001&amp;SDATE=200601&amp;PERIODTYPE=QTR_STD&amp;window=popup_no_bar&amp;width=385&amp;height=120&amp;START_MAXIMIZED=FALSE&amp;creator=factset&amp;display_string=Audit"}</definedName>
    <definedName name="_189__FDSAUDITLINK__" hidden="1">{"fdsup://Directions/FactSet Auditing Viewer?action=AUDIT_VALUE&amp;DB=129&amp;ID1=00289620&amp;VALUEID=01001&amp;SDATE=200801&amp;PERIODTYPE=QTR_STD&amp;window=popup_no_bar&amp;width=385&amp;height=120&amp;START_MAXIMIZED=FALSE&amp;creator=factset&amp;display_string=Audit"}</definedName>
    <definedName name="_1890__FDSAUDITLINK__" hidden="1">{"fdsup://Directions/FactSet Auditing Viewer?action=AUDIT_VALUE&amp;DB=129&amp;ID1=87416110&amp;VALUEID=13040&amp;SDATE=200601&amp;PERIODTYPE=QTR_STD&amp;window=popup_no_bar&amp;width=385&amp;height=120&amp;START_MAXIMIZED=FALSE&amp;creator=factset&amp;display_string=Audit"}</definedName>
    <definedName name="_1891__FDSAUDITLINK__" hidden="1">{"fdsup://directions/FAT Viewer?action=UPDATE&amp;creator=factset&amp;DYN_ARGS=TRUE&amp;DOC_NAME=FAT:FQL_AUDITING_CLIENT_TEMPLATE.FAT&amp;display_string=Audit&amp;VAR:KEY=NUZUBWRSBA&amp;VAR:QUERY=RkZfUlRfU0ZfVE9UX0dST1NTKFFUUiwtMTYp&amp;WINDOW=FIRST_POPUP&amp;HEIGHT=450&amp;WIDTH=450&amp;START_MA","XIMIZED=FALSE&amp;VAR:CALENDAR=US&amp;VAR:SYMBOL=TLB&amp;VAR:INDEX=0"}</definedName>
    <definedName name="_1892__FDSAUDITLINK__" hidden="1">{"fdsup://Directions/FactSet Auditing Viewer?action=AUDIT_VALUE&amp;DB=129&amp;ID1=53271610&amp;VALUEID=02101&amp;SDATE=200601&amp;PERIODTYPE=QTR_STD&amp;window=popup_no_bar&amp;width=385&amp;height=120&amp;START_MAXIMIZED=FALSE&amp;creator=factset&amp;display_string=Audit"}</definedName>
    <definedName name="_1893__FDSAUDITLINK__" hidden="1">{"fdsup://Directions/FactSet Auditing Viewer?action=AUDIT_VALUE&amp;DB=129&amp;ID1=53271610&amp;VALUEID=01001&amp;SDATE=200601&amp;PERIODTYPE=QTR_STD&amp;window=popup_no_bar&amp;width=385&amp;height=120&amp;START_MAXIMIZED=FALSE&amp;creator=factset&amp;display_string=Audit"}</definedName>
    <definedName name="_1894__FDSAUDITLINK__" hidden="1">{"fdsup://Directions/FactSet Auditing Viewer?action=AUDIT_VALUE&amp;DB=129&amp;ID1=53271610&amp;VALUEID=13040&amp;SDATE=200601&amp;PERIODTYPE=QTR_STD&amp;window=popup_no_bar&amp;width=385&amp;height=120&amp;START_MAXIMIZED=FALSE&amp;creator=factset&amp;display_string=Audit"}</definedName>
    <definedName name="_1895__FDSAUDITLINK__" hidden="1">{"fdsup://Directions/FactSet Auditing Viewer?action=AUDIT_VALUE&amp;DB=129&amp;ID1=46612H40&amp;VALUEID=02101&amp;SDATE=200601&amp;PERIODTYPE=QTR_STD&amp;window=popup_no_bar&amp;width=385&amp;height=120&amp;START_MAXIMIZED=FALSE&amp;creator=factset&amp;display_string=Audit"}</definedName>
    <definedName name="_1896__FDSAUDITLINK__" hidden="1">{"fdsup://Directions/FactSet Auditing Viewer?action=AUDIT_VALUE&amp;DB=129&amp;ID1=46612H40&amp;VALUEID=01001&amp;SDATE=200601&amp;PERIODTYPE=QTR_STD&amp;window=popup_no_bar&amp;width=385&amp;height=120&amp;START_MAXIMIZED=FALSE&amp;creator=factset&amp;display_string=Audit"}</definedName>
    <definedName name="_1897__FDSAUDITLINK__" hidden="1">{"fdsup://Directions/FactSet Auditing Viewer?action=AUDIT_VALUE&amp;DB=129&amp;ID1=46612H40&amp;VALUEID=13040&amp;SDATE=200601&amp;PERIODTYPE=QTR_STD&amp;window=popup_no_bar&amp;width=385&amp;height=120&amp;START_MAXIMIZED=FALSE&amp;creator=factset&amp;display_string=Audit"}</definedName>
    <definedName name="_1898__FDSAUDITLINK__" hidden="1">{"fdsup://Directions/FactSet Auditing Viewer?action=AUDIT_VALUE&amp;DB=129&amp;ID1=36476010&amp;VALUEID=02101&amp;SDATE=200601&amp;PERIODTYPE=QTR_STD&amp;window=popup_no_bar&amp;width=385&amp;height=120&amp;START_MAXIMIZED=FALSE&amp;creator=factset&amp;display_string=Audit"}</definedName>
    <definedName name="_1899__FDSAUDITLINK__" hidden="1">{"fdsup://Directions/FactSet Auditing Viewer?action=AUDIT_VALUE&amp;DB=129&amp;ID1=36476010&amp;VALUEID=01001&amp;SDATE=200601&amp;PERIODTYPE=QTR_STD&amp;window=popup_no_bar&amp;width=385&amp;height=120&amp;START_MAXIMIZED=FALSE&amp;creator=factset&amp;display_string=Audit"}</definedName>
    <definedName name="_19__FDSAUDITLINK__" hidden="1">{"fdsup://Directions/FactSet Auditing Viewer?action=AUDIT_VALUE&amp;DB=129&amp;ID1=00289620&amp;VALUEID=02101&amp;SDATE=201001&amp;PERIODTYPE=QTR_STD&amp;window=popup_no_bar&amp;width=385&amp;height=120&amp;START_MAXIMIZED=FALSE&amp;creator=factset&amp;display_string=Audit"}</definedName>
    <definedName name="_190__FDSAUDITLINK__" hidden="1">{"fdsup://Directions/FactSet Auditing Viewer?action=AUDIT_VALUE&amp;DB=129&amp;ID1=00289620&amp;VALUEID=13040&amp;SDATE=200801&amp;PERIODTYPE=QTR_STD&amp;window=popup_no_bar&amp;width=385&amp;height=120&amp;START_MAXIMIZED=FALSE&amp;creator=factset&amp;display_string=Audit"}</definedName>
    <definedName name="_1900__FDSAUDITLINK__" hidden="1">{"fdsup://Directions/FactSet Auditing Viewer?action=AUDIT_VALUE&amp;DB=129&amp;ID1=36476010&amp;VALUEID=13040&amp;SDATE=200601&amp;PERIODTYPE=QTR_STD&amp;window=popup_no_bar&amp;width=385&amp;height=120&amp;START_MAXIMIZED=FALSE&amp;creator=factset&amp;display_string=Audit"}</definedName>
    <definedName name="_1901__FDSAUDITLINK__" hidden="1">{"fdsup://Directions/FactSet Auditing Viewer?action=AUDIT_VALUE&amp;DB=129&amp;ID1=03611510&amp;VALUEID=02101&amp;SDATE=200601&amp;PERIODTYPE=QTR_STD&amp;window=popup_no_bar&amp;width=385&amp;height=120&amp;START_MAXIMIZED=FALSE&amp;creator=factset&amp;display_string=Audit"}</definedName>
    <definedName name="_1902__FDSAUDITLINK__" hidden="1">{"fdsup://Directions/FactSet Auditing Viewer?action=AUDIT_VALUE&amp;DB=129&amp;ID1=03611510&amp;VALUEID=13040&amp;SDATE=200601&amp;PERIODTYPE=QTR_STD&amp;window=popup_no_bar&amp;width=385&amp;height=120&amp;START_MAXIMIZED=FALSE&amp;creator=factset&amp;display_string=Audit"}</definedName>
    <definedName name="_1903__FDSAUDITLINK__" hidden="1">{"fdsup://Directions/FactSet Auditing Viewer?action=AUDIT_VALUE&amp;DB=129&amp;ID1=16890510&amp;VALUEID=02101&amp;SDATE=200601&amp;PERIODTYPE=QTR_STD&amp;window=popup_no_bar&amp;width=385&amp;height=120&amp;START_MAXIMIZED=FALSE&amp;creator=factset&amp;display_string=Audit"}</definedName>
    <definedName name="_1904__FDSAUDITLINK__" hidden="1">{"fdsup://Directions/FactSet Auditing Viewer?action=AUDIT_VALUE&amp;DB=129&amp;ID1=16890510&amp;VALUEID=01001&amp;SDATE=200601&amp;PERIODTYPE=QTR_STD&amp;window=popup_no_bar&amp;width=385&amp;height=120&amp;START_MAXIMIZED=FALSE&amp;creator=factset&amp;display_string=Audit"}</definedName>
    <definedName name="_1905__FDSAUDITLINK__" hidden="1">{"fdsup://Directions/FactSet Auditing Viewer?action=AUDIT_VALUE&amp;DB=129&amp;ID1=91704710&amp;VALUEID=02101&amp;SDATE=200601&amp;PERIODTYPE=QTR_STD&amp;window=popup_no_bar&amp;width=385&amp;height=120&amp;START_MAXIMIZED=FALSE&amp;creator=factset&amp;display_string=Audit"}</definedName>
    <definedName name="_1906__FDSAUDITLINK__" hidden="1">{"fdsup://Directions/FactSet Auditing Viewer?action=AUDIT_VALUE&amp;DB=129&amp;ID1=91704710&amp;VALUEID=01001&amp;SDATE=200601&amp;PERIODTYPE=QTR_STD&amp;window=popup_no_bar&amp;width=385&amp;height=120&amp;START_MAXIMIZED=FALSE&amp;creator=factset&amp;display_string=Audit"}</definedName>
    <definedName name="_1907__FDSAUDITLINK__" hidden="1">{"fdsup://Directions/FactSet Auditing Viewer?action=AUDIT_VALUE&amp;DB=129&amp;ID1=91704710&amp;VALUEID=13040&amp;SDATE=200601&amp;PERIODTYPE=QTR_STD&amp;window=popup_no_bar&amp;width=385&amp;height=120&amp;START_MAXIMIZED=FALSE&amp;creator=factset&amp;display_string=Audit"}</definedName>
    <definedName name="_1908__FDSAUDITLINK__" hidden="1">{"fdsup://Directions/FactSet Auditing Viewer?action=AUDIT_VALUE&amp;DB=129&amp;ID1=02553E10&amp;VALUEID=02101&amp;SDATE=200601&amp;PERIODTYPE=QTR_STD&amp;window=popup_no_bar&amp;width=385&amp;height=120&amp;START_MAXIMIZED=FALSE&amp;creator=factset&amp;display_string=Audit"}</definedName>
    <definedName name="_1909__FDSAUDITLINK__" hidden="1">{"fdsup://Directions/FactSet Auditing Viewer?action=AUDIT_VALUE&amp;DB=129&amp;ID1=02553E10&amp;VALUEID=01001&amp;SDATE=200601&amp;PERIODTYPE=QTR_STD&amp;window=popup_no_bar&amp;width=385&amp;height=120&amp;START_MAXIMIZED=FALSE&amp;creator=factset&amp;display_string=Audit"}</definedName>
    <definedName name="_191__FDSAUDITLINK__" hidden="1">{"fdsup://Directions/FactSet Auditing Viewer?action=AUDIT_VALUE&amp;DB=129&amp;ID1=87416110&amp;VALUEID=01001&amp;SDATE=200704&amp;PERIODTYPE=QTR_STD&amp;window=popup_no_bar&amp;width=385&amp;height=120&amp;START_MAXIMIZED=FALSE&amp;creator=factset&amp;display_string=Audit"}</definedName>
    <definedName name="_1910__FDSAUDITLINK__" hidden="1">{"fdsup://Directions/FactSet Auditing Viewer?action=AUDIT_VALUE&amp;DB=129&amp;ID1=02553E10&amp;VALUEID=13040&amp;SDATE=200601&amp;PERIODTYPE=QTR_STD&amp;window=popup_no_bar&amp;width=385&amp;height=120&amp;START_MAXIMIZED=FALSE&amp;creator=factset&amp;display_string=Audit"}</definedName>
    <definedName name="_1911__FDSAUDITLINK__" hidden="1">{"fdsup://directions/FAT Viewer?action=UPDATE&amp;creator=factset&amp;DYN_ARGS=TRUE&amp;DOC_NAME=FAT:FQL_AUDITING_CLIENT_TEMPLATE.FAT&amp;display_string=Audit&amp;VAR:KEY=RUROHMBELS&amp;VAR:QUERY=RkZfUlRfU0ZfVE9UX0dST1NTKFFUUiwtMTYp&amp;WINDOW=FIRST_POPUP&amp;HEIGHT=450&amp;WIDTH=450&amp;START_MA","XIMIZED=FALSE&amp;VAR:CALENDAR=US&amp;VAR:SYMBOL=AEO&amp;VAR:INDEX=0"}</definedName>
    <definedName name="_1912__FDSAUDITLINK__" hidden="1">{"fdsup://Directions/FactSet Auditing Viewer?action=AUDIT_VALUE&amp;DB=129&amp;ID1=00786510&amp;VALUEID=02101&amp;SDATE=200601&amp;PERIODTYPE=QTR_STD&amp;window=popup_no_bar&amp;width=385&amp;height=120&amp;START_MAXIMIZED=FALSE&amp;creator=factset&amp;display_string=Audit"}</definedName>
    <definedName name="_1913__FDSAUDITLINK__" hidden="1">{"fdsup://Directions/FactSet Auditing Viewer?action=AUDIT_VALUE&amp;DB=129&amp;ID1=00786510&amp;VALUEID=01001&amp;SDATE=200601&amp;PERIODTYPE=QTR_STD&amp;window=popup_no_bar&amp;width=385&amp;height=120&amp;START_MAXIMIZED=FALSE&amp;creator=factset&amp;display_string=Audit"}</definedName>
    <definedName name="_1914__FDSAUDITLINK__" hidden="1">{"fdsup://Directions/FactSet Auditing Viewer?action=AUDIT_VALUE&amp;DB=129&amp;ID1=00786510&amp;VALUEID=13040&amp;SDATE=200601&amp;PERIODTYPE=QTR_STD&amp;window=popup_no_bar&amp;width=385&amp;height=120&amp;START_MAXIMIZED=FALSE&amp;creator=factset&amp;display_string=Audit"}</definedName>
    <definedName name="_1915__FDSAUDITLINK__" hidden="1">{"fdsup://Directions/FactSet Auditing Viewer?action=AUDIT_VALUE&amp;DB=129&amp;ID1=00289620&amp;VALUEID=02101&amp;SDATE=200601&amp;PERIODTYPE=QTR_STD&amp;window=popup_no_bar&amp;width=385&amp;height=120&amp;START_MAXIMIZED=FALSE&amp;creator=factset&amp;display_string=Audit"}</definedName>
    <definedName name="_1916__FDSAUDITLINK__" hidden="1">{"fdsup://Directions/FactSet Auditing Viewer?action=AUDIT_VALUE&amp;DB=129&amp;ID1=00289620&amp;VALUEID=01001&amp;SDATE=200601&amp;PERIODTYPE=QTR_STD&amp;window=popup_no_bar&amp;width=385&amp;height=120&amp;START_MAXIMIZED=FALSE&amp;creator=factset&amp;display_string=Audit"}</definedName>
    <definedName name="_1917__FDSAUDITLINK__" hidden="1">{"fdsup://Directions/FactSet Auditing Viewer?action=AUDIT_VALUE&amp;DB=129&amp;ID1=00289620&amp;VALUEID=13040&amp;SDATE=200601&amp;PERIODTYPE=QTR_STD&amp;window=popup_no_bar&amp;width=385&amp;height=120&amp;START_MAXIMIZED=FALSE&amp;creator=factset&amp;display_string=Audit"}</definedName>
    <definedName name="_1918__FDSAUDITLINK__" hidden="1">{"fdsup://directions/FAT Viewer?action=UPDATE&amp;creator=factset&amp;DYN_ARGS=TRUE&amp;DOC_NAME=FAT:FQL_AUDITING_CLIENT_TEMPLATE.FAT&amp;display_string=Audit&amp;VAR:KEY=NKDWDYVSJA&amp;VAR:QUERY=RkZfUlRfU0ZfVE9UX0dST1NTKFFUUiwtMTcp&amp;WINDOW=FIRST_POPUP&amp;HEIGHT=450&amp;WIDTH=450&amp;START_MA","XIMIZED=FALSE&amp;VAR:CALENDAR=US&amp;VAR:SYMBOL=TLB&amp;VAR:INDEX=0"}</definedName>
    <definedName name="_1919__FDSAUDITLINK__" hidden="1">{"fdsup://directions/FAT Viewer?action=UPDATE&amp;creator=factset&amp;DYN_ARGS=TRUE&amp;DOC_NAME=FAT:FQL_AUDITING_CLIENT_TEMPLATE.FAT&amp;display_string=Audit&amp;VAR:KEY=DEZSPEHMVA&amp;VAR:QUERY=RkZfUlRfU0ZfVE9UX0dST1NTKFFUUiwtMTcp&amp;WINDOW=FIRST_POPUP&amp;HEIGHT=450&amp;WIDTH=450&amp;START_MA","XIMIZED=FALSE&amp;VAR:CALENDAR=US&amp;VAR:SYMBOL=AEO&amp;VAR:INDEX=0"}</definedName>
    <definedName name="_192__FDSAUDITLINK__" hidden="1">{"fdsup://Directions/FactSet Auditing Viewer?action=AUDIT_VALUE&amp;DB=129&amp;ID1=46612H40&amp;VALUEID=01001&amp;SDATE=200704&amp;PERIODTYPE=QTR_STD&amp;window=popup_no_bar&amp;width=385&amp;height=120&amp;START_MAXIMIZED=FALSE&amp;creator=factset&amp;display_string=Audit"}</definedName>
    <definedName name="_1920__FDSAUDITLINK__" hidden="1">{"fdsup://directions/FAT Viewer?action=UPDATE&amp;creator=factset&amp;DYN_ARGS=TRUE&amp;DOC_NAME=FAT:FQL_AUDITING_CLIENT_TEMPLATE.FAT&amp;display_string=Audit&amp;VAR:KEY=TURKDOPIZG&amp;VAR:QUERY=RkZfUlRfU0ZfVE9UX0dST1NTKFFUUiwtMTgp&amp;WINDOW=FIRST_POPUP&amp;HEIGHT=450&amp;WIDTH=450&amp;START_MA","XIMIZED=FALSE&amp;VAR:CALENDAR=US&amp;VAR:SYMBOL=TLB&amp;VAR:INDEX=0"}</definedName>
    <definedName name="_1921__FDSAUDITLINK__" hidden="1">{"fdsup://Directions/FactSet Auditing Viewer?action=AUDIT_VALUE&amp;DB=129&amp;ID1=03611510&amp;VALUEID=13040&amp;SDATE=200503&amp;PERIODTYPE=QTR_STD&amp;window=popup_no_bar&amp;width=385&amp;height=120&amp;START_MAXIMIZED=FALSE&amp;creator=factset&amp;display_string=Audit"}</definedName>
    <definedName name="_1922__FDSAUDITLINK__" hidden="1">{"fdsup://directions/FAT Viewer?action=UPDATE&amp;creator=factset&amp;DYN_ARGS=TRUE&amp;DOC_NAME=FAT:FQL_AUDITING_CLIENT_TEMPLATE.FAT&amp;display_string=Audit&amp;VAR:KEY=NUJIDQTCDM&amp;VAR:QUERY=RkZfUlRfU0ZfVE9UX0dST1NTKFFUUiwtMTgp&amp;WINDOW=FIRST_POPUP&amp;HEIGHT=450&amp;WIDTH=450&amp;START_MA","XIMIZED=FALSE&amp;VAR:CALENDAR=US&amp;VAR:SYMBOL=AEO&amp;VAR:INDEX=0"}</definedName>
    <definedName name="_1923__FDSAUDITLINK__" hidden="1">{"fdsup://directions/FAT Viewer?action=UPDATE&amp;creator=factset&amp;DYN_ARGS=TRUE&amp;DOC_NAME=FAT:FQL_AUDITING_CLIENT_TEMPLATE.FAT&amp;display_string=Audit&amp;VAR:KEY=HIHSXILWDI&amp;VAR:QUERY=RkZfUlRfU0ZfVE9UX0dST1NTKFFUUiwtMTkp&amp;WINDOW=FIRST_POPUP&amp;HEIGHT=450&amp;WIDTH=450&amp;START_MA","XIMIZED=FALSE&amp;VAR:CALENDAR=US&amp;VAR:SYMBOL=TLB&amp;VAR:INDEX=0"}</definedName>
    <definedName name="_1924__FDSAUDITLINK__" hidden="1">{"fdsup://Directions/FactSet Auditing Viewer?action=AUDIT_VALUE&amp;DB=129&amp;ID1=03611510&amp;VALUEID=13040&amp;SDATE=200502&amp;PERIODTYPE=QTR_STD&amp;window=popup_no_bar&amp;width=385&amp;height=120&amp;START_MAXIMIZED=FALSE&amp;creator=factset&amp;display_string=Audit"}</definedName>
    <definedName name="_1925__FDSAUDITLINK__" hidden="1">{"fdsup://directions/FAT Viewer?action=UPDATE&amp;creator=factset&amp;DYN_ARGS=TRUE&amp;DOC_NAME=FAT:FQL_AUDITING_CLIENT_TEMPLATE.FAT&amp;display_string=Audit&amp;VAR:KEY=BKDCTGPMZY&amp;VAR:QUERY=RkZfUlRfU0ZfVE9UX0dST1NTKFFUUiwtMTkp&amp;WINDOW=FIRST_POPUP&amp;HEIGHT=450&amp;WIDTH=450&amp;START_MA","XIMIZED=FALSE&amp;VAR:CALENDAR=US&amp;VAR:SYMBOL=AEO&amp;VAR:INDEX=0"}</definedName>
    <definedName name="_1926__FDSAUDITLINK__" hidden="1">{"fdsup://directions/FAT Viewer?action=UPDATE&amp;creator=factset&amp;DYN_ARGS=TRUE&amp;DOC_NAME=FAT:FQL_AUDITING_CLIENT_TEMPLATE.FAT&amp;display_string=Audit&amp;VAR:KEY=VABGPMHULC&amp;VAR:QUERY=RkZfUlRfU0ZfVE9UX0dST1NTKFFUUiwtMjAp&amp;WINDOW=FIRST_POPUP&amp;HEIGHT=450&amp;WIDTH=450&amp;START_MA","XIMIZED=FALSE&amp;VAR:CALENDAR=US&amp;VAR:SYMBOL=TLB&amp;VAR:INDEX=0"}</definedName>
    <definedName name="_1927__FDSAUDITLINK__" hidden="1">{"fdsup://Directions/FactSet Auditing Viewer?action=AUDIT_VALUE&amp;DB=129&amp;ID1=03611510&amp;VALUEID=13040&amp;SDATE=200501&amp;PERIODTYPE=QTR_STD&amp;window=popup_no_bar&amp;width=385&amp;height=120&amp;START_MAXIMIZED=FALSE&amp;creator=factset&amp;display_string=Audit"}</definedName>
    <definedName name="_1928__FDSAUDITLINK__" hidden="1">{"fdsup://directions/FAT Viewer?action=UPDATE&amp;creator=factset&amp;DYN_ARGS=TRUE&amp;DOC_NAME=FAT:FQL_AUDITING_CLIENT_TEMPLATE.FAT&amp;display_string=Audit&amp;VAR:KEY=VMROTQVYPS&amp;VAR:QUERY=RkZfUlRfU0ZfVE9UX0dST1NTKFFUUiwtMjAp&amp;WINDOW=FIRST_POPUP&amp;HEIGHT=450&amp;WIDTH=450&amp;START_MA","XIMIZED=FALSE&amp;VAR:CALENDAR=US&amp;VAR:SYMBOL=AEO&amp;VAR:INDEX=0"}</definedName>
    <definedName name="_1929__FDSAUDITLINK__" hidden="1">{"fdsup://Directions/FactSet Auditing Viewer?action=AUDIT_VALUE&amp;DB=129&amp;ID1=16890510&amp;VALUEID=13040&amp;SDATE=200602&amp;PERIODTYPE=QTR_STD&amp;window=popup_no_bar&amp;width=385&amp;height=120&amp;START_MAXIMIZED=FALSE&amp;creator=factset&amp;display_string=Audit"}</definedName>
    <definedName name="_193__FDSAUDITLINK__" hidden="1">{"fdsup://Directions/FactSet Auditing Viewer?action=AUDIT_VALUE&amp;DB=129&amp;ID1=46612H40&amp;VALUEID=13040&amp;SDATE=200704&amp;PERIODTYPE=QTR_STD&amp;window=popup_no_bar&amp;width=385&amp;height=120&amp;START_MAXIMIZED=FALSE&amp;creator=factset&amp;display_string=Audit"}</definedName>
    <definedName name="_1930__FDSAUDITLINK__" hidden="1">{"fdsup://Directions/FactSet Auditing Viewer?action=AUDIT_VALUE&amp;DB=129&amp;ID1=16890510&amp;VALUEID=13040&amp;SDATE=200601&amp;PERIODTYPE=QTR_STD&amp;window=popup_no_bar&amp;width=385&amp;height=120&amp;START_MAXIMIZED=FALSE&amp;creator=factset&amp;display_string=Audit"}</definedName>
    <definedName name="_1931__FDSAUDITLINK__" hidden="1">{"fdsup://Directions/FactSet Auditing Viewer?action=AUDIT_VALUE&amp;DB=129&amp;ID1=16890510&amp;VALUEID=13040&amp;SDATE=200603&amp;PERIODTYPE=QTR_STD&amp;window=popup_no_bar&amp;width=385&amp;height=120&amp;START_MAXIMIZED=FALSE&amp;creator=factset&amp;display_string=Audit"}</definedName>
    <definedName name="_1932__FDSAUDITLINK__" hidden="1">{"fdsup://Directions/FactSet Auditing Viewer?action=AUDIT_VALUE&amp;DB=129&amp;ID1=16890510&amp;VALUEID=13040&amp;SDATE=200702&amp;PERIODTYPE=QTR_STD&amp;window=popup_no_bar&amp;width=385&amp;height=120&amp;START_MAXIMIZED=FALSE&amp;creator=factset&amp;display_string=Audit"}</definedName>
    <definedName name="_1933__FDSAUDITLINK__" hidden="1">{"fdsup://Directions/FactSet Auditing Viewer?action=AUDIT_VALUE&amp;DB=129&amp;ID1=16890510&amp;VALUEID=13040&amp;SDATE=200701&amp;PERIODTYPE=QTR_STD&amp;window=popup_no_bar&amp;width=385&amp;height=120&amp;START_MAXIMIZED=FALSE&amp;creator=factset&amp;display_string=Audit"}</definedName>
    <definedName name="_1934__FDSAUDITLINK__" hidden="1">{"fdsup://Directions/FactSet Auditing Viewer?action=AUDIT_VALUE&amp;DB=129&amp;ID1=16890510&amp;VALUEID=13040&amp;SDATE=200703&amp;PERIODTYPE=QTR_STD&amp;window=popup_no_bar&amp;width=385&amp;height=120&amp;START_MAXIMIZED=FALSE&amp;creator=factset&amp;display_string=Audit"}</definedName>
    <definedName name="_1935__FDSAUDITLINK__" hidden="1">{"fdsup://Directions/FactSet Auditing Viewer?action=AUDIT_VALUE&amp;DB=129&amp;ID1=16890510&amp;VALUEID=13040&amp;SDATE=200802&amp;PERIODTYPE=QTR_STD&amp;window=popup_no_bar&amp;width=385&amp;height=120&amp;START_MAXIMIZED=FALSE&amp;creator=factset&amp;display_string=Audit"}</definedName>
    <definedName name="_1936__FDSAUDITLINK__" hidden="1">{"fdsup://Directions/FactSet Auditing Viewer?action=AUDIT_VALUE&amp;DB=129&amp;ID1=16890510&amp;VALUEID=13040&amp;SDATE=200801&amp;PERIODTYPE=QTR_STD&amp;window=popup_no_bar&amp;width=385&amp;height=120&amp;START_MAXIMIZED=FALSE&amp;creator=factset&amp;display_string=Audit"}</definedName>
    <definedName name="_1937__FDSAUDITLINK__" hidden="1">{"fdsup://Directions/FactSet Auditing Viewer?action=AUDIT_VALUE&amp;DB=129&amp;ID1=16890510&amp;VALUEID=13040&amp;SDATE=200803&amp;PERIODTYPE=QTR_STD&amp;window=popup_no_bar&amp;width=385&amp;height=120&amp;START_MAXIMIZED=FALSE&amp;creator=factset&amp;display_string=Audit"}</definedName>
    <definedName name="_1938__FDSAUDITLINK__" hidden="1">{"fdsup://Directions/FactSet Auditing Viewer?action=AUDIT_VALUE&amp;DB=129&amp;ID1=16890510&amp;VALUEID=13040&amp;SDATE=200902&amp;PERIODTYPE=QTR_STD&amp;window=popup_no_bar&amp;width=385&amp;height=120&amp;START_MAXIMIZED=FALSE&amp;creator=factset&amp;display_string=Audit"}</definedName>
    <definedName name="_1939__FDSAUDITLINK__" hidden="1">{"fdsup://Directions/FactSet Auditing Viewer?action=AUDIT_VALUE&amp;DB=129&amp;ID1=16890510&amp;VALUEID=13040&amp;SDATE=200903&amp;PERIODTYPE=QTR_STD&amp;window=popup_no_bar&amp;width=385&amp;height=120&amp;START_MAXIMIZED=FALSE&amp;creator=factset&amp;display_string=Audit"}</definedName>
    <definedName name="_194__FDSAUDITLINK__" hidden="1">{"fdsup://Directions/FactSet Auditing Viewer?action=AUDIT_VALUE&amp;DB=129&amp;ID1=36476010&amp;VALUEID=01001&amp;SDATE=200704&amp;PERIODTYPE=QTR_STD&amp;window=popup_no_bar&amp;width=385&amp;height=120&amp;START_MAXIMIZED=FALSE&amp;creator=factset&amp;display_string=Audit"}</definedName>
    <definedName name="_1940__FDSAUDITLINK__" hidden="1">{"fdsup://Directions/FactSet Auditing Viewer?action=AUDIT_VALUE&amp;DB=129&amp;ID1=16890510&amp;VALUEID=13040&amp;SDATE=201001&amp;PERIODTYPE=QTR_STD&amp;window=popup_no_bar&amp;width=385&amp;height=120&amp;START_MAXIMIZED=FALSE&amp;creator=factset&amp;display_string=Audit"}</definedName>
    <definedName name="_1941__FDSAUDITLINK__" hidden="1">{"fdsup://Directions/FactSet Auditing Viewer?action=AUDIT_VALUE&amp;DB=129&amp;ID1=87416110&amp;VALUEID=01001&amp;SDATE=201001&amp;PERIODTYPE=QTR_STD&amp;window=popup_no_bar&amp;width=385&amp;height=120&amp;START_MAXIMIZED=FALSE&amp;creator=factset&amp;display_string=Audit"}</definedName>
    <definedName name="_1942__FDSAUDITLINK__" hidden="1">{"fdsup://Directions/FactSet Auditing Viewer?action=AUDIT_VALUE&amp;DB=129&amp;ID1=46612H40&amp;VALUEID=01001&amp;SDATE=201001&amp;PERIODTYPE=QTR_STD&amp;window=popup_no_bar&amp;width=385&amp;height=120&amp;START_MAXIMIZED=FALSE&amp;creator=factset&amp;display_string=Audit"}</definedName>
    <definedName name="_1943__FDSAUDITLINK__" hidden="1">{"fdsup://Directions/FactSet Auditing Viewer?action=AUDIT_VALUE&amp;DB=129&amp;ID1=03611510&amp;VALUEID=01001&amp;SDATE=201001&amp;PERIODTYPE=QTR_STD&amp;window=popup_no_bar&amp;width=385&amp;height=120&amp;START_MAXIMIZED=FALSE&amp;creator=factset&amp;display_string=Audit"}</definedName>
    <definedName name="_1944__FDSAUDITLINK__" hidden="1">{"fdsup://Directions/FactSet Auditing Viewer?action=AUDIT_VALUE&amp;DB=129&amp;ID1=16890510&amp;VALUEID=01001&amp;SDATE=201001&amp;PERIODTYPE=QTR_STD&amp;window=popup_no_bar&amp;width=385&amp;height=120&amp;START_MAXIMIZED=FALSE&amp;creator=factset&amp;display_string=Audit"}</definedName>
    <definedName name="_1945__FDSAUDITLINK__" hidden="1">{"fdsup://Directions/FactSet Auditing Viewer?action=AUDIT_VALUE&amp;DB=129&amp;ID1=91704710&amp;VALUEID=01001&amp;SDATE=201001&amp;PERIODTYPE=QTR_STD&amp;window=popup_no_bar&amp;width=385&amp;height=120&amp;START_MAXIMIZED=FALSE&amp;creator=factset&amp;display_string=Audit"}</definedName>
    <definedName name="_1946__FDSAUDITLINK__" hidden="1">{"fdsup://Directions/FactSet Auditing Viewer?action=AUDIT_VALUE&amp;DB=129&amp;ID1=02553E10&amp;VALUEID=01001&amp;SDATE=201001&amp;PERIODTYPE=QTR_STD&amp;window=popup_no_bar&amp;width=385&amp;height=120&amp;START_MAXIMIZED=FALSE&amp;creator=factset&amp;display_string=Audit"}</definedName>
    <definedName name="_1947__FDSAUDITLINK__" hidden="1">{"fdsup://Directions/FactSet Auditing Viewer?action=AUDIT_VALUE&amp;DB=129&amp;ID1=00786510&amp;VALUEID=01001&amp;SDATE=201001&amp;PERIODTYPE=QTR_STD&amp;window=popup_no_bar&amp;width=385&amp;height=120&amp;START_MAXIMIZED=FALSE&amp;creator=factset&amp;display_string=Audit"}</definedName>
    <definedName name="_1948__FDSAUDITLINK__" hidden="1">{"fdsup://Directions/FactSet Auditing Viewer?action=AUDIT_VALUE&amp;DB=129&amp;ID1=00289620&amp;VALUEID=01001&amp;SDATE=201001&amp;PERIODTYPE=QTR_STD&amp;window=popup_no_bar&amp;width=385&amp;height=120&amp;START_MAXIMIZED=FALSE&amp;creator=factset&amp;display_string=Audit"}</definedName>
    <definedName name="_1949__FDSAUDITLINK__" hidden="1">{"fdsup://Directions/FactSet Auditing Viewer?action=AUDIT_VALUE&amp;DB=129&amp;ID1=53271610&amp;VALUEID=01001&amp;SDATE=201001&amp;PERIODTYPE=QTR_STD&amp;window=popup_no_bar&amp;width=385&amp;height=120&amp;START_MAXIMIZED=FALSE&amp;creator=factset&amp;display_string=Audit"}</definedName>
    <definedName name="_195__FDSAUDITLINK__" hidden="1">{"fdsup://Directions/FactSet Auditing Viewer?action=AUDIT_VALUE&amp;DB=129&amp;ID1=03611510&amp;VALUEID=01001&amp;SDATE=200704&amp;PERIODTYPE=QTR_STD&amp;window=popup_no_bar&amp;width=385&amp;height=120&amp;START_MAXIMIZED=FALSE&amp;creator=factset&amp;display_string=Audit"}</definedName>
    <definedName name="_1950__FDSAUDITLINK__" hidden="1">{"fdsup://Directions/FactSet Auditing Viewer?action=AUDIT_VALUE&amp;DB=129&amp;ID1=36476010&amp;VALUEID=01001&amp;SDATE=201001&amp;PERIODTYPE=QTR_STD&amp;window=popup_no_bar&amp;width=385&amp;height=120&amp;START_MAXIMIZED=FALSE&amp;creator=factset&amp;display_string=Audit"}</definedName>
    <definedName name="_1951__FDSAUDITLINK__" hidden="1">{"fdsup://Directions/FactSet Auditing Viewer?action=AUDIT_VALUE&amp;DB=129&amp;ID1=40377710&amp;VALUEID=01001&amp;SDATE=200601&amp;PERIODTYPE=QTR_STD&amp;window=popup_no_bar&amp;width=385&amp;height=120&amp;START_MAXIMIZED=FALSE&amp;creator=factset&amp;display_string=Audit"}</definedName>
    <definedName name="_1952__FDSAUDITLINK__" hidden="1">{"fdsup://Directions/FactSet Auditing Viewer?action=AUDIT_VALUE&amp;DB=129&amp;ID1=40377710&amp;VALUEID=02101&amp;SDATE=200601&amp;PERIODTYPE=QTR_STD&amp;window=popup_no_bar&amp;width=385&amp;height=120&amp;START_MAXIMIZED=FALSE&amp;creator=factset&amp;display_string=Audit"}</definedName>
    <definedName name="_1953__FDSAUDITLINK__" hidden="1">{"fdsup://Directions/FactSet Auditing Viewer?action=AUDIT_VALUE&amp;DB=129&amp;ID1=40377710&amp;VALUEID=01001&amp;SDATE=200602&amp;PERIODTYPE=QTR_STD&amp;window=popup_no_bar&amp;width=385&amp;height=120&amp;START_MAXIMIZED=FALSE&amp;creator=factset&amp;display_string=Audit"}</definedName>
    <definedName name="_1954__FDSAUDITLINK__" hidden="1">{"fdsup://Directions/FactSet Auditing Viewer?action=AUDIT_VALUE&amp;DB=129&amp;ID1=40377710&amp;VALUEID=02101&amp;SDATE=200602&amp;PERIODTYPE=QTR_STD&amp;window=popup_no_bar&amp;width=385&amp;height=120&amp;START_MAXIMIZED=FALSE&amp;creator=factset&amp;display_string=Audit"}</definedName>
    <definedName name="_1955__FDSAUDITLINK__" hidden="1">{"fdsup://Directions/FactSet Auditing Viewer?action=AUDIT_VALUE&amp;DB=129&amp;ID1=40377710&amp;VALUEID=01001&amp;SDATE=200603&amp;PERIODTYPE=QTR_STD&amp;window=popup_no_bar&amp;width=385&amp;height=120&amp;START_MAXIMIZED=FALSE&amp;creator=factset&amp;display_string=Audit"}</definedName>
    <definedName name="_1956__FDSAUDITLINK__" hidden="1">{"fdsup://Directions/FactSet Auditing Viewer?action=AUDIT_VALUE&amp;DB=129&amp;ID1=40377710&amp;VALUEID=02101&amp;SDATE=200603&amp;PERIODTYPE=QTR_STD&amp;window=popup_no_bar&amp;width=385&amp;height=120&amp;START_MAXIMIZED=FALSE&amp;creator=factset&amp;display_string=Audit"}</definedName>
    <definedName name="_1957__FDSAUDITLINK__" hidden="1">{"fdsup://Directions/FactSet Auditing Viewer?action=AUDIT_VALUE&amp;DB=129&amp;ID1=40377710&amp;VALUEID=01001&amp;SDATE=200604&amp;PERIODTYPE=QTR_STD&amp;window=popup_no_bar&amp;width=385&amp;height=120&amp;START_MAXIMIZED=FALSE&amp;creator=factset&amp;display_string=Audit"}</definedName>
    <definedName name="_1958__FDSAUDITLINK__" hidden="1">{"fdsup://Directions/FactSet Auditing Viewer?action=AUDIT_VALUE&amp;DB=129&amp;ID1=40377710&amp;VALUEID=01001&amp;SDATE=200701&amp;PERIODTYPE=QTR_STD&amp;window=popup_no_bar&amp;width=385&amp;height=120&amp;START_MAXIMIZED=FALSE&amp;creator=factset&amp;display_string=Audit"}</definedName>
    <definedName name="_1959__FDSAUDITLINK__" hidden="1">{"fdsup://Directions/FactSet Auditing Viewer?action=AUDIT_VALUE&amp;DB=129&amp;ID1=40377710&amp;VALUEID=02101&amp;SDATE=200701&amp;PERIODTYPE=QTR_STD&amp;window=popup_no_bar&amp;width=385&amp;height=120&amp;START_MAXIMIZED=FALSE&amp;creator=factset&amp;display_string=Audit"}</definedName>
    <definedName name="_196__FDSAUDITLINK__" hidden="1">{"fdsup://Directions/FactSet Auditing Viewer?action=AUDIT_VALUE&amp;DB=129&amp;ID1=03611510&amp;VALUEID=13040&amp;SDATE=200704&amp;PERIODTYPE=QTR_STD&amp;window=popup_no_bar&amp;width=385&amp;height=120&amp;START_MAXIMIZED=FALSE&amp;creator=factset&amp;display_string=Audit"}</definedName>
    <definedName name="_1960__FDSAUDITLINK__" hidden="1">{"fdsup://Directions/FactSet Auditing Viewer?action=AUDIT_VALUE&amp;DB=129&amp;ID1=40377710&amp;VALUEID=01001&amp;SDATE=200702&amp;PERIODTYPE=QTR_STD&amp;window=popup_no_bar&amp;width=385&amp;height=120&amp;START_MAXIMIZED=FALSE&amp;creator=factset&amp;display_string=Audit"}</definedName>
    <definedName name="_1961__FDSAUDITLINK__" hidden="1">{"fdsup://Directions/FactSet Auditing Viewer?action=AUDIT_VALUE&amp;DB=129&amp;ID1=40377710&amp;VALUEID=02101&amp;SDATE=200702&amp;PERIODTYPE=QTR_STD&amp;window=popup_no_bar&amp;width=385&amp;height=120&amp;START_MAXIMIZED=FALSE&amp;creator=factset&amp;display_string=Audit"}</definedName>
    <definedName name="_1962__FDSAUDITLINK__" hidden="1">{"fdsup://Directions/FactSet Auditing Viewer?action=AUDIT_VALUE&amp;DB=129&amp;ID1=40377710&amp;VALUEID=01001&amp;SDATE=200703&amp;PERIODTYPE=QTR_STD&amp;window=popup_no_bar&amp;width=385&amp;height=120&amp;START_MAXIMIZED=FALSE&amp;creator=factset&amp;display_string=Audit"}</definedName>
    <definedName name="_1963__FDSAUDITLINK__" hidden="1">{"fdsup://Directions/FactSet Auditing Viewer?action=AUDIT_VALUE&amp;DB=129&amp;ID1=40377710&amp;VALUEID=02101&amp;SDATE=200703&amp;PERIODTYPE=QTR_STD&amp;window=popup_no_bar&amp;width=385&amp;height=120&amp;START_MAXIMIZED=FALSE&amp;creator=factset&amp;display_string=Audit"}</definedName>
    <definedName name="_1964__FDSAUDITLINK__" hidden="1">{"fdsup://Directions/FactSet Auditing Viewer?action=AUDIT_VALUE&amp;DB=129&amp;ID1=40377710&amp;VALUEID=01001&amp;SDATE=200704&amp;PERIODTYPE=QTR_STD&amp;window=popup_no_bar&amp;width=385&amp;height=120&amp;START_MAXIMIZED=FALSE&amp;creator=factset&amp;display_string=Audit"}</definedName>
    <definedName name="_1965__FDSAUDITLINK__" hidden="1">{"fdsup://Directions/FactSet Auditing Viewer?action=AUDIT_VALUE&amp;DB=129&amp;ID1=40377710&amp;VALUEID=01001&amp;SDATE=200801&amp;PERIODTYPE=QTR_STD&amp;window=popup_no_bar&amp;width=385&amp;height=120&amp;START_MAXIMIZED=FALSE&amp;creator=factset&amp;display_string=Audit"}</definedName>
    <definedName name="_1966__FDSAUDITLINK__" hidden="1">{"fdsup://Directions/FactSet Auditing Viewer?action=AUDIT_VALUE&amp;DB=129&amp;ID1=40377710&amp;VALUEID=02101&amp;SDATE=200801&amp;PERIODTYPE=QTR_STD&amp;window=popup_no_bar&amp;width=385&amp;height=120&amp;START_MAXIMIZED=FALSE&amp;creator=factset&amp;display_string=Audit"}</definedName>
    <definedName name="_1967__FDSAUDITLINK__" hidden="1">{"fdsup://Directions/FactSet Auditing Viewer?action=AUDIT_VALUE&amp;DB=129&amp;ID1=40377710&amp;VALUEID=01001&amp;SDATE=200802&amp;PERIODTYPE=QTR_STD&amp;window=popup_no_bar&amp;width=385&amp;height=120&amp;START_MAXIMIZED=FALSE&amp;creator=factset&amp;display_string=Audit"}</definedName>
    <definedName name="_1968__FDSAUDITLINK__" hidden="1">{"fdsup://Directions/FactSet Auditing Viewer?action=AUDIT_VALUE&amp;DB=129&amp;ID1=40377710&amp;VALUEID=02101&amp;SDATE=200802&amp;PERIODTYPE=QTR_STD&amp;window=popup_no_bar&amp;width=385&amp;height=120&amp;START_MAXIMIZED=FALSE&amp;creator=factset&amp;display_string=Audit"}</definedName>
    <definedName name="_1969__FDSAUDITLINK__" hidden="1">{"fdsup://Directions/FactSet Auditing Viewer?action=AUDIT_VALUE&amp;DB=129&amp;ID1=40377710&amp;VALUEID=01001&amp;SDATE=200803&amp;PERIODTYPE=QTR_STD&amp;window=popup_no_bar&amp;width=385&amp;height=120&amp;START_MAXIMIZED=FALSE&amp;creator=factset&amp;display_string=Audit"}</definedName>
    <definedName name="_197__FDSAUDITLINK__" hidden="1">{"fdsup://Directions/FactSet Auditing Viewer?action=AUDIT_VALUE&amp;DB=129&amp;ID1=16890510&amp;VALUEID=01001&amp;SDATE=200704&amp;PERIODTYPE=QTR_STD&amp;window=popup_no_bar&amp;width=385&amp;height=120&amp;START_MAXIMIZED=FALSE&amp;creator=factset&amp;display_string=Audit"}</definedName>
    <definedName name="_1970__FDSAUDITLINK__" hidden="1">{"fdsup://Directions/FactSet Auditing Viewer?action=AUDIT_VALUE&amp;DB=129&amp;ID1=40377710&amp;VALUEID=02101&amp;SDATE=200803&amp;PERIODTYPE=QTR_STD&amp;window=popup_no_bar&amp;width=385&amp;height=120&amp;START_MAXIMIZED=FALSE&amp;creator=factset&amp;display_string=Audit"}</definedName>
    <definedName name="_1971__FDSAUDITLINK__" hidden="1">{"fdsup://Directions/FactSet Auditing Viewer?action=AUDIT_VALUE&amp;DB=129&amp;ID1=40377710&amp;VALUEID=01001&amp;SDATE=200804&amp;PERIODTYPE=QTR_STD&amp;window=popup_no_bar&amp;width=385&amp;height=120&amp;START_MAXIMIZED=FALSE&amp;creator=factset&amp;display_string=Audit"}</definedName>
    <definedName name="_1972__FDSAUDITLINK__" hidden="1">{"fdsup://Directions/FactSet Auditing Viewer?action=AUDIT_VALUE&amp;DB=129&amp;ID1=40377710&amp;VALUEID=01001&amp;SDATE=200901&amp;PERIODTYPE=QTR_STD&amp;window=popup_no_bar&amp;width=385&amp;height=120&amp;START_MAXIMIZED=FALSE&amp;creator=factset&amp;display_string=Audit"}</definedName>
    <definedName name="_1973__FDSAUDITLINK__" hidden="1">{"fdsup://Directions/FactSet Auditing Viewer?action=AUDIT_VALUE&amp;DB=129&amp;ID1=40377710&amp;VALUEID=02101&amp;SDATE=200901&amp;PERIODTYPE=QTR_STD&amp;window=popup_no_bar&amp;width=385&amp;height=120&amp;START_MAXIMIZED=FALSE&amp;creator=factset&amp;display_string=Audit"}</definedName>
    <definedName name="_1974__FDSAUDITLINK__" hidden="1">{"fdsup://Directions/FactSet Auditing Viewer?action=AUDIT_VALUE&amp;DB=129&amp;ID1=40377710&amp;VALUEID=01001&amp;SDATE=200902&amp;PERIODTYPE=QTR_STD&amp;window=popup_no_bar&amp;width=385&amp;height=120&amp;START_MAXIMIZED=FALSE&amp;creator=factset&amp;display_string=Audit"}</definedName>
    <definedName name="_1975__FDSAUDITLINK__" hidden="1">{"fdsup://Directions/FactSet Auditing Viewer?action=AUDIT_VALUE&amp;DB=129&amp;ID1=40377710&amp;VALUEID=02101&amp;SDATE=200902&amp;PERIODTYPE=QTR_STD&amp;window=popup_no_bar&amp;width=385&amp;height=120&amp;START_MAXIMIZED=FALSE&amp;creator=factset&amp;display_string=Audit"}</definedName>
    <definedName name="_1976__FDSAUDITLINK__" hidden="1">{"fdsup://Directions/FactSet Auditing Viewer?action=AUDIT_VALUE&amp;DB=129&amp;ID1=40377710&amp;VALUEID=01001&amp;SDATE=200903&amp;PERIODTYPE=QTR_STD&amp;window=popup_no_bar&amp;width=385&amp;height=120&amp;START_MAXIMIZED=FALSE&amp;creator=factset&amp;display_string=Audit"}</definedName>
    <definedName name="_1977__FDSAUDITLINK__" hidden="1">{"fdsup://Directions/FactSet Auditing Viewer?action=AUDIT_VALUE&amp;DB=129&amp;ID1=40377710&amp;VALUEID=02101&amp;SDATE=200903&amp;PERIODTYPE=QTR_STD&amp;window=popup_no_bar&amp;width=385&amp;height=120&amp;START_MAXIMIZED=FALSE&amp;creator=factset&amp;display_string=Audit"}</definedName>
    <definedName name="_1978__FDSAUDITLINK__" hidden="1">{"fdsup://Directions/FactSet Auditing Viewer?action=AUDIT_VALUE&amp;DB=129&amp;ID1=40377710&amp;VALUEID=01001&amp;SDATE=200904&amp;PERIODTYPE=QTR_STD&amp;window=popup_no_bar&amp;width=385&amp;height=120&amp;START_MAXIMIZED=FALSE&amp;creator=factset&amp;display_string=Audit"}</definedName>
    <definedName name="_1979__FDSAUDITLINK__" hidden="1">{"fdsup://Directions/FactSet Auditing Viewer?action=AUDIT_VALUE&amp;DB=129&amp;ID1=40377710&amp;VALUEID=01001&amp;SDATE=201001&amp;PERIODTYPE=QTR_STD&amp;window=popup_no_bar&amp;width=385&amp;height=120&amp;START_MAXIMIZED=FALSE&amp;creator=factset&amp;display_string=Audit"}</definedName>
    <definedName name="_198__FDSAUDITLINK__" hidden="1">{"fdsup://Directions/FactSet Auditing Viewer?action=AUDIT_VALUE&amp;DB=129&amp;ID1=00786510&amp;VALUEID=01001&amp;SDATE=200704&amp;PERIODTYPE=QTR_STD&amp;window=popup_no_bar&amp;width=385&amp;height=120&amp;START_MAXIMIZED=FALSE&amp;creator=factset&amp;display_string=Audit"}</definedName>
    <definedName name="_1980__FDSAUDITLINK__" hidden="1">{"fdsup://Directions/FactSet Auditing Viewer?action=AUDIT_VALUE&amp;DB=129&amp;ID1=40377710&amp;VALUEID=02101&amp;SDATE=201001&amp;PERIODTYPE=QTR_STD&amp;window=popup_no_bar&amp;width=385&amp;height=120&amp;START_MAXIMIZED=FALSE&amp;creator=factset&amp;display_string=Audit"}</definedName>
    <definedName name="_1981__FDSAUDITLINK__" hidden="1">{"fdsup://directions/FAT Viewer?action=UPDATE&amp;creator=factset&amp;DYN_ARGS=TRUE&amp;DOC_NAME=FAT:FQL_AUDITING_CLIENT_TEMPLATE.FAT&amp;display_string=Audit&amp;VAR:KEY=TIVULSDMDS&amp;VAR:QUERY=RkZfUlRfU0ZfVE9UX0dST1NTKFFUUiwtNDQp&amp;WINDOW=FIRST_POPUP&amp;HEIGHT=450&amp;WIDTH=450&amp;START_MA","XIMIZED=FALSE&amp;VAR:CALENDAR=US&amp;VAR:SYMBOL=GYMB&amp;VAR:INDEX=0"}</definedName>
    <definedName name="_1982__FDSAUDITLINK__" hidden="1">{"fdsup://directions/FAT Viewer?action=UPDATE&amp;creator=factset&amp;DYN_ARGS=TRUE&amp;DOC_NAME=FAT:FQL_AUDITING_CLIENT_TEMPLATE.FAT&amp;display_string=Audit&amp;VAR:KEY=LGPIREFUFO&amp;VAR:QUERY=RkZfUlRfU0ZfVE9UX0dST1NTKFFUUiwtNDMp&amp;WINDOW=FIRST_POPUP&amp;HEIGHT=450&amp;WIDTH=450&amp;START_MA","XIMIZED=FALSE&amp;VAR:CALENDAR=US&amp;VAR:SYMBOL=GYMB&amp;VAR:INDEX=0"}</definedName>
    <definedName name="_1983__FDSAUDITLINK__" hidden="1">{"fdsup://directions/FAT Viewer?action=UPDATE&amp;creator=factset&amp;DYN_ARGS=TRUE&amp;DOC_NAME=FAT:FQL_AUDITING_CLIENT_TEMPLATE.FAT&amp;display_string=Audit&amp;VAR:KEY=JYTABURKFY&amp;VAR:QUERY=RkZfUlRfU0ZfVE9UX0dST1NTKFFUUiwtNDIp&amp;WINDOW=FIRST_POPUP&amp;HEIGHT=450&amp;WIDTH=450&amp;START_MA","XIMIZED=FALSE&amp;VAR:CALENDAR=US&amp;VAR:SYMBOL=GYMB&amp;VAR:INDEX=0"}</definedName>
    <definedName name="_1984__FDSAUDITLINK__" hidden="1">{"fdsup://directions/FAT Viewer?action=UPDATE&amp;creator=factset&amp;DYN_ARGS=TRUE&amp;DOC_NAME=FAT:FQL_AUDITING_CLIENT_TEMPLATE.FAT&amp;display_string=Audit&amp;VAR:KEY=NQZSJEVCTC&amp;VAR:QUERY=RkZfUlRfU0ZfVE9UX0dST1NTKFFUUiwtNDEp&amp;WINDOW=FIRST_POPUP&amp;HEIGHT=450&amp;WIDTH=450&amp;START_MA","XIMIZED=FALSE&amp;VAR:CALENDAR=US&amp;VAR:SYMBOL=GYMB&amp;VAR:INDEX=0"}</definedName>
    <definedName name="_1985__FDSAUDITLINK__" hidden="1">{"fdsup://directions/FAT Viewer?action=UPDATE&amp;creator=factset&amp;DYN_ARGS=TRUE&amp;DOC_NAME=FAT:FQL_AUDITING_CLIENT_TEMPLATE.FAT&amp;display_string=Audit&amp;VAR:KEY=VAXEBONQHK&amp;VAR:QUERY=RkZfUlRfU0ZfVE9UX0dST1NTKFFUUiwtNDAp&amp;WINDOW=FIRST_POPUP&amp;HEIGHT=450&amp;WIDTH=450&amp;START_MA","XIMIZED=FALSE&amp;VAR:CALENDAR=US&amp;VAR:SYMBOL=GYMB&amp;VAR:INDEX=0"}</definedName>
    <definedName name="_1986__FDSAUDITLINK__" hidden="1">{"fdsup://directions/FAT Viewer?action=UPDATE&amp;creator=factset&amp;DYN_ARGS=TRUE&amp;DOC_NAME=FAT:FQL_AUDITING_CLIENT_TEMPLATE.FAT&amp;display_string=Audit&amp;VAR:KEY=PIHQPQTEFG&amp;VAR:QUERY=RkZfUlRfU0ZfVE9UX0dST1NTKFFUUiwtMzkp&amp;WINDOW=FIRST_POPUP&amp;HEIGHT=450&amp;WIDTH=450&amp;START_MA","XIMIZED=FALSE&amp;VAR:CALENDAR=US&amp;VAR:SYMBOL=GYMB&amp;VAR:INDEX=0"}</definedName>
    <definedName name="_1987__FDSAUDITLINK__" hidden="1">{"fdsup://directions/FAT Viewer?action=UPDATE&amp;creator=factset&amp;DYN_ARGS=TRUE&amp;DOC_NAME=FAT:FQL_AUDITING_CLIENT_TEMPLATE.FAT&amp;display_string=Audit&amp;VAR:KEY=PWPALKRENU&amp;VAR:QUERY=RkZfUlRfU0ZfVE9UX0dST1NTKFFUUiwtMzgp&amp;WINDOW=FIRST_POPUP&amp;HEIGHT=450&amp;WIDTH=450&amp;START_MA","XIMIZED=FALSE&amp;VAR:CALENDAR=US&amp;VAR:SYMBOL=GYMB&amp;VAR:INDEX=0"}</definedName>
    <definedName name="_1988__FDSAUDITLINK__" hidden="1">{"fdsup://directions/FAT Viewer?action=UPDATE&amp;creator=factset&amp;DYN_ARGS=TRUE&amp;DOC_NAME=FAT:FQL_AUDITING_CLIENT_TEMPLATE.FAT&amp;display_string=Audit&amp;VAR:KEY=FKZQDQZSLI&amp;VAR:QUERY=RkZfUlRfU0ZfVE9UX0dST1NTKFFUUiwtMzcp&amp;WINDOW=FIRST_POPUP&amp;HEIGHT=450&amp;WIDTH=450&amp;START_MA","XIMIZED=FALSE&amp;VAR:CALENDAR=US&amp;VAR:SYMBOL=GYMB&amp;VAR:INDEX=0"}</definedName>
    <definedName name="_1989__FDSAUDITLINK__" hidden="1">{"fdsup://directions/FAT Viewer?action=UPDATE&amp;creator=factset&amp;DYN_ARGS=TRUE&amp;DOC_NAME=FAT:FQL_AUDITING_CLIENT_TEMPLATE.FAT&amp;display_string=Audit&amp;VAR:KEY=HQVKRWHAXM&amp;VAR:QUERY=RkZfUlRfU0ZfVE9UX0dST1NTKFFUUiwtMzYp&amp;WINDOW=FIRST_POPUP&amp;HEIGHT=450&amp;WIDTH=450&amp;START_MA","XIMIZED=FALSE&amp;VAR:CALENDAR=US&amp;VAR:SYMBOL=GYMB&amp;VAR:INDEX=0"}</definedName>
    <definedName name="_199__FDSAUDITLINK__" hidden="1">{"fdsup://Directions/FactSet Auditing Viewer?action=AUDIT_VALUE&amp;DB=129&amp;ID1=87416110&amp;VALUEID=02101&amp;SDATE=200703&amp;PERIODTYPE=QTR_STD&amp;window=popup_no_bar&amp;width=385&amp;height=120&amp;START_MAXIMIZED=FALSE&amp;creator=factset&amp;display_string=Audit"}</definedName>
    <definedName name="_1990__FDSAUDITLINK__" hidden="1">{"fdsup://directions/FAT Viewer?action=UPDATE&amp;creator=factset&amp;DYN_ARGS=TRUE&amp;DOC_NAME=FAT:FQL_AUDITING_CLIENT_TEMPLATE.FAT&amp;display_string=Audit&amp;VAR:KEY=FKDCROBATC&amp;VAR:QUERY=RkZfUlRfU0ZfVE9UX0dST1NTKFFUUiwtMzUp&amp;WINDOW=FIRST_POPUP&amp;HEIGHT=450&amp;WIDTH=450&amp;START_MA","XIMIZED=FALSE&amp;VAR:CALENDAR=US&amp;VAR:SYMBOL=GYMB&amp;VAR:INDEX=0"}</definedName>
    <definedName name="_1991__FDSAUDITLINK__" hidden="1">{"fdsup://directions/FAT Viewer?action=UPDATE&amp;creator=factset&amp;DYN_ARGS=TRUE&amp;DOC_NAME=FAT:FQL_AUDITING_CLIENT_TEMPLATE.FAT&amp;display_string=Audit&amp;VAR:KEY=RGXKJGXSRY&amp;VAR:QUERY=RkZfUlRfU0ZfVE9UX0dST1NTKFFUUiwtMzQp&amp;WINDOW=FIRST_POPUP&amp;HEIGHT=450&amp;WIDTH=450&amp;START_MA","XIMIZED=FALSE&amp;VAR:CALENDAR=US&amp;VAR:SYMBOL=GYMB&amp;VAR:INDEX=0"}</definedName>
    <definedName name="_1992__FDSAUDITLINK__" hidden="1">{"fdsup://directions/FAT Viewer?action=UPDATE&amp;creator=factset&amp;DYN_ARGS=TRUE&amp;DOC_NAME=FAT:FQL_AUDITING_CLIENT_TEMPLATE.FAT&amp;display_string=Audit&amp;VAR:KEY=NEDCPADABM&amp;VAR:QUERY=RkZfUlRfU0ZfVE9UX0dST1NTKFFUUiwtMzMp&amp;WINDOW=FIRST_POPUP&amp;HEIGHT=450&amp;WIDTH=450&amp;START_MA","XIMIZED=FALSE&amp;VAR:CALENDAR=US&amp;VAR:SYMBOL=GYMB&amp;VAR:INDEX=0"}</definedName>
    <definedName name="_1993__FDSAUDITLINK__" hidden="1">{"fdsup://directions/FAT Viewer?action=UPDATE&amp;creator=factset&amp;DYN_ARGS=TRUE&amp;DOC_NAME=FAT:FQL_AUDITING_CLIENT_TEMPLATE.FAT&amp;display_string=Audit&amp;VAR:KEY=LSHCBIVWFW&amp;VAR:QUERY=RkZfUlRfU0ZfVE9UX0dST1NTKFFUUiwtMzIp&amp;WINDOW=FIRST_POPUP&amp;HEIGHT=450&amp;WIDTH=450&amp;START_MA","XIMIZED=FALSE&amp;VAR:CALENDAR=US&amp;VAR:SYMBOL=GYMB&amp;VAR:INDEX=0"}</definedName>
    <definedName name="_1994__FDSAUDITLINK__" hidden="1">{"fdsup://directions/FAT Viewer?action=UPDATE&amp;creator=factset&amp;DYN_ARGS=TRUE&amp;DOC_NAME=FAT:FQL_AUDITING_CLIENT_TEMPLATE.FAT&amp;display_string=Audit&amp;VAR:KEY=RIBYZAVYBO&amp;VAR:QUERY=RkZfUlRfU0ZfVE9UX0dST1NTKFFUUiwtMzEp&amp;WINDOW=FIRST_POPUP&amp;HEIGHT=450&amp;WIDTH=450&amp;START_MA","XIMIZED=FALSE&amp;VAR:CALENDAR=US&amp;VAR:SYMBOL=GYMB&amp;VAR:INDEX=0"}</definedName>
    <definedName name="_1995__FDSAUDITLINK__" hidden="1">{"fdsup://directions/FAT Viewer?action=UPDATE&amp;creator=factset&amp;DYN_ARGS=TRUE&amp;DOC_NAME=FAT:FQL_AUDITING_CLIENT_TEMPLATE.FAT&amp;display_string=Audit&amp;VAR:KEY=DKPUNITODE&amp;VAR:QUERY=RkZfUlRfU0ZfVE9UX0dST1NTKFFUUiwtMzAp&amp;WINDOW=FIRST_POPUP&amp;HEIGHT=450&amp;WIDTH=450&amp;START_MA","XIMIZED=FALSE&amp;VAR:CALENDAR=US&amp;VAR:SYMBOL=GYMB&amp;VAR:INDEX=0"}</definedName>
    <definedName name="_1996__FDSAUDITLINK__" hidden="1">{"fdsup://directions/FAT Viewer?action=UPDATE&amp;creator=factset&amp;DYN_ARGS=TRUE&amp;DOC_NAME=FAT:FQL_AUDITING_CLIENT_TEMPLATE.FAT&amp;display_string=Audit&amp;VAR:KEY=DCZMDKFYDS&amp;VAR:QUERY=RkZfUlRfU0ZfVE9UX0dST1NTKFFUUiwtMjkp&amp;WINDOW=FIRST_POPUP&amp;HEIGHT=450&amp;WIDTH=450&amp;START_MA","XIMIZED=FALSE&amp;VAR:CALENDAR=US&amp;VAR:SYMBOL=GYMB&amp;VAR:INDEX=0"}</definedName>
    <definedName name="_1997__FDSAUDITLINK__" hidden="1">{"fdsup://directions/FAT Viewer?action=UPDATE&amp;creator=factset&amp;DYN_ARGS=TRUE&amp;DOC_NAME=FAT:FQL_AUDITING_CLIENT_TEMPLATE.FAT&amp;display_string=Audit&amp;VAR:KEY=REBEDKBEJS&amp;VAR:QUERY=RkZfUlRfU0ZfVE9UX0dST1NTKFFUUiwtMjgp&amp;WINDOW=FIRST_POPUP&amp;HEIGHT=450&amp;WIDTH=450&amp;START_MA","XIMIZED=FALSE&amp;VAR:CALENDAR=US&amp;VAR:SYMBOL=GYMB&amp;VAR:INDEX=0"}</definedName>
    <definedName name="_1998__FDSAUDITLINK__" hidden="1">{"fdsup://directions/FAT Viewer?action=UPDATE&amp;creator=factset&amp;DYN_ARGS=TRUE&amp;DOC_NAME=FAT:FQL_AUDITING_CLIENT_TEMPLATE.FAT&amp;display_string=Audit&amp;VAR:KEY=LOPKLIVKBE&amp;VAR:QUERY=RkZfUlRfU0ZfVE9UX0dST1NTKFFUUiwtMjcp&amp;WINDOW=FIRST_POPUP&amp;HEIGHT=450&amp;WIDTH=450&amp;START_MA","XIMIZED=FALSE&amp;VAR:CALENDAR=US&amp;VAR:SYMBOL=GYMB&amp;VAR:INDEX=0"}</definedName>
    <definedName name="_1999__FDSAUDITLINK__" hidden="1">{"fdsup://directions/FAT Viewer?action=UPDATE&amp;creator=factset&amp;DYN_ARGS=TRUE&amp;DOC_NAME=FAT:FQL_AUDITING_CLIENT_TEMPLATE.FAT&amp;display_string=Audit&amp;VAR:KEY=HWTMTYBQHY&amp;VAR:QUERY=RkZfUlRfU0ZfVE9UX0dST1NTKFFUUiwtMjYp&amp;WINDOW=FIRST_POPUP&amp;HEIGHT=450&amp;WIDTH=450&amp;START_MA","XIMIZED=FALSE&amp;VAR:CALENDAR=US&amp;VAR:SYMBOL=GYMB&amp;VAR:INDEX=0"}</definedName>
    <definedName name="_2__FDSAUDITLINK__" hidden="1">{"fdsup://Directions/FactSet Auditing Viewer?action=AUDIT_VALUE&amp;DB=129&amp;ID1=87416110&amp;VALUEID=13040&amp;SDATE=201001&amp;PERIODTYPE=QTR_STD&amp;window=popup_no_bar&amp;width=385&amp;height=120&amp;START_MAXIMIZED=FALSE&amp;creator=factset&amp;display_string=Audit"}</definedName>
    <definedName name="_20__FDSAUDITLINK__" hidden="1">{"fdsup://Directions/FactSet Auditing Viewer?action=AUDIT_VALUE&amp;DB=129&amp;ID1=00289620&amp;VALUEID=13040&amp;SDATE=201001&amp;PERIODTYPE=QTR_STD&amp;window=popup_no_bar&amp;width=385&amp;height=120&amp;START_MAXIMIZED=FALSE&amp;creator=factset&amp;display_string=Audit"}</definedName>
    <definedName name="_200__FDSAUDITLINK__" hidden="1">{"fdsup://Directions/FactSet Auditing Viewer?action=AUDIT_VALUE&amp;DB=129&amp;ID1=87416110&amp;VALUEID=01001&amp;SDATE=200703&amp;PERIODTYPE=QTR_STD&amp;window=popup_no_bar&amp;width=385&amp;height=120&amp;START_MAXIMIZED=FALSE&amp;creator=factset&amp;display_string=Audit"}</definedName>
    <definedName name="_2000__FDSAUDITLINK__" hidden="1">{"fdsup://directions/FAT Viewer?action=UPDATE&amp;creator=factset&amp;DYN_ARGS=TRUE&amp;DOC_NAME=FAT:FQL_AUDITING_CLIENT_TEMPLATE.FAT&amp;display_string=Audit&amp;VAR:KEY=PUPOZEVABO&amp;VAR:QUERY=RkZfUlRfU0ZfVE9UX0dST1NTKFFUUiwtMjUp&amp;WINDOW=FIRST_POPUP&amp;HEIGHT=450&amp;WIDTH=450&amp;START_MA","XIMIZED=FALSE&amp;VAR:CALENDAR=US&amp;VAR:SYMBOL=GYMB&amp;VAR:INDEX=0"}</definedName>
    <definedName name="_2001__FDSAUDITLINK__" hidden="1">{"fdsup://directions/FAT Viewer?action=UPDATE&amp;creator=factset&amp;DYN_ARGS=TRUE&amp;DOC_NAME=FAT:FQL_AUDITING_CLIENT_TEMPLATE.FAT&amp;display_string=Audit&amp;VAR:KEY=DCZYDEDCZQ&amp;VAR:QUERY=RkZfUlRfU0ZfVE9UX0dST1NTKFFUUiwtMjQp&amp;WINDOW=FIRST_POPUP&amp;HEIGHT=450&amp;WIDTH=450&amp;START_MA","XIMIZED=FALSE&amp;VAR:CALENDAR=US&amp;VAR:SYMBOL=GYMB&amp;VAR:INDEX=0"}</definedName>
    <definedName name="_2002__FDSAUDITLINK__" hidden="1">{"fdsup://directions/FAT Viewer?action=UPDATE&amp;creator=factset&amp;DYN_ARGS=TRUE&amp;DOC_NAME=FAT:FQL_AUDITING_CLIENT_TEMPLATE.FAT&amp;display_string=Audit&amp;VAR:KEY=FOBGXGRATQ&amp;VAR:QUERY=RkZfUlRfU0ZfVE9UX0dST1NTKFFUUiwtMjMp&amp;WINDOW=FIRST_POPUP&amp;HEIGHT=450&amp;WIDTH=450&amp;START_MA","XIMIZED=FALSE&amp;VAR:CALENDAR=US&amp;VAR:SYMBOL=GYMB&amp;VAR:INDEX=0"}</definedName>
    <definedName name="_2003__FDSAUDITLINK__" hidden="1">{"fdsup://directions/FAT Viewer?action=UPDATE&amp;creator=factset&amp;DYN_ARGS=TRUE&amp;DOC_NAME=FAT:FQL_AUDITING_CLIENT_TEMPLATE.FAT&amp;display_string=Audit&amp;VAR:KEY=HIRWDWNUXK&amp;VAR:QUERY=RkZfUlRfU0ZfVE9UX0dST1NTKFFUUiwtMjIp&amp;WINDOW=FIRST_POPUP&amp;HEIGHT=450&amp;WIDTH=450&amp;START_MA","XIMIZED=FALSE&amp;VAR:CALENDAR=US&amp;VAR:SYMBOL=GYMB&amp;VAR:INDEX=0"}</definedName>
    <definedName name="_2004__FDSAUDITLINK__" hidden="1">{"fdsup://directions/FAT Viewer?action=UPDATE&amp;creator=factset&amp;DYN_ARGS=TRUE&amp;DOC_NAME=FAT:FQL_AUDITING_CLIENT_TEMPLATE.FAT&amp;display_string=Audit&amp;VAR:KEY=JURGFOXYHE&amp;VAR:QUERY=RkZfUlRfU0ZfVE9UX0dST1NTKFFUUiwtMjEp&amp;WINDOW=FIRST_POPUP&amp;HEIGHT=450&amp;WIDTH=450&amp;START_MA","XIMIZED=FALSE&amp;VAR:CALENDAR=US&amp;VAR:SYMBOL=GYMB&amp;VAR:INDEX=0"}</definedName>
    <definedName name="_2005__FDSAUDITLINK__" hidden="1">{"fdsup://directions/FAT Viewer?action=UPDATE&amp;creator=factset&amp;DYN_ARGS=TRUE&amp;DOC_NAME=FAT:FQL_AUDITING_CLIENT_TEMPLATE.FAT&amp;display_string=Audit&amp;VAR:KEY=DSNMNEJEJG&amp;VAR:QUERY=RkZfUlRfU0ZfVE9UX0dST1NTKFFUUiwtMjAp&amp;WINDOW=FIRST_POPUP&amp;HEIGHT=450&amp;WIDTH=450&amp;START_MA","XIMIZED=FALSE&amp;VAR:CALENDAR=US&amp;VAR:SYMBOL=GYMB&amp;VAR:INDEX=0"}</definedName>
    <definedName name="_2006__FDSAUDITLINK__" hidden="1">{"fdsup://directions/FAT Viewer?action=UPDATE&amp;creator=factset&amp;DYN_ARGS=TRUE&amp;DOC_NAME=FAT:FQL_AUDITING_CLIENT_TEMPLATE.FAT&amp;display_string=Audit&amp;VAR:KEY=PWTUNSTSTY&amp;VAR:QUERY=RkZfUlRfU0ZfVE9UX0dST1NTKFFUUiwtMTkp&amp;WINDOW=FIRST_POPUP&amp;HEIGHT=450&amp;WIDTH=450&amp;START_MA","XIMIZED=FALSE&amp;VAR:CALENDAR=US&amp;VAR:SYMBOL=GYMB&amp;VAR:INDEX=0"}</definedName>
    <definedName name="_2007__FDSAUDITLINK__" hidden="1">{"fdsup://directions/FAT Viewer?action=UPDATE&amp;creator=factset&amp;DYN_ARGS=TRUE&amp;DOC_NAME=FAT:FQL_AUDITING_CLIENT_TEMPLATE.FAT&amp;display_string=Audit&amp;VAR:KEY=ZQNKHKRKLC&amp;VAR:QUERY=RkZfUlRfU0ZfVE9UX0dST1NTKFFUUiwtMTgp&amp;WINDOW=FIRST_POPUP&amp;HEIGHT=450&amp;WIDTH=450&amp;START_MA","XIMIZED=FALSE&amp;VAR:CALENDAR=US&amp;VAR:SYMBOL=GYMB&amp;VAR:INDEX=0"}</definedName>
    <definedName name="_2008__FDSAUDITLINK__" hidden="1">{"fdsup://Directions/FactSet Auditing Viewer?action=AUDIT_VALUE&amp;DB=129&amp;ID1=40377710&amp;VALUEID=13040&amp;SDATE=200802&amp;PERIODTYPE=QTR_STD&amp;window=popup_no_bar&amp;width=385&amp;height=120&amp;START_MAXIMIZED=FALSE&amp;creator=factset&amp;display_string=Audit"}</definedName>
    <definedName name="_2009__FDSAUDITLINK__" hidden="1">{"fdsup://directions/FAT Viewer?action=UPDATE&amp;creator=factset&amp;DYN_ARGS=TRUE&amp;DOC_NAME=FAT:FQL_AUDITING_CLIENT_TEMPLATE.FAT&amp;display_string=Audit&amp;VAR:KEY=NUNSNKTEFS&amp;VAR:QUERY=RkZfUlRfU0ZfVE9UX0dST1NTKFFUUiwtNyk=&amp;WINDOW=FIRST_POPUP&amp;HEIGHT=450&amp;WIDTH=450&amp;START_MA","XIMIZED=FALSE&amp;VAR:CALENDAR=US&amp;VAR:SYMBOL=GYMB&amp;VAR:INDEX=0"}</definedName>
    <definedName name="_201__FDSAUDITLINK__" hidden="1">{"fdsup://Directions/FactSet Auditing Viewer?action=AUDIT_VALUE&amp;DB=129&amp;ID1=53271610&amp;VALUEID=02101&amp;SDATE=200703&amp;PERIODTYPE=QTR_STD&amp;window=popup_no_bar&amp;width=385&amp;height=120&amp;START_MAXIMIZED=FALSE&amp;creator=factset&amp;display_string=Audit"}</definedName>
    <definedName name="_2010__FDSAUDITLINK__" hidden="1">{"fdsup://Directions/FactSet Auditing Viewer?action=AUDIT_VALUE&amp;DB=129&amp;ID1=40377710&amp;VALUEID=13040&amp;SDATE=200803&amp;PERIODTYPE=QTR_STD&amp;window=popup_no_bar&amp;width=385&amp;height=120&amp;START_MAXIMIZED=FALSE&amp;creator=factset&amp;display_string=Audit"}</definedName>
    <definedName name="_2011__FDSAUDITLINK__" hidden="1">{"fdsup://directions/FAT Viewer?action=UPDATE&amp;creator=factset&amp;DYN_ARGS=TRUE&amp;DOC_NAME=FAT:FQL_AUDITING_CLIENT_TEMPLATE.FAT&amp;display_string=Audit&amp;VAR:KEY=BGRGLCFUJA&amp;VAR:QUERY=RkZfUlRfU0ZfVE9UX0dST1NTKFFUUiwtNik=&amp;WINDOW=FIRST_POPUP&amp;HEIGHT=450&amp;WIDTH=450&amp;START_MA","XIMIZED=FALSE&amp;VAR:CALENDAR=US&amp;VAR:SYMBOL=GYMB&amp;VAR:INDEX=0"}</definedName>
    <definedName name="_2012__FDSAUDITLINK__" hidden="1">{"fdsup://directions/FAT Viewer?action=UPDATE&amp;creator=factset&amp;DYN_ARGS=TRUE&amp;DOC_NAME=FAT:FQL_AUDITING_CLIENT_TEMPLATE.FAT&amp;display_string=Audit&amp;VAR:KEY=FQBWFOZQXU&amp;VAR:QUERY=RkZfUlRfU0ZfVE9UX0dST1NTKFFUUiwtNSk=&amp;WINDOW=FIRST_POPUP&amp;HEIGHT=450&amp;WIDTH=450&amp;START_MA","XIMIZED=FALSE&amp;VAR:CALENDAR=US&amp;VAR:SYMBOL=GYMB&amp;VAR:INDEX=0"}</definedName>
    <definedName name="_2013__FDSAUDITLINK__" hidden="1">{"fdsup://Directions/FactSet Auditing Viewer?action=AUDIT_VALUE&amp;DB=129&amp;ID1=40377710&amp;VALUEID=13040&amp;SDATE=200901&amp;PERIODTYPE=QTR_STD&amp;window=popup_no_bar&amp;width=385&amp;height=120&amp;START_MAXIMIZED=FALSE&amp;creator=factset&amp;display_string=Audit"}</definedName>
    <definedName name="_2014__FDSAUDITLINK__" hidden="1">{"fdsup://directions/FAT Viewer?action=UPDATE&amp;creator=factset&amp;DYN_ARGS=TRUE&amp;DOC_NAME=FAT:FQL_AUDITING_CLIENT_TEMPLATE.FAT&amp;display_string=Audit&amp;VAR:KEY=JGROVCLUZW&amp;VAR:QUERY=RkZfUlRfU0ZfVE9UX0dST1NTKFFUUiwtNCk=&amp;WINDOW=FIRST_POPUP&amp;HEIGHT=450&amp;WIDTH=450&amp;START_MA","XIMIZED=FALSE&amp;VAR:CALENDAR=US&amp;VAR:SYMBOL=GYMB&amp;VAR:INDEX=0"}</definedName>
    <definedName name="_2015__FDSAUDITLINK__" hidden="1">{"fdsup://Directions/FactSet Auditing Viewer?action=AUDIT_VALUE&amp;DB=129&amp;ID1=40377710&amp;VALUEID=13040&amp;SDATE=201001&amp;PERIODTYPE=QTR_STD&amp;window=popup_no_bar&amp;width=385&amp;height=120&amp;START_MAXIMIZED=FALSE&amp;creator=factset&amp;display_string=Audit"}</definedName>
    <definedName name="_2016__FDSAUDITLINK__" hidden="1">{"fdsup://Directions/FactSet Auditing Viewer?action=AUDIT_VALUE&amp;DB=129&amp;ID1=40377710&amp;VALUEID=13040&amp;SDATE=200602&amp;PERIODTYPE=QTR_STD&amp;window=popup_no_bar&amp;width=385&amp;height=120&amp;START_MAXIMIZED=FALSE&amp;creator=factset&amp;display_string=Audit"}</definedName>
    <definedName name="_2017__FDSAUDITLINK__" hidden="1">{"fdsup://Directions/FactSet Auditing Viewer?action=AUDIT_VALUE&amp;DB=129&amp;ID1=40377710&amp;VALUEID=13040&amp;SDATE=200601&amp;PERIODTYPE=QTR_STD&amp;window=popup_no_bar&amp;width=385&amp;height=120&amp;START_MAXIMIZED=FALSE&amp;creator=factset&amp;display_string=Audit"}</definedName>
    <definedName name="_2018__FDSAUDITLINK__" hidden="1">{"fdsup://directions/FAT Viewer?action=UPDATE&amp;creator=factset&amp;DYN_ARGS=TRUE&amp;DOC_NAME=FAT:FQL_AUDITING_CLIENT_TEMPLATE.FAT&amp;display_string=Audit&amp;VAR:KEY=XGDODMRERE&amp;VAR:QUERY=RkZfUlRfU0ZfVE9UX0dST1NTKFFUUiwtMTcp&amp;WINDOW=FIRST_POPUP&amp;HEIGHT=450&amp;WIDTH=450&amp;START_MA","XIMIZED=FALSE&amp;VAR:CALENDAR=US&amp;VAR:SYMBOL=GYMB&amp;VAR:INDEX=0"}</definedName>
    <definedName name="_2019__FDSAUDITLINK__" hidden="1">{"fdsup://Directions/FactSet Auditing Viewer?action=AUDIT_VALUE&amp;DB=129&amp;ID1=40377710&amp;VALUEID=13040&amp;SDATE=200603&amp;PERIODTYPE=QTR_STD&amp;window=popup_no_bar&amp;width=385&amp;height=120&amp;START_MAXIMIZED=FALSE&amp;creator=factset&amp;display_string=Audit"}</definedName>
    <definedName name="_202__FDSAUDITLINK__" hidden="1">{"fdsup://Directions/FactSet Auditing Viewer?action=AUDIT_VALUE&amp;DB=129&amp;ID1=53271610&amp;VALUEID=01001&amp;SDATE=200703&amp;PERIODTYPE=QTR_STD&amp;window=popup_no_bar&amp;width=385&amp;height=120&amp;START_MAXIMIZED=FALSE&amp;creator=factset&amp;display_string=Audit"}</definedName>
    <definedName name="_2020__FDSAUDITLINK__" hidden="1">{"fdsup://Directions/FactSet Auditing Viewer?action=AUDIT_VALUE&amp;DB=129&amp;ID1=40377710&amp;VALUEID=13040&amp;SDATE=200702&amp;PERIODTYPE=QTR_STD&amp;window=popup_no_bar&amp;width=385&amp;height=120&amp;START_MAXIMIZED=FALSE&amp;creator=factset&amp;display_string=Audit"}</definedName>
    <definedName name="_2021__FDSAUDITLINK__" hidden="1">{"fdsup://Directions/FactSet Auditing Viewer?action=AUDIT_VALUE&amp;DB=129&amp;ID1=40377710&amp;VALUEID=13040&amp;SDATE=200701&amp;PERIODTYPE=QTR_STD&amp;window=popup_no_bar&amp;width=385&amp;height=120&amp;START_MAXIMIZED=FALSE&amp;creator=factset&amp;display_string=Audit"}</definedName>
    <definedName name="_2022__FDSAUDITLINK__" hidden="1">{"fdsup://directions/FAT Viewer?action=UPDATE&amp;creator=factset&amp;DYN_ARGS=TRUE&amp;DOC_NAME=FAT:FQL_AUDITING_CLIENT_TEMPLATE.FAT&amp;display_string=Audit&amp;VAR:KEY=TCTMPMPOZI&amp;VAR:QUERY=RkZfUlRfU0ZfVE9UX0dST1NTKFFUUiwtMTMp&amp;WINDOW=FIRST_POPUP&amp;HEIGHT=450&amp;WIDTH=450&amp;START_MA","XIMIZED=FALSE&amp;VAR:CALENDAR=US&amp;VAR:SYMBOL=GYMB&amp;VAR:INDEX=0"}</definedName>
    <definedName name="_2023__FDSAUDITLINK__" hidden="1">{"fdsup://Directions/FactSet Auditing Viewer?action=AUDIT_VALUE&amp;DB=129&amp;ID1=40377710&amp;VALUEID=13040&amp;SDATE=200703&amp;PERIODTYPE=QTR_STD&amp;window=popup_no_bar&amp;width=385&amp;height=120&amp;START_MAXIMIZED=FALSE&amp;creator=factset&amp;display_string=Audit"}</definedName>
    <definedName name="_2024__FDSAUDITLINK__" hidden="1">{"fdsup://Directions/FactSet Auditing Viewer?action=AUDIT_VALUE&amp;DB=129&amp;ID1=40377710&amp;VALUEID=13040&amp;SDATE=200801&amp;PERIODTYPE=QTR_STD&amp;window=popup_no_bar&amp;width=385&amp;height=120&amp;START_MAXIMIZED=FALSE&amp;creator=factset&amp;display_string=Audit"}</definedName>
    <definedName name="_2025__FDSAUDITLINK__" hidden="1">{"fdsup://Directions/FactSet Auditing Viewer?action=AUDIT_VALUE&amp;DB=129&amp;ID1=40377710&amp;VALUEID=13040&amp;SDATE=200704&amp;PERIODTYPE=QTR_STD&amp;window=popup_no_bar&amp;width=385&amp;height=120&amp;START_MAXIMIZED=FALSE&amp;creator=factset&amp;display_string=Audit"}</definedName>
    <definedName name="_2026__FDSAUDITLINK__" hidden="1">{"fdsup://directions/FAT Viewer?action=UPDATE&amp;creator=factset&amp;DYN_ARGS=TRUE&amp;DOC_NAME=FAT:FQL_AUDITING_CLIENT_TEMPLATE.FAT&amp;display_string=Audit&amp;VAR:KEY=TERAZMHAFK&amp;VAR:QUERY=RkZfUlRfU0ZfVE9UX0dST1NTKFFUUiwtOSk=&amp;WINDOW=FIRST_POPUP&amp;HEIGHT=450&amp;WIDTH=450&amp;START_MA","XIMIZED=FALSE&amp;VAR:CALENDAR=US&amp;VAR:SYMBOL=GYMB&amp;VAR:INDEX=0"}</definedName>
    <definedName name="_2027__FDSAUDITLINK__" hidden="1">{"fdsup://Directions/FactSet Auditing Viewer?action=AUDIT_VALUE&amp;DB=129&amp;ID1=40377710&amp;VALUEID=13040&amp;SDATE=200903&amp;PERIODTYPE=QTR_STD&amp;window=popup_no_bar&amp;width=385&amp;height=120&amp;START_MAXIMIZED=FALSE&amp;creator=factset&amp;display_string=Audit"}</definedName>
    <definedName name="_2028__FDSAUDITLINK__" hidden="1">{"fdsup://Directions/FactSet Auditing Viewer?action=AUDIT_VALUE&amp;DB=129&amp;ID1=40377710&amp;VALUEID=13040&amp;SDATE=200902&amp;PERIODTYPE=QTR_STD&amp;window=popup_no_bar&amp;width=385&amp;height=120&amp;START_MAXIMIZED=FALSE&amp;creator=factset&amp;display_string=Audit"}</definedName>
    <definedName name="_2029__FDSAUDITLINK__" hidden="1">{"fdsup://Directions/FactSet Auditing Viewer?action=AUDIT_VALUE&amp;DB=129&amp;ID1=58711810&amp;VALUEID=01001&amp;SDATE=200601&amp;PERIODTYPE=QTR_STD&amp;window=popup_no_bar&amp;width=385&amp;height=120&amp;START_MAXIMIZED=FALSE&amp;creator=factset&amp;display_string=Audit"}</definedName>
    <definedName name="_203__FDSAUDITLINK__" hidden="1">{"fdsup://Directions/FactSet Auditing Viewer?action=AUDIT_VALUE&amp;DB=129&amp;ID1=53271610&amp;VALUEID=13040&amp;SDATE=200703&amp;PERIODTYPE=QTR_STD&amp;window=popup_no_bar&amp;width=385&amp;height=120&amp;START_MAXIMIZED=FALSE&amp;creator=factset&amp;display_string=Audit"}</definedName>
    <definedName name="_2030__FDSAUDITLINK__" hidden="1">{"fdsup://Directions/FactSet Auditing Viewer?action=AUDIT_VALUE&amp;DB=129&amp;ID1=58711810&amp;VALUEID=02101&amp;SDATE=200601&amp;PERIODTYPE=QTR_STD&amp;window=popup_no_bar&amp;width=385&amp;height=120&amp;START_MAXIMIZED=FALSE&amp;creator=factset&amp;display_string=Audit"}</definedName>
    <definedName name="_2031__FDSAUDITLINK__" hidden="1">{"fdsup://Directions/FactSet Auditing Viewer?action=AUDIT_VALUE&amp;DB=129&amp;ID1=58711810&amp;VALUEID=01001&amp;SDATE=200602&amp;PERIODTYPE=QTR_STD&amp;window=popup_no_bar&amp;width=385&amp;height=120&amp;START_MAXIMIZED=FALSE&amp;creator=factset&amp;display_string=Audit"}</definedName>
    <definedName name="_2032__FDSAUDITLINK__" hidden="1">{"fdsup://Directions/FactSet Auditing Viewer?action=AUDIT_VALUE&amp;DB=129&amp;ID1=58711810&amp;VALUEID=02101&amp;SDATE=200602&amp;PERIODTYPE=QTR_STD&amp;window=popup_no_bar&amp;width=385&amp;height=120&amp;START_MAXIMIZED=FALSE&amp;creator=factset&amp;display_string=Audit"}</definedName>
    <definedName name="_2033__FDSAUDITLINK__" hidden="1">{"fdsup://Directions/FactSet Auditing Viewer?action=AUDIT_VALUE&amp;DB=129&amp;ID1=58711810&amp;VALUEID=01001&amp;SDATE=200603&amp;PERIODTYPE=QTR_STD&amp;window=popup_no_bar&amp;width=385&amp;height=120&amp;START_MAXIMIZED=FALSE&amp;creator=factset&amp;display_string=Audit"}</definedName>
    <definedName name="_2034__FDSAUDITLINK__" hidden="1">{"fdsup://Directions/FactSet Auditing Viewer?action=AUDIT_VALUE&amp;DB=129&amp;ID1=58711810&amp;VALUEID=02101&amp;SDATE=200603&amp;PERIODTYPE=QTR_STD&amp;window=popup_no_bar&amp;width=385&amp;height=120&amp;START_MAXIMIZED=FALSE&amp;creator=factset&amp;display_string=Audit"}</definedName>
    <definedName name="_2035__FDSAUDITLINK__" hidden="1">{"fdsup://Directions/FactSet Auditing Viewer?action=AUDIT_VALUE&amp;DB=129&amp;ID1=58711810&amp;VALUEID=01001&amp;SDATE=200604&amp;PERIODTYPE=QTR_STD&amp;window=popup_no_bar&amp;width=385&amp;height=120&amp;START_MAXIMIZED=FALSE&amp;creator=factset&amp;display_string=Audit"}</definedName>
    <definedName name="_2036__FDSAUDITLINK__" hidden="1">{"fdsup://Directions/FactSet Auditing Viewer?action=AUDIT_VALUE&amp;DB=129&amp;ID1=58711810&amp;VALUEID=01001&amp;SDATE=200701&amp;PERIODTYPE=QTR_STD&amp;window=popup_no_bar&amp;width=385&amp;height=120&amp;START_MAXIMIZED=FALSE&amp;creator=factset&amp;display_string=Audit"}</definedName>
    <definedName name="_2037__FDSAUDITLINK__" hidden="1">{"fdsup://Directions/FactSet Auditing Viewer?action=AUDIT_VALUE&amp;DB=129&amp;ID1=58711810&amp;VALUEID=02101&amp;SDATE=200701&amp;PERIODTYPE=QTR_STD&amp;window=popup_no_bar&amp;width=385&amp;height=120&amp;START_MAXIMIZED=FALSE&amp;creator=factset&amp;display_string=Audit"}</definedName>
    <definedName name="_2038__FDSAUDITLINK__" hidden="1">{"fdsup://Directions/FactSet Auditing Viewer?action=AUDIT_VALUE&amp;DB=129&amp;ID1=58711810&amp;VALUEID=01001&amp;SDATE=200702&amp;PERIODTYPE=QTR_STD&amp;window=popup_no_bar&amp;width=385&amp;height=120&amp;START_MAXIMIZED=FALSE&amp;creator=factset&amp;display_string=Audit"}</definedName>
    <definedName name="_2039__FDSAUDITLINK__" hidden="1">{"fdsup://Directions/FactSet Auditing Viewer?action=AUDIT_VALUE&amp;DB=129&amp;ID1=58711810&amp;VALUEID=02101&amp;SDATE=200702&amp;PERIODTYPE=QTR_STD&amp;window=popup_no_bar&amp;width=385&amp;height=120&amp;START_MAXIMIZED=FALSE&amp;creator=factset&amp;display_string=Audit"}</definedName>
    <definedName name="_204__FDSAUDITLINK__" hidden="1">{"fdsup://Directions/FactSet Auditing Viewer?action=AUDIT_VALUE&amp;DB=129&amp;ID1=46612H40&amp;VALUEID=02101&amp;SDATE=200703&amp;PERIODTYPE=QTR_STD&amp;window=popup_no_bar&amp;width=385&amp;height=120&amp;START_MAXIMIZED=FALSE&amp;creator=factset&amp;display_string=Audit"}</definedName>
    <definedName name="_2040__FDSAUDITLINK__" hidden="1">{"fdsup://Directions/FactSet Auditing Viewer?action=AUDIT_VALUE&amp;DB=129&amp;ID1=58711810&amp;VALUEID=01001&amp;SDATE=200703&amp;PERIODTYPE=QTR_STD&amp;window=popup_no_bar&amp;width=385&amp;height=120&amp;START_MAXIMIZED=FALSE&amp;creator=factset&amp;display_string=Audit"}</definedName>
    <definedName name="_2041__FDSAUDITLINK__" hidden="1">{"fdsup://Directions/FactSet Auditing Viewer?action=AUDIT_VALUE&amp;DB=129&amp;ID1=58711810&amp;VALUEID=02101&amp;SDATE=200703&amp;PERIODTYPE=QTR_STD&amp;window=popup_no_bar&amp;width=385&amp;height=120&amp;START_MAXIMIZED=FALSE&amp;creator=factset&amp;display_string=Audit"}</definedName>
    <definedName name="_2042__FDSAUDITLINK__" hidden="1">{"fdsup://Directions/FactSet Auditing Viewer?action=AUDIT_VALUE&amp;DB=129&amp;ID1=58711810&amp;VALUEID=01001&amp;SDATE=200704&amp;PERIODTYPE=QTR_STD&amp;window=popup_no_bar&amp;width=385&amp;height=120&amp;START_MAXIMIZED=FALSE&amp;creator=factset&amp;display_string=Audit"}</definedName>
    <definedName name="_2043__FDSAUDITLINK__" hidden="1">{"fdsup://Directions/FactSet Auditing Viewer?action=AUDIT_VALUE&amp;DB=129&amp;ID1=58711810&amp;VALUEID=01001&amp;SDATE=200801&amp;PERIODTYPE=QTR_STD&amp;window=popup_no_bar&amp;width=385&amp;height=120&amp;START_MAXIMIZED=FALSE&amp;creator=factset&amp;display_string=Audit"}</definedName>
    <definedName name="_2044__FDSAUDITLINK__" hidden="1">{"fdsup://Directions/FactSet Auditing Viewer?action=AUDIT_VALUE&amp;DB=129&amp;ID1=58711810&amp;VALUEID=02101&amp;SDATE=200801&amp;PERIODTYPE=QTR_STD&amp;window=popup_no_bar&amp;width=385&amp;height=120&amp;START_MAXIMIZED=FALSE&amp;creator=factset&amp;display_string=Audit"}</definedName>
    <definedName name="_2045__FDSAUDITLINK__" hidden="1">{"fdsup://Directions/FactSet Auditing Viewer?action=AUDIT_VALUE&amp;DB=129&amp;ID1=58711810&amp;VALUEID=01001&amp;SDATE=200802&amp;PERIODTYPE=QTR_STD&amp;window=popup_no_bar&amp;width=385&amp;height=120&amp;START_MAXIMIZED=FALSE&amp;creator=factset&amp;display_string=Audit"}</definedName>
    <definedName name="_2046__FDSAUDITLINK__" hidden="1">{"fdsup://Directions/FactSet Auditing Viewer?action=AUDIT_VALUE&amp;DB=129&amp;ID1=58711810&amp;VALUEID=02101&amp;SDATE=200802&amp;PERIODTYPE=QTR_STD&amp;window=popup_no_bar&amp;width=385&amp;height=120&amp;START_MAXIMIZED=FALSE&amp;creator=factset&amp;display_string=Audit"}</definedName>
    <definedName name="_2047__FDSAUDITLINK__" hidden="1">{"fdsup://Directions/FactSet Auditing Viewer?action=AUDIT_VALUE&amp;DB=129&amp;ID1=58711810&amp;VALUEID=01001&amp;SDATE=200803&amp;PERIODTYPE=QTR_STD&amp;window=popup_no_bar&amp;width=385&amp;height=120&amp;START_MAXIMIZED=FALSE&amp;creator=factset&amp;display_string=Audit"}</definedName>
    <definedName name="_2048__FDSAUDITLINK__" hidden="1">{"fdsup://Directions/FactSet Auditing Viewer?action=AUDIT_VALUE&amp;DB=129&amp;ID1=58711810&amp;VALUEID=02101&amp;SDATE=200803&amp;PERIODTYPE=QTR_STD&amp;window=popup_no_bar&amp;width=385&amp;height=120&amp;START_MAXIMIZED=FALSE&amp;creator=factset&amp;display_string=Audit"}</definedName>
    <definedName name="_2049__FDSAUDITLINK__" hidden="1">{"fdsup://Directions/FactSet Auditing Viewer?action=AUDIT_VALUE&amp;DB=129&amp;ID1=58711810&amp;VALUEID=01001&amp;SDATE=200804&amp;PERIODTYPE=QTR_STD&amp;window=popup_no_bar&amp;width=385&amp;height=120&amp;START_MAXIMIZED=FALSE&amp;creator=factset&amp;display_string=Audit"}</definedName>
    <definedName name="_205__FDSAUDITLINK__" hidden="1">{"fdsup://Directions/FactSet Auditing Viewer?action=AUDIT_VALUE&amp;DB=129&amp;ID1=46612H40&amp;VALUEID=01001&amp;SDATE=200703&amp;PERIODTYPE=QTR_STD&amp;window=popup_no_bar&amp;width=385&amp;height=120&amp;START_MAXIMIZED=FALSE&amp;creator=factset&amp;display_string=Audit"}</definedName>
    <definedName name="_2050__FDSAUDITLINK__" hidden="1">{"fdsup://Directions/FactSet Auditing Viewer?action=AUDIT_VALUE&amp;DB=129&amp;ID1=58711810&amp;VALUEID=01001&amp;SDATE=200902&amp;PERIODTYPE=QTR_STD&amp;window=popup_no_bar&amp;width=385&amp;height=120&amp;START_MAXIMIZED=FALSE&amp;creator=factset&amp;display_string=Audit"}</definedName>
    <definedName name="_2051__FDSAUDITLINK__" hidden="1">{"fdsup://Directions/FactSet Auditing Viewer?action=AUDIT_VALUE&amp;DB=129&amp;ID1=58711810&amp;VALUEID=02101&amp;SDATE=200902&amp;PERIODTYPE=QTR_STD&amp;window=popup_no_bar&amp;width=385&amp;height=120&amp;START_MAXIMIZED=FALSE&amp;creator=factset&amp;display_string=Audit"}</definedName>
    <definedName name="_2052__FDSAUDITLINK__" hidden="1">{"fdsup://Directions/FactSet Auditing Viewer?action=AUDIT_VALUE&amp;DB=129&amp;ID1=58711810&amp;VALUEID=01001&amp;SDATE=200903&amp;PERIODTYPE=QTR_STD&amp;window=popup_no_bar&amp;width=385&amp;height=120&amp;START_MAXIMIZED=FALSE&amp;creator=factset&amp;display_string=Audit"}</definedName>
    <definedName name="_2053__FDSAUDITLINK__" hidden="1">{"fdsup://Directions/FactSet Auditing Viewer?action=AUDIT_VALUE&amp;DB=129&amp;ID1=58711810&amp;VALUEID=02101&amp;SDATE=200903&amp;PERIODTYPE=QTR_STD&amp;window=popup_no_bar&amp;width=385&amp;height=120&amp;START_MAXIMIZED=FALSE&amp;creator=factset&amp;display_string=Audit"}</definedName>
    <definedName name="_2054__FDSAUDITLINK__" hidden="1">{"fdsup://Directions/FactSet Auditing Viewer?action=AUDIT_VALUE&amp;DB=129&amp;ID1=58711810&amp;VALUEID=01001&amp;SDATE=200904&amp;PERIODTYPE=QTR_STD&amp;window=popup_no_bar&amp;width=385&amp;height=120&amp;START_MAXIMIZED=FALSE&amp;creator=factset&amp;display_string=Audit"}</definedName>
    <definedName name="_2055__FDSAUDITLINK__" hidden="1">{"fdsup://Directions/FactSet Auditing Viewer?action=AUDIT_VALUE&amp;DB=129&amp;ID1=58711810&amp;VALUEID=01001&amp;SDATE=201001&amp;PERIODTYPE=QTR_STD&amp;window=popup_no_bar&amp;width=385&amp;height=120&amp;START_MAXIMIZED=FALSE&amp;creator=factset&amp;display_string=Audit"}</definedName>
    <definedName name="_2056__FDSAUDITLINK__" hidden="1">{"fdsup://Directions/FactSet Auditing Viewer?action=AUDIT_VALUE&amp;DB=129&amp;ID1=58711810&amp;VALUEID=02101&amp;SDATE=201001&amp;PERIODTYPE=QTR_STD&amp;window=popup_no_bar&amp;width=385&amp;height=120&amp;START_MAXIMIZED=FALSE&amp;creator=factset&amp;display_string=Audit"}</definedName>
    <definedName name="_2057__FDSAUDITLINK__" hidden="1">{"fdsup://directions/FAT Viewer?action=UPDATE&amp;creator=factset&amp;DYN_ARGS=TRUE&amp;DOC_NAME=FAT:FQL_AUDITING_CLIENT_TEMPLATE.FAT&amp;display_string=Audit&amp;VAR:KEY=XOLCTGDGVG&amp;VAR:QUERY=RkZfUlRfU0ZfVE9UX0dST1NTKFFUUiwtNDQp&amp;WINDOW=FIRST_POPUP&amp;HEIGHT=450&amp;WIDTH=450&amp;START_MA","XIMIZED=FALSE&amp;VAR:CALENDAR=US&amp;VAR:SYMBOL=MW&amp;VAR:INDEX=0"}</definedName>
    <definedName name="_2058__FDSAUDITLINK__" hidden="1">{"fdsup://directions/FAT Viewer?action=UPDATE&amp;creator=factset&amp;DYN_ARGS=TRUE&amp;DOC_NAME=FAT:FQL_AUDITING_CLIENT_TEMPLATE.FAT&amp;display_string=Audit&amp;VAR:KEY=LCLADYJIPS&amp;VAR:QUERY=RkZfUlRfU0ZfVE9UX0dST1NTKFFUUiwtNDMp&amp;WINDOW=FIRST_POPUP&amp;HEIGHT=450&amp;WIDTH=450&amp;START_MA","XIMIZED=FALSE&amp;VAR:CALENDAR=US&amp;VAR:SYMBOL=MW&amp;VAR:INDEX=0"}</definedName>
    <definedName name="_2059__FDSAUDITLINK__" hidden="1">{"fdsup://directions/FAT Viewer?action=UPDATE&amp;creator=factset&amp;DYN_ARGS=TRUE&amp;DOC_NAME=FAT:FQL_AUDITING_CLIENT_TEMPLATE.FAT&amp;display_string=Audit&amp;VAR:KEY=XWVCNWVOLS&amp;VAR:QUERY=RkZfUlRfU0ZfVE9UX0dST1NTKFFUUiwtNDIp&amp;WINDOW=FIRST_POPUP&amp;HEIGHT=450&amp;WIDTH=450&amp;START_MA","XIMIZED=FALSE&amp;VAR:CALENDAR=US&amp;VAR:SYMBOL=MW&amp;VAR:INDEX=0"}</definedName>
    <definedName name="_206__FDSAUDITLINK__" hidden="1">{"fdsup://Directions/FactSet Auditing Viewer?action=AUDIT_VALUE&amp;DB=129&amp;ID1=46612H40&amp;VALUEID=13040&amp;SDATE=200703&amp;PERIODTYPE=QTR_STD&amp;window=popup_no_bar&amp;width=385&amp;height=120&amp;START_MAXIMIZED=FALSE&amp;creator=factset&amp;display_string=Audit"}</definedName>
    <definedName name="_2060__FDSAUDITLINK__" hidden="1">{"fdsup://directions/FAT Viewer?action=UPDATE&amp;creator=factset&amp;DYN_ARGS=TRUE&amp;DOC_NAME=FAT:FQL_AUDITING_CLIENT_TEMPLATE.FAT&amp;display_string=Audit&amp;VAR:KEY=RQLYDYBETO&amp;VAR:QUERY=RkZfUlRfU0ZfVE9UX0dST1NTKFFUUiwtNDEp&amp;WINDOW=FIRST_POPUP&amp;HEIGHT=450&amp;WIDTH=450&amp;START_MA","XIMIZED=FALSE&amp;VAR:CALENDAR=US&amp;VAR:SYMBOL=MW&amp;VAR:INDEX=0"}</definedName>
    <definedName name="_2061__FDSAUDITLINK__" hidden="1">{"fdsup://directions/FAT Viewer?action=UPDATE&amp;creator=factset&amp;DYN_ARGS=TRUE&amp;DOC_NAME=FAT:FQL_AUDITING_CLIENT_TEMPLATE.FAT&amp;display_string=Audit&amp;VAR:KEY=NEZQTKDIVO&amp;VAR:QUERY=RkZfUlRfU0ZfVE9UX0dST1NTKFFUUiwtNDAp&amp;WINDOW=FIRST_POPUP&amp;HEIGHT=450&amp;WIDTH=450&amp;START_MA","XIMIZED=FALSE&amp;VAR:CALENDAR=US&amp;VAR:SYMBOL=MW&amp;VAR:INDEX=0"}</definedName>
    <definedName name="_2062__FDSAUDITLINK__" hidden="1">{"fdsup://directions/FAT Viewer?action=UPDATE&amp;creator=factset&amp;DYN_ARGS=TRUE&amp;DOC_NAME=FAT:FQL_AUDITING_CLIENT_TEMPLATE.FAT&amp;display_string=Audit&amp;VAR:KEY=LWNOPUVYPS&amp;VAR:QUERY=RkZfUlRfU0ZfVE9UX0dST1NTKFFUUiwtMzkp&amp;WINDOW=FIRST_POPUP&amp;HEIGHT=450&amp;WIDTH=450&amp;START_MA","XIMIZED=FALSE&amp;VAR:CALENDAR=US&amp;VAR:SYMBOL=MW&amp;VAR:INDEX=0"}</definedName>
    <definedName name="_2063__FDSAUDITLINK__" hidden="1">{"fdsup://directions/FAT Viewer?action=UPDATE&amp;creator=factset&amp;DYN_ARGS=TRUE&amp;DOC_NAME=FAT:FQL_AUDITING_CLIENT_TEMPLATE.FAT&amp;display_string=Audit&amp;VAR:KEY=ZAPGLCVOZS&amp;VAR:QUERY=RkZfUlRfU0ZfVE9UX0dST1NTKFFUUiwtMzgp&amp;WINDOW=FIRST_POPUP&amp;HEIGHT=450&amp;WIDTH=450&amp;START_MA","XIMIZED=FALSE&amp;VAR:CALENDAR=US&amp;VAR:SYMBOL=MW&amp;VAR:INDEX=0"}</definedName>
    <definedName name="_2064__FDSAUDITLINK__" hidden="1">{"fdsup://directions/FAT Viewer?action=UPDATE&amp;creator=factset&amp;DYN_ARGS=TRUE&amp;DOC_NAME=FAT:FQL_AUDITING_CLIENT_TEMPLATE.FAT&amp;display_string=Audit&amp;VAR:KEY=BQDYNQXQZQ&amp;VAR:QUERY=RkZfUlRfU0ZfVE9UX0dST1NTKFFUUiwtMzcp&amp;WINDOW=FIRST_POPUP&amp;HEIGHT=450&amp;WIDTH=450&amp;START_MA","XIMIZED=FALSE&amp;VAR:CALENDAR=US&amp;VAR:SYMBOL=MW&amp;VAR:INDEX=0"}</definedName>
    <definedName name="_2065__FDSAUDITLINK__" hidden="1">{"fdsup://directions/FAT Viewer?action=UPDATE&amp;creator=factset&amp;DYN_ARGS=TRUE&amp;DOC_NAME=FAT:FQL_AUDITING_CLIENT_TEMPLATE.FAT&amp;display_string=Audit&amp;VAR:KEY=LQRYLIVQRM&amp;VAR:QUERY=RkZfUlRfU0ZfVE9UX0dST1NTKFFUUiwtMzYp&amp;WINDOW=FIRST_POPUP&amp;HEIGHT=450&amp;WIDTH=450&amp;START_MA","XIMIZED=FALSE&amp;VAR:CALENDAR=US&amp;VAR:SYMBOL=MW&amp;VAR:INDEX=0"}</definedName>
    <definedName name="_2066__FDSAUDITLINK__" hidden="1">{"fdsup://directions/FAT Viewer?action=UPDATE&amp;creator=factset&amp;DYN_ARGS=TRUE&amp;DOC_NAME=FAT:FQL_AUDITING_CLIENT_TEMPLATE.FAT&amp;display_string=Audit&amp;VAR:KEY=BANQNYDSXS&amp;VAR:QUERY=RkZfUlRfU0ZfVE9UX0dST1NTKFFUUiwtMzUp&amp;WINDOW=FIRST_POPUP&amp;HEIGHT=450&amp;WIDTH=450&amp;START_MA","XIMIZED=FALSE&amp;VAR:CALENDAR=US&amp;VAR:SYMBOL=MW&amp;VAR:INDEX=0"}</definedName>
    <definedName name="_2067__FDSAUDITLINK__" hidden="1">{"fdsup://directions/FAT Viewer?action=UPDATE&amp;creator=factset&amp;DYN_ARGS=TRUE&amp;DOC_NAME=FAT:FQL_AUDITING_CLIENT_TEMPLATE.FAT&amp;display_string=Audit&amp;VAR:KEY=HSNSXAXATY&amp;VAR:QUERY=RkZfUlRfU0ZfVE9UX0dST1NTKFFUUiwtMzQp&amp;WINDOW=FIRST_POPUP&amp;HEIGHT=450&amp;WIDTH=450&amp;START_MA","XIMIZED=FALSE&amp;VAR:CALENDAR=US&amp;VAR:SYMBOL=MW&amp;VAR:INDEX=0"}</definedName>
    <definedName name="_2068__FDSAUDITLINK__" hidden="1">{"fdsup://directions/FAT Viewer?action=UPDATE&amp;creator=factset&amp;DYN_ARGS=TRUE&amp;DOC_NAME=FAT:FQL_AUDITING_CLIENT_TEMPLATE.FAT&amp;display_string=Audit&amp;VAR:KEY=PGFANMDELU&amp;VAR:QUERY=RkZfUlRfU0ZfVE9UX0dST1NTKFFUUiwtMzMp&amp;WINDOW=FIRST_POPUP&amp;HEIGHT=450&amp;WIDTH=450&amp;START_MA","XIMIZED=FALSE&amp;VAR:CALENDAR=US&amp;VAR:SYMBOL=MW&amp;VAR:INDEX=0"}</definedName>
    <definedName name="_2069__FDSAUDITLINK__" hidden="1">{"fdsup://directions/FAT Viewer?action=UPDATE&amp;creator=factset&amp;DYN_ARGS=TRUE&amp;DOC_NAME=FAT:FQL_AUDITING_CLIENT_TEMPLATE.FAT&amp;display_string=Audit&amp;VAR:KEY=FMTMTIJOFY&amp;VAR:QUERY=RkZfUlRfU0ZfVE9UX0dST1NTKFFUUiwtMzIp&amp;WINDOW=FIRST_POPUP&amp;HEIGHT=450&amp;WIDTH=450&amp;START_MA","XIMIZED=FALSE&amp;VAR:CALENDAR=US&amp;VAR:SYMBOL=MW&amp;VAR:INDEX=0"}</definedName>
    <definedName name="_207__FDSAUDITLINK__" hidden="1">{"fdsup://Directions/FactSet Auditing Viewer?action=AUDIT_VALUE&amp;DB=129&amp;ID1=36476010&amp;VALUEID=02101&amp;SDATE=200703&amp;PERIODTYPE=QTR_STD&amp;window=popup_no_bar&amp;width=385&amp;height=120&amp;START_MAXIMIZED=FALSE&amp;creator=factset&amp;display_string=Audit"}</definedName>
    <definedName name="_2070__FDSAUDITLINK__" hidden="1">{"fdsup://directions/FAT Viewer?action=UPDATE&amp;creator=factset&amp;DYN_ARGS=TRUE&amp;DOC_NAME=FAT:FQL_AUDITING_CLIENT_TEMPLATE.FAT&amp;display_string=Audit&amp;VAR:KEY=DIDGTQFMXG&amp;VAR:QUERY=RkZfUlRfU0ZfVE9UX0dST1NTKFFUUiwtMzEp&amp;WINDOW=FIRST_POPUP&amp;HEIGHT=450&amp;WIDTH=450&amp;START_MA","XIMIZED=FALSE&amp;VAR:CALENDAR=US&amp;VAR:SYMBOL=MW&amp;VAR:INDEX=0"}</definedName>
    <definedName name="_2071__FDSAUDITLINK__" hidden="1">{"fdsup://directions/FAT Viewer?action=UPDATE&amp;creator=factset&amp;DYN_ARGS=TRUE&amp;DOC_NAME=FAT:FQL_AUDITING_CLIENT_TEMPLATE.FAT&amp;display_string=Audit&amp;VAR:KEY=TOHEJERMXU&amp;VAR:QUERY=RkZfUlRfU0ZfVE9UX0dST1NTKFFUUiwtMzAp&amp;WINDOW=FIRST_POPUP&amp;HEIGHT=450&amp;WIDTH=450&amp;START_MA","XIMIZED=FALSE&amp;VAR:CALENDAR=US&amp;VAR:SYMBOL=MW&amp;VAR:INDEX=0"}</definedName>
    <definedName name="_2072__FDSAUDITLINK__" hidden="1">{"fdsup://directions/FAT Viewer?action=UPDATE&amp;creator=factset&amp;DYN_ARGS=TRUE&amp;DOC_NAME=FAT:FQL_AUDITING_CLIENT_TEMPLATE.FAT&amp;display_string=Audit&amp;VAR:KEY=DYHMTQXUBK&amp;VAR:QUERY=RkZfUlRfU0ZfVE9UX0dST1NTKFFUUiwtMjkp&amp;WINDOW=FIRST_POPUP&amp;HEIGHT=450&amp;WIDTH=450&amp;START_MA","XIMIZED=FALSE&amp;VAR:CALENDAR=US&amp;VAR:SYMBOL=MW&amp;VAR:INDEX=0"}</definedName>
    <definedName name="_2073__FDSAUDITLINK__" hidden="1">{"fdsup://directions/FAT Viewer?action=UPDATE&amp;creator=factset&amp;DYN_ARGS=TRUE&amp;DOC_NAME=FAT:FQL_AUDITING_CLIENT_TEMPLATE.FAT&amp;display_string=Audit&amp;VAR:KEY=FGTULCXKBM&amp;VAR:QUERY=RkZfUlRfU0ZfVE9UX0dST1NTKFFUUiwtMjgp&amp;WINDOW=FIRST_POPUP&amp;HEIGHT=450&amp;WIDTH=450&amp;START_MA","XIMIZED=FALSE&amp;VAR:CALENDAR=US&amp;VAR:SYMBOL=MW&amp;VAR:INDEX=0"}</definedName>
    <definedName name="_2074__FDSAUDITLINK__" hidden="1">{"fdsup://directions/FAT Viewer?action=UPDATE&amp;creator=factset&amp;DYN_ARGS=TRUE&amp;DOC_NAME=FAT:FQL_AUDITING_CLIENT_TEMPLATE.FAT&amp;display_string=Audit&amp;VAR:KEY=RERODQDOZG&amp;VAR:QUERY=RkZfUlRfU0ZfVE9UX0dST1NTKFFUUiwtMjcp&amp;WINDOW=FIRST_POPUP&amp;HEIGHT=450&amp;WIDTH=450&amp;START_MA","XIMIZED=FALSE&amp;VAR:CALENDAR=US&amp;VAR:SYMBOL=MW&amp;VAR:INDEX=0"}</definedName>
    <definedName name="_2075__FDSAUDITLINK__" hidden="1">{"fdsup://directions/FAT Viewer?action=UPDATE&amp;creator=factset&amp;DYN_ARGS=TRUE&amp;DOC_NAME=FAT:FQL_AUDITING_CLIENT_TEMPLATE.FAT&amp;display_string=Audit&amp;VAR:KEY=BUXULIDQNI&amp;VAR:QUERY=RkZfUlRfU0ZfVE9UX0dST1NTKFFUUiwtMjYp&amp;WINDOW=FIRST_POPUP&amp;HEIGHT=450&amp;WIDTH=450&amp;START_MA","XIMIZED=FALSE&amp;VAR:CALENDAR=US&amp;VAR:SYMBOL=MW&amp;VAR:INDEX=0"}</definedName>
    <definedName name="_2076__FDSAUDITLINK__" hidden="1">{"fdsup://directions/FAT Viewer?action=UPDATE&amp;creator=factset&amp;DYN_ARGS=TRUE&amp;DOC_NAME=FAT:FQL_AUDITING_CLIENT_TEMPLATE.FAT&amp;display_string=Audit&amp;VAR:KEY=VUVGPOJEXO&amp;VAR:QUERY=RkZfUlRfU0ZfVE9UX0dST1NTKFFUUiwtMjUp&amp;WINDOW=FIRST_POPUP&amp;HEIGHT=450&amp;WIDTH=450&amp;START_MA","XIMIZED=FALSE&amp;VAR:CALENDAR=US&amp;VAR:SYMBOL=MW&amp;VAR:INDEX=0"}</definedName>
    <definedName name="_2077__FDSAUDITLINK__" hidden="1">{"fdsup://directions/FAT Viewer?action=UPDATE&amp;creator=factset&amp;DYN_ARGS=TRUE&amp;DOC_NAME=FAT:FQL_AUDITING_CLIENT_TEMPLATE.FAT&amp;display_string=Audit&amp;VAR:KEY=HAHQZOFKDO&amp;VAR:QUERY=RkZfUlRfU0ZfVE9UX0dST1NTKFFUUiwtMjQp&amp;WINDOW=FIRST_POPUP&amp;HEIGHT=450&amp;WIDTH=450&amp;START_MA","XIMIZED=FALSE&amp;VAR:CALENDAR=US&amp;VAR:SYMBOL=MW&amp;VAR:INDEX=0"}</definedName>
    <definedName name="_2078__FDSAUDITLINK__" hidden="1">{"fdsup://directions/FAT Viewer?action=UPDATE&amp;creator=factset&amp;DYN_ARGS=TRUE&amp;DOC_NAME=FAT:FQL_AUDITING_CLIENT_TEMPLATE.FAT&amp;display_string=Audit&amp;VAR:KEY=VGDWVEVYDO&amp;VAR:QUERY=RkZfUlRfU0ZfVE9UX0dST1NTKFFUUiwtMjMp&amp;WINDOW=FIRST_POPUP&amp;HEIGHT=450&amp;WIDTH=450&amp;START_MA","XIMIZED=FALSE&amp;VAR:CALENDAR=US&amp;VAR:SYMBOL=MW&amp;VAR:INDEX=0"}</definedName>
    <definedName name="_2079__FDSAUDITLINK__" hidden="1">{"fdsup://directions/FAT Viewer?action=UPDATE&amp;creator=factset&amp;DYN_ARGS=TRUE&amp;DOC_NAME=FAT:FQL_AUDITING_CLIENT_TEMPLATE.FAT&amp;display_string=Audit&amp;VAR:KEY=XKFGJGNSBQ&amp;VAR:QUERY=RkZfUlRfU0ZfVE9UX0dST1NTKFFUUiwtMjIp&amp;WINDOW=FIRST_POPUP&amp;HEIGHT=450&amp;WIDTH=450&amp;START_MA","XIMIZED=FALSE&amp;VAR:CALENDAR=US&amp;VAR:SYMBOL=MW&amp;VAR:INDEX=0"}</definedName>
    <definedName name="_208__FDSAUDITLINK__" hidden="1">{"fdsup://Directions/FactSet Auditing Viewer?action=AUDIT_VALUE&amp;DB=129&amp;ID1=36476010&amp;VALUEID=01001&amp;SDATE=200703&amp;PERIODTYPE=QTR_STD&amp;window=popup_no_bar&amp;width=385&amp;height=120&amp;START_MAXIMIZED=FALSE&amp;creator=factset&amp;display_string=Audit"}</definedName>
    <definedName name="_2080__FDSAUDITLINK__" hidden="1">{"fdsup://directions/FAT Viewer?action=UPDATE&amp;creator=factset&amp;DYN_ARGS=TRUE&amp;DOC_NAME=FAT:FQL_AUDITING_CLIENT_TEMPLATE.FAT&amp;display_string=Audit&amp;VAR:KEY=VGTKVQRMDE&amp;VAR:QUERY=RkZfUlRfU0ZfVE9UX0dST1NTKFFUUiwtMjEp&amp;WINDOW=FIRST_POPUP&amp;HEIGHT=450&amp;WIDTH=450&amp;START_MA","XIMIZED=FALSE&amp;VAR:CALENDAR=US&amp;VAR:SYMBOL=MW&amp;VAR:INDEX=0"}</definedName>
    <definedName name="_2081__FDSAUDITLINK__" hidden="1">{"fdsup://directions/FAT Viewer?action=UPDATE&amp;creator=factset&amp;DYN_ARGS=TRUE&amp;DOC_NAME=FAT:FQL_AUDITING_CLIENT_TEMPLATE.FAT&amp;display_string=Audit&amp;VAR:KEY=HATCRWXIPY&amp;VAR:QUERY=RkZfUlRfU0ZfVE9UX0dST1NTKFFUUiwtMjAp&amp;WINDOW=FIRST_POPUP&amp;HEIGHT=450&amp;WIDTH=450&amp;START_MA","XIMIZED=FALSE&amp;VAR:CALENDAR=US&amp;VAR:SYMBOL=MW&amp;VAR:INDEX=0"}</definedName>
    <definedName name="_2082__FDSAUDITLINK__" hidden="1">{"fdsup://directions/FAT Viewer?action=UPDATE&amp;creator=factset&amp;DYN_ARGS=TRUE&amp;DOC_NAME=FAT:FQL_AUDITING_CLIENT_TEMPLATE.FAT&amp;display_string=Audit&amp;VAR:KEY=LSDEZKHSLO&amp;VAR:QUERY=RkZfUlRfU0ZfVE9UX0dST1NTKFFUUiwtMTkp&amp;WINDOW=FIRST_POPUP&amp;HEIGHT=450&amp;WIDTH=450&amp;START_MA","XIMIZED=FALSE&amp;VAR:CALENDAR=US&amp;VAR:SYMBOL=MW&amp;VAR:INDEX=0"}</definedName>
    <definedName name="_2083__FDSAUDITLINK__" hidden="1">{"fdsup://directions/FAT Viewer?action=UPDATE&amp;creator=factset&amp;DYN_ARGS=TRUE&amp;DOC_NAME=FAT:FQL_AUDITING_CLIENT_TEMPLATE.FAT&amp;display_string=Audit&amp;VAR:KEY=PGHYZMZMNW&amp;VAR:QUERY=RkZfUlRfU0ZfVE9UX0dST1NTKFFUUiwtMTgp&amp;WINDOW=FIRST_POPUP&amp;HEIGHT=450&amp;WIDTH=450&amp;START_MA","XIMIZED=FALSE&amp;VAR:CALENDAR=US&amp;VAR:SYMBOL=MW&amp;VAR:INDEX=0"}</definedName>
    <definedName name="_2084__FDSAUDITLINK__" hidden="1">{"fdsup://Directions/FactSet Auditing Viewer?action=AUDIT_VALUE&amp;DB=129&amp;ID1=58711810&amp;VALUEID=13040&amp;SDATE=200702&amp;PERIODTYPE=QTR_STD&amp;window=popup_no_bar&amp;width=385&amp;height=120&amp;START_MAXIMIZED=FALSE&amp;creator=factset&amp;display_string=Audit"}</definedName>
    <definedName name="_2085__FDSAUDITLINK__" hidden="1">{"fdsup://Directions/FactSet Auditing Viewer?action=AUDIT_VALUE&amp;DB=129&amp;ID1=58711810&amp;VALUEID=13040&amp;SDATE=200701&amp;PERIODTYPE=QTR_STD&amp;window=popup_no_bar&amp;width=385&amp;height=120&amp;START_MAXIMIZED=FALSE&amp;creator=factset&amp;display_string=Audit"}</definedName>
    <definedName name="_2086__FDSAUDITLINK__" hidden="1">{"fdsup://Directions/FactSet Auditing Viewer?action=AUDIT_VALUE&amp;DB=129&amp;ID1=58711810&amp;VALUEID=13040&amp;SDATE=200703&amp;PERIODTYPE=QTR_STD&amp;window=popup_no_bar&amp;width=385&amp;height=120&amp;START_MAXIMIZED=FALSE&amp;creator=factset&amp;display_string=Audit"}</definedName>
    <definedName name="_2087__FDSAUDITLINK__" hidden="1">{"fdsup://Directions/FactSet Auditing Viewer?action=AUDIT_VALUE&amp;DB=129&amp;ID1=58711810&amp;VALUEID=13040&amp;SDATE=200802&amp;PERIODTYPE=QTR_STD&amp;window=popup_no_bar&amp;width=385&amp;height=120&amp;START_MAXIMIZED=FALSE&amp;creator=factset&amp;display_string=Audit"}</definedName>
    <definedName name="_2088__FDSAUDITLINK__" hidden="1">{"fdsup://Directions/FactSet Auditing Viewer?action=AUDIT_VALUE&amp;DB=129&amp;ID1=58711810&amp;VALUEID=13040&amp;SDATE=200801&amp;PERIODTYPE=QTR_STD&amp;window=popup_no_bar&amp;width=385&amp;height=120&amp;START_MAXIMIZED=FALSE&amp;creator=factset&amp;display_string=Audit"}</definedName>
    <definedName name="_2089__FDSAUDITLINK__" hidden="1">{"fdsup://directions/FAT Viewer?action=UPDATE&amp;creator=factset&amp;DYN_ARGS=TRUE&amp;DOC_NAME=FAT:FQL_AUDITING_CLIENT_TEMPLATE.FAT&amp;display_string=Audit&amp;VAR:KEY=LIFEZIXONO&amp;VAR:QUERY=RkZfUlRfU0ZfVE9UX0dST1NTKFFUUiwtOSk=&amp;WINDOW=FIRST_POPUP&amp;HEIGHT=450&amp;WIDTH=450&amp;START_MA","XIMIZED=FALSE&amp;VAR:CALENDAR=US&amp;VAR:SYMBOL=MW&amp;VAR:INDEX=0"}</definedName>
    <definedName name="_209__FDSAUDITLINK__" hidden="1">{"fdsup://Directions/FactSet Auditing Viewer?action=AUDIT_VALUE&amp;DB=129&amp;ID1=36476010&amp;VALUEID=13040&amp;SDATE=200703&amp;PERIODTYPE=QTR_STD&amp;window=popup_no_bar&amp;width=385&amp;height=120&amp;START_MAXIMIZED=FALSE&amp;creator=factset&amp;display_string=Audit"}</definedName>
    <definedName name="_2090__FDSAUDITLINK__" hidden="1">{"fdsup://Directions/FactSet Auditing Viewer?action=AUDIT_VALUE&amp;DB=129&amp;ID1=58711810&amp;VALUEID=13040&amp;SDATE=200803&amp;PERIODTYPE=QTR_STD&amp;window=popup_no_bar&amp;width=385&amp;height=120&amp;START_MAXIMIZED=FALSE&amp;creator=factset&amp;display_string=Audit"}</definedName>
    <definedName name="_2091__FDSAUDITLINK__" hidden="1">{"fdsup://Directions/FactSet Auditing Viewer?action=AUDIT_VALUE&amp;DB=129&amp;ID1=58711810&amp;VALUEID=13040&amp;SDATE=200902&amp;PERIODTYPE=QTR_STD&amp;window=popup_no_bar&amp;width=385&amp;height=120&amp;START_MAXIMIZED=FALSE&amp;creator=factset&amp;display_string=Audit"}</definedName>
    <definedName name="_2092__FDSAUDITLINK__" hidden="1">{"fdsup://directions/FAT Viewer?action=UPDATE&amp;creator=factset&amp;DYN_ARGS=TRUE&amp;DOC_NAME=FAT:FQL_AUDITING_CLIENT_TEMPLATE.FAT&amp;display_string=Audit&amp;VAR:KEY=JOTIDWFUPO&amp;VAR:QUERY=RkZfUlRfU0ZfVE9UX0dST1NTKFFUUiwtNSk=&amp;WINDOW=FIRST_POPUP&amp;HEIGHT=450&amp;WIDTH=450&amp;START_MA","XIMIZED=FALSE&amp;VAR:CALENDAR=US&amp;VAR:SYMBOL=MW&amp;VAR:INDEX=0"}</definedName>
    <definedName name="_2093__FDSAUDITLINK__" hidden="1">{"fdsup://Directions/FactSet Auditing Viewer?action=AUDIT_VALUE&amp;DB=129&amp;ID1=58711810&amp;VALUEID=13040&amp;SDATE=200903&amp;PERIODTYPE=QTR_STD&amp;window=popup_no_bar&amp;width=385&amp;height=120&amp;START_MAXIMIZED=FALSE&amp;creator=factset&amp;display_string=Audit"}</definedName>
    <definedName name="_2094__FDSAUDITLINK__" hidden="1">{"fdsup://Directions/FactSet Auditing Viewer?action=AUDIT_VALUE&amp;DB=129&amp;ID1=58711810&amp;VALUEID=13040&amp;SDATE=200602&amp;PERIODTYPE=QTR_STD&amp;window=popup_no_bar&amp;width=385&amp;height=120&amp;START_MAXIMIZED=FALSE&amp;creator=factset&amp;display_string=Audit"}</definedName>
    <definedName name="_2095__FDSAUDITLINK__" hidden="1">{"fdsup://Directions/FactSet Auditing Viewer?action=AUDIT_VALUE&amp;DB=129&amp;ID1=58711810&amp;VALUEID=13040&amp;SDATE=200601&amp;PERIODTYPE=QTR_STD&amp;window=popup_no_bar&amp;width=385&amp;height=120&amp;START_MAXIMIZED=FALSE&amp;creator=factset&amp;display_string=Audit"}</definedName>
    <definedName name="_2096__FDSAUDITLINK__" hidden="1">{"fdsup://directions/FAT Viewer?action=UPDATE&amp;creator=factset&amp;DYN_ARGS=TRUE&amp;DOC_NAME=FAT:FQL_AUDITING_CLIENT_TEMPLATE.FAT&amp;display_string=Audit&amp;VAR:KEY=NIHCFUBCLC&amp;VAR:QUERY=RkZfUlRfU0ZfVE9UX0dST1NTKFFUUiwtMTcp&amp;WINDOW=FIRST_POPUP&amp;HEIGHT=450&amp;WIDTH=450&amp;START_MA","XIMIZED=FALSE&amp;VAR:CALENDAR=US&amp;VAR:SYMBOL=MW&amp;VAR:INDEX=0"}</definedName>
    <definedName name="_2097__FDSAUDITLINK__" hidden="1">{"fdsup://Directions/FactSet Auditing Viewer?action=AUDIT_VALUE&amp;DB=129&amp;ID1=58711810&amp;VALUEID=13040&amp;SDATE=200603&amp;PERIODTYPE=QTR_STD&amp;window=popup_no_bar&amp;width=385&amp;height=120&amp;START_MAXIMIZED=FALSE&amp;creator=factset&amp;display_string=Audit"}</definedName>
    <definedName name="_2098__FDSAUDITLINK__" hidden="1">{"fdsup://directions/FAT Viewer?action=UPDATE&amp;creator=factset&amp;DYN_ARGS=TRUE&amp;DOC_NAME=FAT:FQL_AUDITING_CLIENT_TEMPLATE.FAT&amp;display_string=Audit&amp;VAR:KEY=HGNWDSTIVA&amp;VAR:QUERY=RkZfUlRfU0ZfVE9UX0dST1NTKFFUUiwtMTMp&amp;WINDOW=FIRST_POPUP&amp;HEIGHT=450&amp;WIDTH=450&amp;START_MA","XIMIZED=FALSE&amp;VAR:CALENDAR=US&amp;VAR:SYMBOL=MW&amp;VAR:INDEX=0"}</definedName>
    <definedName name="_2099__FDSAUDITLINK__" hidden="1">{"fdsup://Directions/FactSet Auditing Viewer?action=AUDIT_VALUE&amp;DB=129&amp;ID1=58711810&amp;VALUEID=13040&amp;SDATE=201001&amp;PERIODTYPE=QTR_STD&amp;window=popup_no_bar&amp;width=385&amp;height=120&amp;START_MAXIMIZED=FALSE&amp;creator=factset&amp;display_string=Audit"}</definedName>
    <definedName name="_21__FDSAUDITLINK__" hidden="1">{"fdsup://Directions/FactSet Auditing Viewer?action=AUDIT_VALUE&amp;DB=129&amp;ID1=87416110&amp;VALUEID=01001&amp;SDATE=200904&amp;PERIODTYPE=QTR_STD&amp;window=popup_no_bar&amp;width=385&amp;height=120&amp;START_MAXIMIZED=FALSE&amp;creator=factset&amp;display_string=Audit"}</definedName>
    <definedName name="_210__FDSAUDITLINK__" hidden="1">{"fdsup://Directions/FactSet Auditing Viewer?action=AUDIT_VALUE&amp;DB=129&amp;ID1=03611510&amp;VALUEID=02101&amp;SDATE=200703&amp;PERIODTYPE=QTR_STD&amp;window=popup_no_bar&amp;width=385&amp;height=120&amp;START_MAXIMIZED=FALSE&amp;creator=factset&amp;display_string=Audit"}</definedName>
    <definedName name="_2100__FDSAUDITLINK__" hidden="1">{"fdsup://Directions/FactSet Auditing Viewer?action=AUDIT_VALUE&amp;DB=129&amp;ID1=58711810&amp;VALUEID=13040&amp;SDATE=200904&amp;PERIODTYPE=QTR_STD&amp;window=popup_no_bar&amp;width=385&amp;height=120&amp;START_MAXIMIZED=FALSE&amp;creator=factset&amp;display_string=Audit"}</definedName>
    <definedName name="_2101__FDSAUDITLINK__" hidden="1">{"fdsup://directions/FAT Viewer?action=UPDATE&amp;creator=factset&amp;DYN_ARGS=TRUE&amp;DOC_NAME=FAT:FQL_AUDITING_CLIENT_TEMPLATE.FAT&amp;display_string=Audit&amp;VAR:KEY=NAVAPYPWTC&amp;VAR:QUERY=RkZfUlRfU0ZfVE9UX0dST1NTKFFUUiwtMSk=&amp;WINDOW=FIRST_POPUP&amp;HEIGHT=450&amp;WIDTH=450&amp;START_MA","XIMIZED=FALSE&amp;VAR:CALENDAR=US&amp;VAR:SYMBOL=MW&amp;VAR:INDEX=0"}</definedName>
    <definedName name="_2102__FDSAUDITLINK__" hidden="1">{"fdsup://Directions/FactSet Auditing Viewer?action=AUDIT_VALUE&amp;DB=129&amp;ID1=03611510&amp;VALUEID=13040&amp;SDATE=200501&amp;PERIODTYPE=QTR_STD&amp;window=popup_no_bar&amp;width=385&amp;height=120&amp;START_MAXIMIZED=FALSE&amp;creator=factset&amp;display_string=Audit"}</definedName>
    <definedName name="_2103__FDSAUDITLINK__" hidden="1">{"fdsup://Directions/FactSet Auditing Viewer?action=AUDIT_VALUE&amp;DB=129&amp;ID1=03611510&amp;VALUEID=13040&amp;SDATE=200502&amp;PERIODTYPE=QTR_STD&amp;window=popup_no_bar&amp;width=385&amp;height=120&amp;START_MAXIMIZED=FALSE&amp;creator=factset&amp;display_string=Audit"}</definedName>
    <definedName name="_2104__FDSAUDITLINK__" hidden="1">{"fdsup://Directions/FactSet Auditing Viewer?action=AUDIT_VALUE&amp;DB=129&amp;ID1=03611510&amp;VALUEID=13040&amp;SDATE=200503&amp;PERIODTYPE=QTR_STD&amp;window=popup_no_bar&amp;width=385&amp;height=120&amp;START_MAXIMIZED=FALSE&amp;creator=factset&amp;display_string=Audit"}</definedName>
    <definedName name="_2105__FDSAUDITLINK__" hidden="1">{"fdsup://Directions/FactSet Auditing Viewer?action=AUDIT_VALUE&amp;DB=129&amp;ID1=03611510&amp;VALUEID=13040&amp;SDATE=200601&amp;PERIODTYPE=QTR_STD&amp;window=popup_no_bar&amp;width=385&amp;height=120&amp;START_MAXIMIZED=FALSE&amp;creator=factset&amp;display_string=Audit"}</definedName>
    <definedName name="_2106__FDSAUDITLINK__" hidden="1">{"fdsup://Directions/FactSet Auditing Viewer?action=AUDIT_VALUE&amp;DB=129&amp;ID1=03611510&amp;VALUEID=02101&amp;SDATE=200601&amp;PERIODTYPE=QTR_STD&amp;window=popup_no_bar&amp;width=385&amp;height=120&amp;START_MAXIMIZED=FALSE&amp;creator=factset&amp;display_string=Audit"}</definedName>
    <definedName name="_2107__FDSAUDITLINK__" hidden="1">{"fdsup://Directions/FactSet Auditing Viewer?action=AUDIT_VALUE&amp;DB=129&amp;ID1=03611510&amp;VALUEID=13040&amp;SDATE=200602&amp;PERIODTYPE=QTR_STD&amp;window=popup_no_bar&amp;width=385&amp;height=120&amp;START_MAXIMIZED=FALSE&amp;creator=factset&amp;display_string=Audit"}</definedName>
    <definedName name="_2108__FDSAUDITLINK__" hidden="1">{"fdsup://Directions/FactSet Auditing Viewer?action=AUDIT_VALUE&amp;DB=129&amp;ID1=03611510&amp;VALUEID=01001&amp;SDATE=200602&amp;PERIODTYPE=QTR_STD&amp;window=popup_no_bar&amp;width=385&amp;height=120&amp;START_MAXIMIZED=FALSE&amp;creator=factset&amp;display_string=Audit"}</definedName>
    <definedName name="_2109__FDSAUDITLINK__" hidden="1">{"fdsup://Directions/FactSet Auditing Viewer?action=AUDIT_VALUE&amp;DB=129&amp;ID1=03611510&amp;VALUEID=02101&amp;SDATE=200602&amp;PERIODTYPE=QTR_STD&amp;window=popup_no_bar&amp;width=385&amp;height=120&amp;START_MAXIMIZED=FALSE&amp;creator=factset&amp;display_string=Audit"}</definedName>
    <definedName name="_211__FDSAUDITLINK__" hidden="1">{"fdsup://Directions/FactSet Auditing Viewer?action=AUDIT_VALUE&amp;DB=129&amp;ID1=03611510&amp;VALUEID=01001&amp;SDATE=200703&amp;PERIODTYPE=QTR_STD&amp;window=popup_no_bar&amp;width=385&amp;height=120&amp;START_MAXIMIZED=FALSE&amp;creator=factset&amp;display_string=Audit"}</definedName>
    <definedName name="_2110__FDSAUDITLINK__" hidden="1">{"fdsup://Directions/FactSet Auditing Viewer?action=AUDIT_VALUE&amp;DB=129&amp;ID1=03611510&amp;VALUEID=13040&amp;SDATE=200603&amp;PERIODTYPE=QTR_STD&amp;window=popup_no_bar&amp;width=385&amp;height=120&amp;START_MAXIMIZED=FALSE&amp;creator=factset&amp;display_string=Audit"}</definedName>
    <definedName name="_2111__FDSAUDITLINK__" hidden="1">{"fdsup://Directions/FactSet Auditing Viewer?action=AUDIT_VALUE&amp;DB=129&amp;ID1=03611510&amp;VALUEID=01001&amp;SDATE=200603&amp;PERIODTYPE=QTR_STD&amp;window=popup_no_bar&amp;width=385&amp;height=120&amp;START_MAXIMIZED=FALSE&amp;creator=factset&amp;display_string=Audit"}</definedName>
    <definedName name="_2112__FDSAUDITLINK__" hidden="1">{"fdsup://Directions/FactSet Auditing Viewer?action=AUDIT_VALUE&amp;DB=129&amp;ID1=03611510&amp;VALUEID=02101&amp;SDATE=200603&amp;PERIODTYPE=QTR_STD&amp;window=popup_no_bar&amp;width=385&amp;height=120&amp;START_MAXIMIZED=FALSE&amp;creator=factset&amp;display_string=Audit"}</definedName>
    <definedName name="_2113__FDSAUDITLINK__" hidden="1">{"fdsup://Directions/FactSet Auditing Viewer?action=AUDIT_VALUE&amp;DB=129&amp;ID1=03611510&amp;VALUEID=01001&amp;SDATE=200604&amp;PERIODTYPE=QTR_STD&amp;window=popup_no_bar&amp;width=385&amp;height=120&amp;START_MAXIMIZED=FALSE&amp;creator=factset&amp;display_string=Audit"}</definedName>
    <definedName name="_2114__FDSAUDITLINK__" hidden="1">{"fdsup://Directions/FactSet Auditing Viewer?action=AUDIT_VALUE&amp;DB=129&amp;ID1=03611510&amp;VALUEID=13040&amp;SDATE=200701&amp;PERIODTYPE=QTR_STD&amp;window=popup_no_bar&amp;width=385&amp;height=120&amp;START_MAXIMIZED=FALSE&amp;creator=factset&amp;display_string=Audit"}</definedName>
    <definedName name="_2115__FDSAUDITLINK__" hidden="1">{"fdsup://Directions/FactSet Auditing Viewer?action=AUDIT_VALUE&amp;DB=129&amp;ID1=03611510&amp;VALUEID=01001&amp;SDATE=200701&amp;PERIODTYPE=QTR_STD&amp;window=popup_no_bar&amp;width=385&amp;height=120&amp;START_MAXIMIZED=FALSE&amp;creator=factset&amp;display_string=Audit"}</definedName>
    <definedName name="_2116__FDSAUDITLINK__" hidden="1">{"fdsup://Directions/FactSet Auditing Viewer?action=AUDIT_VALUE&amp;DB=129&amp;ID1=03611510&amp;VALUEID=02101&amp;SDATE=200701&amp;PERIODTYPE=QTR_STD&amp;window=popup_no_bar&amp;width=385&amp;height=120&amp;START_MAXIMIZED=FALSE&amp;creator=factset&amp;display_string=Audit"}</definedName>
    <definedName name="_2117__FDSAUDITLINK__" hidden="1">{"fdsup://Directions/FactSet Auditing Viewer?action=AUDIT_VALUE&amp;DB=129&amp;ID1=03611510&amp;VALUEID=13040&amp;SDATE=200702&amp;PERIODTYPE=QTR_STD&amp;window=popup_no_bar&amp;width=385&amp;height=120&amp;START_MAXIMIZED=FALSE&amp;creator=factset&amp;display_string=Audit"}</definedName>
    <definedName name="_2118__FDSAUDITLINK__" hidden="1">{"fdsup://Directions/FactSet Auditing Viewer?action=AUDIT_VALUE&amp;DB=129&amp;ID1=03611510&amp;VALUEID=01001&amp;SDATE=200702&amp;PERIODTYPE=QTR_STD&amp;window=popup_no_bar&amp;width=385&amp;height=120&amp;START_MAXIMIZED=FALSE&amp;creator=factset&amp;display_string=Audit"}</definedName>
    <definedName name="_2119__FDSAUDITLINK__" hidden="1">{"fdsup://Directions/FactSet Auditing Viewer?action=AUDIT_VALUE&amp;DB=129&amp;ID1=03611510&amp;VALUEID=02101&amp;SDATE=200702&amp;PERIODTYPE=QTR_STD&amp;window=popup_no_bar&amp;width=385&amp;height=120&amp;START_MAXIMIZED=FALSE&amp;creator=factset&amp;display_string=Audit"}</definedName>
    <definedName name="_212__FDSAUDITLINK__" hidden="1">{"fdsup://Directions/FactSet Auditing Viewer?action=AUDIT_VALUE&amp;DB=129&amp;ID1=03611510&amp;VALUEID=13040&amp;SDATE=200703&amp;PERIODTYPE=QTR_STD&amp;window=popup_no_bar&amp;width=385&amp;height=120&amp;START_MAXIMIZED=FALSE&amp;creator=factset&amp;display_string=Audit"}</definedName>
    <definedName name="_2120__FDSAUDITLINK__" hidden="1">{"fdsup://Directions/FactSet Auditing Viewer?action=AUDIT_VALUE&amp;DB=129&amp;ID1=03611510&amp;VALUEID=13040&amp;SDATE=200703&amp;PERIODTYPE=QTR_STD&amp;window=popup_no_bar&amp;width=385&amp;height=120&amp;START_MAXIMIZED=FALSE&amp;creator=factset&amp;display_string=Audit"}</definedName>
    <definedName name="_2121__FDSAUDITLINK__" hidden="1">{"fdsup://Directions/FactSet Auditing Viewer?action=AUDIT_VALUE&amp;DB=129&amp;ID1=03611510&amp;VALUEID=01001&amp;SDATE=200703&amp;PERIODTYPE=QTR_STD&amp;window=popup_no_bar&amp;width=385&amp;height=120&amp;START_MAXIMIZED=FALSE&amp;creator=factset&amp;display_string=Audit"}</definedName>
    <definedName name="_2122__FDSAUDITLINK__" hidden="1">{"fdsup://Directions/FactSet Auditing Viewer?action=AUDIT_VALUE&amp;DB=129&amp;ID1=03611510&amp;VALUEID=02101&amp;SDATE=200703&amp;PERIODTYPE=QTR_STD&amp;window=popup_no_bar&amp;width=385&amp;height=120&amp;START_MAXIMIZED=FALSE&amp;creator=factset&amp;display_string=Audit"}</definedName>
    <definedName name="_2123__FDSAUDITLINK__" hidden="1">{"fdsup://Directions/FactSet Auditing Viewer?action=AUDIT_VALUE&amp;DB=129&amp;ID1=03611510&amp;VALUEID=13040&amp;SDATE=200704&amp;PERIODTYPE=QTR_STD&amp;window=popup_no_bar&amp;width=385&amp;height=120&amp;START_MAXIMIZED=FALSE&amp;creator=factset&amp;display_string=Audit"}</definedName>
    <definedName name="_2124__FDSAUDITLINK__" hidden="1">{"fdsup://Directions/FactSet Auditing Viewer?action=AUDIT_VALUE&amp;DB=129&amp;ID1=03611510&amp;VALUEID=01001&amp;SDATE=200704&amp;PERIODTYPE=QTR_STD&amp;window=popup_no_bar&amp;width=385&amp;height=120&amp;START_MAXIMIZED=FALSE&amp;creator=factset&amp;display_string=Audit"}</definedName>
    <definedName name="_2125__FDSAUDITLINK__" hidden="1">{"fdsup://Directions/FactSet Auditing Viewer?action=AUDIT_VALUE&amp;DB=129&amp;ID1=03611510&amp;VALUEID=13040&amp;SDATE=200801&amp;PERIODTYPE=QTR_STD&amp;window=popup_no_bar&amp;width=385&amp;height=120&amp;START_MAXIMIZED=FALSE&amp;creator=factset&amp;display_string=Audit"}</definedName>
    <definedName name="_2126__FDSAUDITLINK__" hidden="1">{"fdsup://Directions/FactSet Auditing Viewer?action=AUDIT_VALUE&amp;DB=129&amp;ID1=03611510&amp;VALUEID=01001&amp;SDATE=200801&amp;PERIODTYPE=QTR_STD&amp;window=popup_no_bar&amp;width=385&amp;height=120&amp;START_MAXIMIZED=FALSE&amp;creator=factset&amp;display_string=Audit"}</definedName>
    <definedName name="_2127__FDSAUDITLINK__" hidden="1">{"fdsup://Directions/FactSet Auditing Viewer?action=AUDIT_VALUE&amp;DB=129&amp;ID1=03611510&amp;VALUEID=02101&amp;SDATE=200801&amp;PERIODTYPE=QTR_STD&amp;window=popup_no_bar&amp;width=385&amp;height=120&amp;START_MAXIMIZED=FALSE&amp;creator=factset&amp;display_string=Audit"}</definedName>
    <definedName name="_2128__FDSAUDITLINK__" hidden="1">{"fdsup://Directions/FactSet Auditing Viewer?action=AUDIT_VALUE&amp;DB=129&amp;ID1=03611510&amp;VALUEID=01001&amp;SDATE=200802&amp;PERIODTYPE=QTR_STD&amp;window=popup_no_bar&amp;width=385&amp;height=120&amp;START_MAXIMIZED=FALSE&amp;creator=factset&amp;display_string=Audit"}</definedName>
    <definedName name="_2129__FDSAUDITLINK__" hidden="1">{"fdsup://Directions/FactSet Auditing Viewer?action=AUDIT_VALUE&amp;DB=129&amp;ID1=03611510&amp;VALUEID=02101&amp;SDATE=200802&amp;PERIODTYPE=QTR_STD&amp;window=popup_no_bar&amp;width=385&amp;height=120&amp;START_MAXIMIZED=FALSE&amp;creator=factset&amp;display_string=Audit"}</definedName>
    <definedName name="_213__FDSAUDITLINK__" hidden="1">{"fdsup://Directions/FactSet Auditing Viewer?action=AUDIT_VALUE&amp;DB=129&amp;ID1=16890510&amp;VALUEID=02101&amp;SDATE=200703&amp;PERIODTYPE=QTR_STD&amp;window=popup_no_bar&amp;width=385&amp;height=120&amp;START_MAXIMIZED=FALSE&amp;creator=factset&amp;display_string=Audit"}</definedName>
    <definedName name="_2130__FDSAUDITLINK__" hidden="1">{"fdsup://Directions/FactSet Auditing Viewer?action=AUDIT_VALUE&amp;DB=129&amp;ID1=03611510&amp;VALUEID=01001&amp;SDATE=200803&amp;PERIODTYPE=QTR_STD&amp;window=popup_no_bar&amp;width=385&amp;height=120&amp;START_MAXIMIZED=FALSE&amp;creator=factset&amp;display_string=Audit"}</definedName>
    <definedName name="_2131__FDSAUDITLINK__" hidden="1">{"fdsup://Directions/FactSet Auditing Viewer?action=AUDIT_VALUE&amp;DB=129&amp;ID1=03611510&amp;VALUEID=02101&amp;SDATE=200803&amp;PERIODTYPE=QTR_STD&amp;window=popup_no_bar&amp;width=385&amp;height=120&amp;START_MAXIMIZED=FALSE&amp;creator=factset&amp;display_string=Audit"}</definedName>
    <definedName name="_2132__FDSAUDITLINK__" hidden="1">{"fdsup://Directions/FactSet Auditing Viewer?action=AUDIT_VALUE&amp;DB=129&amp;ID1=03611510&amp;VALUEID=01001&amp;SDATE=200804&amp;PERIODTYPE=QTR_STD&amp;window=popup_no_bar&amp;width=385&amp;height=120&amp;START_MAXIMIZED=FALSE&amp;creator=factset&amp;display_string=Audit"}</definedName>
    <definedName name="_2133__FDSAUDITLINK__" hidden="1">{"fdsup://Directions/FactSet Auditing Viewer?action=AUDIT_VALUE&amp;DB=129&amp;ID1=03611510&amp;VALUEID=01001&amp;SDATE=200901&amp;PERIODTYPE=QTR_STD&amp;window=popup_no_bar&amp;width=385&amp;height=120&amp;START_MAXIMIZED=FALSE&amp;creator=factset&amp;display_string=Audit"}</definedName>
    <definedName name="_2134__FDSAUDITLINK__" hidden="1">{"fdsup://Directions/FactSet Auditing Viewer?action=AUDIT_VALUE&amp;DB=129&amp;ID1=03611510&amp;VALUEID=02101&amp;SDATE=200901&amp;PERIODTYPE=QTR_STD&amp;window=popup_no_bar&amp;width=385&amp;height=120&amp;START_MAXIMIZED=FALSE&amp;creator=factset&amp;display_string=Audit"}</definedName>
    <definedName name="_2135__FDSAUDITLINK__" hidden="1">{"fdsup://Directions/FactSet Auditing Viewer?action=AUDIT_VALUE&amp;DB=129&amp;ID1=03611510&amp;VALUEID=13040&amp;SDATE=200902&amp;PERIODTYPE=QTR_STD&amp;window=popup_no_bar&amp;width=385&amp;height=120&amp;START_MAXIMIZED=FALSE&amp;creator=factset&amp;display_string=Audit"}</definedName>
    <definedName name="_2136__FDSAUDITLINK__" hidden="1">{"fdsup://Directions/FactSet Auditing Viewer?action=AUDIT_VALUE&amp;DB=129&amp;ID1=03611510&amp;VALUEID=01001&amp;SDATE=200902&amp;PERIODTYPE=QTR_STD&amp;window=popup_no_bar&amp;width=385&amp;height=120&amp;START_MAXIMIZED=FALSE&amp;creator=factset&amp;display_string=Audit"}</definedName>
    <definedName name="_2137__FDSAUDITLINK__" hidden="1">{"fdsup://Directions/FactSet Auditing Viewer?action=AUDIT_VALUE&amp;DB=129&amp;ID1=03611510&amp;VALUEID=02101&amp;SDATE=200902&amp;PERIODTYPE=QTR_STD&amp;window=popup_no_bar&amp;width=385&amp;height=120&amp;START_MAXIMIZED=FALSE&amp;creator=factset&amp;display_string=Audit"}</definedName>
    <definedName name="_2138__FDSAUDITLINK__" hidden="1">{"fdsup://Directions/FactSet Auditing Viewer?action=AUDIT_VALUE&amp;DB=129&amp;ID1=03611510&amp;VALUEID=13040&amp;SDATE=200903&amp;PERIODTYPE=QTR_STD&amp;window=popup_no_bar&amp;width=385&amp;height=120&amp;START_MAXIMIZED=FALSE&amp;creator=factset&amp;display_string=Audit"}</definedName>
    <definedName name="_2139__FDSAUDITLINK__" hidden="1">{"fdsup://Directions/FactSet Auditing Viewer?action=AUDIT_VALUE&amp;DB=129&amp;ID1=03611510&amp;VALUEID=01001&amp;SDATE=200903&amp;PERIODTYPE=QTR_STD&amp;window=popup_no_bar&amp;width=385&amp;height=120&amp;START_MAXIMIZED=FALSE&amp;creator=factset&amp;display_string=Audit"}</definedName>
    <definedName name="_214__FDSAUDITLINK__" hidden="1">{"fdsup://Directions/FactSet Auditing Viewer?action=AUDIT_VALUE&amp;DB=129&amp;ID1=16890510&amp;VALUEID=01001&amp;SDATE=200703&amp;PERIODTYPE=QTR_STD&amp;window=popup_no_bar&amp;width=385&amp;height=120&amp;START_MAXIMIZED=FALSE&amp;creator=factset&amp;display_string=Audit"}</definedName>
    <definedName name="_2140__FDSAUDITLINK__" hidden="1">{"fdsup://Directions/FactSet Auditing Viewer?action=AUDIT_VALUE&amp;DB=129&amp;ID1=03611510&amp;VALUEID=02101&amp;SDATE=200903&amp;PERIODTYPE=QTR_STD&amp;window=popup_no_bar&amp;width=385&amp;height=120&amp;START_MAXIMIZED=FALSE&amp;creator=factset&amp;display_string=Audit"}</definedName>
    <definedName name="_2141__FDSAUDITLINK__" hidden="1">{"fdsup://Directions/FactSet Auditing Viewer?action=AUDIT_VALUE&amp;DB=129&amp;ID1=03611510&amp;VALUEID=01001&amp;SDATE=200904&amp;PERIODTYPE=QTR_STD&amp;window=popup_no_bar&amp;width=385&amp;height=120&amp;START_MAXIMIZED=FALSE&amp;creator=factset&amp;display_string=Audit"}</definedName>
    <definedName name="_2142__FDSAUDITLINK__" hidden="1">{"fdsup://Directions/FactSet Auditing Viewer?action=AUDIT_VALUE&amp;DB=129&amp;ID1=03611510&amp;VALUEID=13040&amp;SDATE=201001&amp;PERIODTYPE=QTR_STD&amp;window=popup_no_bar&amp;width=385&amp;height=120&amp;START_MAXIMIZED=FALSE&amp;creator=factset&amp;display_string=Audit"}</definedName>
    <definedName name="_2143__FDSAUDITLINK__" hidden="1">{"fdsup://Directions/FactSet Auditing Viewer?action=AUDIT_VALUE&amp;DB=129&amp;ID1=03611510&amp;VALUEID=01001&amp;SDATE=201001&amp;PERIODTYPE=QTR_STD&amp;window=popup_no_bar&amp;width=385&amp;height=120&amp;START_MAXIMIZED=FALSE&amp;creator=factset&amp;display_string=Audit"}</definedName>
    <definedName name="_2144__FDSAUDITLINK__" hidden="1">{"fdsup://Directions/FactSet Auditing Viewer?action=AUDIT_VALUE&amp;DB=129&amp;ID1=03611510&amp;VALUEID=02101&amp;SDATE=201001&amp;PERIODTYPE=QTR_STD&amp;window=popup_no_bar&amp;width=385&amp;height=120&amp;START_MAXIMIZED=FALSE&amp;creator=factset&amp;display_string=Audit"}</definedName>
    <definedName name="_2145__FDSAUDITLINK__" hidden="1">{"fdsup://Directions/FactSet Auditing Viewer?action=AUDIT_VALUE&amp;DB=129&amp;ID1=87416110&amp;VALUEID=02101&amp;SDATE=201001&amp;PERIODTYPE=QTR_STD&amp;window=popup_no_bar&amp;width=385&amp;height=120&amp;START_MAXIMIZED=FALSE&amp;creator=factset&amp;display_string=Audit"}</definedName>
    <definedName name="_2146__FDSAUDITLINK__" hidden="1">{"fdsup://Directions/FactSet Auditing Viewer?action=AUDIT_VALUE&amp;DB=129&amp;ID1=87416110&amp;VALUEID=13040&amp;SDATE=201001&amp;PERIODTYPE=QTR_STD&amp;window=popup_no_bar&amp;width=385&amp;height=120&amp;START_MAXIMIZED=FALSE&amp;creator=factset&amp;display_string=Audit"}</definedName>
    <definedName name="_2147__FDSAUDITLINK__" hidden="1">{"fdsup://directions/FAT Viewer?action=UPDATE&amp;creator=factset&amp;DYN_ARGS=TRUE&amp;DOC_NAME=FAT:FQL_AUDITING_CLIENT_TEMPLATE.FAT&amp;display_string=Audit&amp;VAR:KEY=FSTUHMJIBA&amp;VAR:QUERY=RkZfUlRfU0ZfVE9UX0dST1NTKFFUUiwwKQ==&amp;WINDOW=FIRST_POPUP&amp;HEIGHT=450&amp;WIDTH=450&amp;START_MA","XIMIZED=FALSE&amp;VAR:CALENDAR=US&amp;VAR:SYMBOL=TLB&amp;VAR:INDEX=0"}</definedName>
    <definedName name="_2148__FDSAUDITLINK__" hidden="1">{"fdsup://Directions/FactSet Auditing Viewer?action=AUDIT_VALUE&amp;DB=129&amp;ID1=53271610&amp;VALUEID=02101&amp;SDATE=201001&amp;PERIODTYPE=QTR_STD&amp;window=popup_no_bar&amp;width=385&amp;height=120&amp;START_MAXIMIZED=FALSE&amp;creator=factset&amp;display_string=Audit"}</definedName>
    <definedName name="_2149__FDSAUDITLINK__" hidden="1">{"fdsup://Directions/FactSet Auditing Viewer?action=AUDIT_VALUE&amp;DB=129&amp;ID1=53271610&amp;VALUEID=13040&amp;SDATE=201001&amp;PERIODTYPE=QTR_STD&amp;window=popup_no_bar&amp;width=385&amp;height=120&amp;START_MAXIMIZED=FALSE&amp;creator=factset&amp;display_string=Audit"}</definedName>
    <definedName name="_215__FDSAUDITLINK__" hidden="1">{"fdsup://Directions/FactSet Auditing Viewer?action=AUDIT_VALUE&amp;DB=129&amp;ID1=91704710&amp;VALUEID=02101&amp;SDATE=200703&amp;PERIODTYPE=QTR_STD&amp;window=popup_no_bar&amp;width=385&amp;height=120&amp;START_MAXIMIZED=FALSE&amp;creator=factset&amp;display_string=Audit"}</definedName>
    <definedName name="_2150__FDSAUDITLINK__" hidden="1">{"fdsup://Directions/FactSet Auditing Viewer?action=AUDIT_VALUE&amp;DB=129&amp;ID1=46612H40&amp;VALUEID=02101&amp;SDATE=201001&amp;PERIODTYPE=QTR_STD&amp;window=popup_no_bar&amp;width=385&amp;height=120&amp;START_MAXIMIZED=FALSE&amp;creator=factset&amp;display_string=Audit"}</definedName>
    <definedName name="_2151__FDSAUDITLINK__" hidden="1">{"fdsup://Directions/FactSet Auditing Viewer?action=AUDIT_VALUE&amp;DB=129&amp;ID1=46612H40&amp;VALUEID=13040&amp;SDATE=201001&amp;PERIODTYPE=QTR_STD&amp;window=popup_no_bar&amp;width=385&amp;height=120&amp;START_MAXIMIZED=FALSE&amp;creator=factset&amp;display_string=Audit"}</definedName>
    <definedName name="_2152__FDSAUDITLINK__" hidden="1">{"fdsup://Directions/FactSet Auditing Viewer?action=AUDIT_VALUE&amp;DB=129&amp;ID1=36476010&amp;VALUEID=02101&amp;SDATE=201001&amp;PERIODTYPE=QTR_STD&amp;window=popup_no_bar&amp;width=385&amp;height=120&amp;START_MAXIMIZED=FALSE&amp;creator=factset&amp;display_string=Audit"}</definedName>
    <definedName name="_2153__FDSAUDITLINK__" hidden="1">{"fdsup://Directions/FactSet Auditing Viewer?action=AUDIT_VALUE&amp;DB=129&amp;ID1=36476010&amp;VALUEID=13040&amp;SDATE=201001&amp;PERIODTYPE=QTR_STD&amp;window=popup_no_bar&amp;width=385&amp;height=120&amp;START_MAXIMIZED=FALSE&amp;creator=factset&amp;display_string=Audit"}</definedName>
    <definedName name="_2154__FDSAUDITLINK__" hidden="1">{"fdsup://Directions/FactSet Auditing Viewer?action=AUDIT_VALUE&amp;DB=129&amp;ID1=03611510&amp;VALUEID=02101&amp;SDATE=201001&amp;PERIODTYPE=QTR_STD&amp;window=popup_no_bar&amp;width=385&amp;height=120&amp;START_MAXIMIZED=FALSE&amp;creator=factset&amp;display_string=Audit"}</definedName>
    <definedName name="_2155__FDSAUDITLINK__" hidden="1">{"fdsup://Directions/FactSet Auditing Viewer?action=AUDIT_VALUE&amp;DB=129&amp;ID1=03611510&amp;VALUEID=13040&amp;SDATE=201001&amp;PERIODTYPE=QTR_STD&amp;window=popup_no_bar&amp;width=385&amp;height=120&amp;START_MAXIMIZED=FALSE&amp;creator=factset&amp;display_string=Audit"}</definedName>
    <definedName name="_2156__FDSAUDITLINK__" hidden="1">{"fdsup://Directions/FactSet Auditing Viewer?action=AUDIT_VALUE&amp;DB=129&amp;ID1=16890510&amp;VALUEID=02101&amp;SDATE=201001&amp;PERIODTYPE=QTR_STD&amp;window=popup_no_bar&amp;width=385&amp;height=120&amp;START_MAXIMIZED=FALSE&amp;creator=factset&amp;display_string=Audit"}</definedName>
    <definedName name="_2157__FDSAUDITLINK__" hidden="1">{"fdsup://Directions/FactSet Auditing Viewer?action=AUDIT_VALUE&amp;DB=129&amp;ID1=91704710&amp;VALUEID=02101&amp;SDATE=201001&amp;PERIODTYPE=QTR_STD&amp;window=popup_no_bar&amp;width=385&amp;height=120&amp;START_MAXIMIZED=FALSE&amp;creator=factset&amp;display_string=Audit"}</definedName>
    <definedName name="_2158__FDSAUDITLINK__" hidden="1">{"fdsup://Directions/FactSet Auditing Viewer?action=AUDIT_VALUE&amp;DB=129&amp;ID1=91704710&amp;VALUEID=13040&amp;SDATE=201001&amp;PERIODTYPE=QTR_STD&amp;window=popup_no_bar&amp;width=385&amp;height=120&amp;START_MAXIMIZED=FALSE&amp;creator=factset&amp;display_string=Audit"}</definedName>
    <definedName name="_2159__FDSAUDITLINK__" hidden="1">{"fdsup://Directions/FactSet Auditing Viewer?action=AUDIT_VALUE&amp;DB=129&amp;ID1=02553E10&amp;VALUEID=02101&amp;SDATE=201001&amp;PERIODTYPE=QTR_STD&amp;window=popup_no_bar&amp;width=385&amp;height=120&amp;START_MAXIMIZED=FALSE&amp;creator=factset&amp;display_string=Audit"}</definedName>
    <definedName name="_216__FDSAUDITLINK__" hidden="1">{"fdsup://Directions/FactSet Auditing Viewer?action=AUDIT_VALUE&amp;DB=129&amp;ID1=91704710&amp;VALUEID=01001&amp;SDATE=200703&amp;PERIODTYPE=QTR_STD&amp;window=popup_no_bar&amp;width=385&amp;height=120&amp;START_MAXIMIZED=FALSE&amp;creator=factset&amp;display_string=Audit"}</definedName>
    <definedName name="_2160__FDSAUDITLINK__" hidden="1">{"fdsup://Directions/FactSet Auditing Viewer?action=AUDIT_VALUE&amp;DB=129&amp;ID1=02553E10&amp;VALUEID=13040&amp;SDATE=201001&amp;PERIODTYPE=QTR_STD&amp;window=popup_no_bar&amp;width=385&amp;height=120&amp;START_MAXIMIZED=FALSE&amp;creator=factset&amp;display_string=Audit"}</definedName>
    <definedName name="_2161__FDSAUDITLINK__" hidden="1">{"fdsup://Directions/FactSet Auditing Viewer?action=AUDIT_VALUE&amp;DB=129&amp;ID1=00786510&amp;VALUEID=02101&amp;SDATE=201001&amp;PERIODTYPE=QTR_STD&amp;window=popup_no_bar&amp;width=385&amp;height=120&amp;START_MAXIMIZED=FALSE&amp;creator=factset&amp;display_string=Audit"}</definedName>
    <definedName name="_2162__FDSAUDITLINK__" hidden="1">{"fdsup://Directions/FactSet Auditing Viewer?action=AUDIT_VALUE&amp;DB=129&amp;ID1=00786510&amp;VALUEID=13040&amp;SDATE=201001&amp;PERIODTYPE=QTR_STD&amp;window=popup_no_bar&amp;width=385&amp;height=120&amp;START_MAXIMIZED=FALSE&amp;creator=factset&amp;display_string=Audit"}</definedName>
    <definedName name="_2163__FDSAUDITLINK__" hidden="1">{"fdsup://Directions/FactSet Auditing Viewer?action=AUDIT_VALUE&amp;DB=129&amp;ID1=00289620&amp;VALUEID=02101&amp;SDATE=201001&amp;PERIODTYPE=QTR_STD&amp;window=popup_no_bar&amp;width=385&amp;height=120&amp;START_MAXIMIZED=FALSE&amp;creator=factset&amp;display_string=Audit"}</definedName>
    <definedName name="_2164__FDSAUDITLINK__" hidden="1">{"fdsup://Directions/FactSet Auditing Viewer?action=AUDIT_VALUE&amp;DB=129&amp;ID1=00289620&amp;VALUEID=13040&amp;SDATE=201001&amp;PERIODTYPE=QTR_STD&amp;window=popup_no_bar&amp;width=385&amp;height=120&amp;START_MAXIMIZED=FALSE&amp;creator=factset&amp;display_string=Audit"}</definedName>
    <definedName name="_2165__FDSAUDITLINK__" hidden="1">{"fdsup://Directions/FactSet Auditing Viewer?action=AUDIT_VALUE&amp;DB=129&amp;ID1=87416110&amp;VALUEID=01001&amp;SDATE=200904&amp;PERIODTYPE=QTR_STD&amp;window=popup_no_bar&amp;width=385&amp;height=120&amp;START_MAXIMIZED=FALSE&amp;creator=factset&amp;display_string=Audit"}</definedName>
    <definedName name="_2166__FDSAUDITLINK__" hidden="1">{"fdsup://directions/FAT Viewer?action=UPDATE&amp;creator=factset&amp;DYN_ARGS=TRUE&amp;DOC_NAME=FAT:FQL_AUDITING_CLIENT_TEMPLATE.FAT&amp;display_string=Audit&amp;VAR:KEY=BIFCDOPIRG&amp;VAR:QUERY=RkZfUlRfU0ZfVE9UX0dST1NTKFFUUiwtMSk=&amp;WINDOW=FIRST_POPUP&amp;HEIGHT=450&amp;WIDTH=450&amp;START_MA","XIMIZED=FALSE&amp;VAR:CALENDAR=US&amp;VAR:SYMBOL=TLB&amp;VAR:INDEX=0"}</definedName>
    <definedName name="_2167__FDSAUDITLINK__" hidden="1">{"fdsup://Directions/FactSet Auditing Viewer?action=AUDIT_VALUE&amp;DB=129&amp;ID1=46612H40&amp;VALUEID=01001&amp;SDATE=200904&amp;PERIODTYPE=QTR_STD&amp;window=popup_no_bar&amp;width=385&amp;height=120&amp;START_MAXIMIZED=FALSE&amp;creator=factset&amp;display_string=Audit"}</definedName>
    <definedName name="_2168__FDSAUDITLINK__" hidden="1">{"fdsup://Directions/FactSet Auditing Viewer?action=AUDIT_VALUE&amp;DB=129&amp;ID1=36476010&amp;VALUEID=01001&amp;SDATE=200904&amp;PERIODTYPE=QTR_STD&amp;window=popup_no_bar&amp;width=385&amp;height=120&amp;START_MAXIMIZED=FALSE&amp;creator=factset&amp;display_string=Audit"}</definedName>
    <definedName name="_2169__FDSAUDITLINK__" hidden="1">{"fdsup://Directions/FactSet Auditing Viewer?action=AUDIT_VALUE&amp;DB=129&amp;ID1=03611510&amp;VALUEID=01001&amp;SDATE=200904&amp;PERIODTYPE=QTR_STD&amp;window=popup_no_bar&amp;width=385&amp;height=120&amp;START_MAXIMIZED=FALSE&amp;creator=factset&amp;display_string=Audit"}</definedName>
    <definedName name="_217__FDSAUDITLINK__" hidden="1">{"fdsup://Directions/FactSet Auditing Viewer?action=AUDIT_VALUE&amp;DB=129&amp;ID1=91704710&amp;VALUEID=13040&amp;SDATE=200703&amp;PERIODTYPE=QTR_STD&amp;window=popup_no_bar&amp;width=385&amp;height=120&amp;START_MAXIMIZED=FALSE&amp;creator=factset&amp;display_string=Audit"}</definedName>
    <definedName name="_2170__FDSAUDITLINK__" hidden="1">{"fdsup://Directions/FactSet Auditing Viewer?action=AUDIT_VALUE&amp;DB=129&amp;ID1=16890510&amp;VALUEID=01001&amp;SDATE=200904&amp;PERIODTYPE=QTR_STD&amp;window=popup_no_bar&amp;width=385&amp;height=120&amp;START_MAXIMIZED=FALSE&amp;creator=factset&amp;display_string=Audit"}</definedName>
    <definedName name="_2171__FDSAUDITLINK__" hidden="1">{"fdsup://Directions/FactSet Auditing Viewer?action=AUDIT_VALUE&amp;DB=129&amp;ID1=91704710&amp;VALUEID=01001&amp;SDATE=200904&amp;PERIODTYPE=QTR_STD&amp;window=popup_no_bar&amp;width=385&amp;height=120&amp;START_MAXIMIZED=FALSE&amp;creator=factset&amp;display_string=Audit"}</definedName>
    <definedName name="_2172__FDSAUDITLINK__" hidden="1">{"fdsup://Directions/FactSet Auditing Viewer?action=AUDIT_VALUE&amp;DB=129&amp;ID1=02553E10&amp;VALUEID=01001&amp;SDATE=200904&amp;PERIODTYPE=QTR_STD&amp;window=popup_no_bar&amp;width=385&amp;height=120&amp;START_MAXIMIZED=FALSE&amp;creator=factset&amp;display_string=Audit"}</definedName>
    <definedName name="_2173__FDSAUDITLINK__" hidden="1">{"fdsup://Directions/FactSet Auditing Viewer?action=AUDIT_VALUE&amp;DB=129&amp;ID1=00786510&amp;VALUEID=01001&amp;SDATE=200904&amp;PERIODTYPE=QTR_STD&amp;window=popup_no_bar&amp;width=385&amp;height=120&amp;START_MAXIMIZED=FALSE&amp;creator=factset&amp;display_string=Audit"}</definedName>
    <definedName name="_2174__FDSAUDITLINK__" hidden="1">{"fdsup://Directions/FactSet Auditing Viewer?action=AUDIT_VALUE&amp;DB=129&amp;ID1=87416110&amp;VALUEID=02101&amp;SDATE=200903&amp;PERIODTYPE=QTR_STD&amp;window=popup_no_bar&amp;width=385&amp;height=120&amp;START_MAXIMIZED=FALSE&amp;creator=factset&amp;display_string=Audit"}</definedName>
    <definedName name="_2175__FDSAUDITLINK__" hidden="1">{"fdsup://Directions/FactSet Auditing Viewer?action=AUDIT_VALUE&amp;DB=129&amp;ID1=87416110&amp;VALUEID=01001&amp;SDATE=200903&amp;PERIODTYPE=QTR_STD&amp;window=popup_no_bar&amp;width=385&amp;height=120&amp;START_MAXIMIZED=FALSE&amp;creator=factset&amp;display_string=Audit"}</definedName>
    <definedName name="_2176__FDSAUDITLINK__" hidden="1">{"fdsup://Directions/FactSet Auditing Viewer?action=AUDIT_VALUE&amp;DB=129&amp;ID1=87416110&amp;VALUEID=13040&amp;SDATE=200903&amp;PERIODTYPE=QTR_STD&amp;window=popup_no_bar&amp;width=385&amp;height=120&amp;START_MAXIMIZED=FALSE&amp;creator=factset&amp;display_string=Audit"}</definedName>
    <definedName name="_2177__FDSAUDITLINK__" hidden="1">{"fdsup://directions/FAT Viewer?action=UPDATE&amp;creator=factset&amp;DYN_ARGS=TRUE&amp;DOC_NAME=FAT:FQL_AUDITING_CLIENT_TEMPLATE.FAT&amp;display_string=Audit&amp;VAR:KEY=XAZODYBEXK&amp;VAR:QUERY=RkZfUlRfU0ZfVE9UX0dST1NTKFFUUiwtMik=&amp;WINDOW=FIRST_POPUP&amp;HEIGHT=450&amp;WIDTH=450&amp;START_MA","XIMIZED=FALSE&amp;VAR:CALENDAR=US&amp;VAR:SYMBOL=TLB&amp;VAR:INDEX=0"}</definedName>
    <definedName name="_2178__FDSAUDITLINK__" hidden="1">{"fdsup://Directions/FactSet Auditing Viewer?action=AUDIT_VALUE&amp;DB=129&amp;ID1=53271610&amp;VALUEID=02101&amp;SDATE=200903&amp;PERIODTYPE=QTR_STD&amp;window=popup_no_bar&amp;width=385&amp;height=120&amp;START_MAXIMIZED=FALSE&amp;creator=factset&amp;display_string=Audit"}</definedName>
    <definedName name="_2179__FDSAUDITLINK__" hidden="1">{"fdsup://Directions/FactSet Auditing Viewer?action=AUDIT_VALUE&amp;DB=129&amp;ID1=53271610&amp;VALUEID=01001&amp;SDATE=200903&amp;PERIODTYPE=QTR_STD&amp;window=popup_no_bar&amp;width=385&amp;height=120&amp;START_MAXIMIZED=FALSE&amp;creator=factset&amp;display_string=Audit"}</definedName>
    <definedName name="_218__FDSAUDITLINK__" hidden="1">{"fdsup://Directions/FactSet Auditing Viewer?action=AUDIT_VALUE&amp;DB=129&amp;ID1=02553E10&amp;VALUEID=02101&amp;SDATE=200703&amp;PERIODTYPE=QTR_STD&amp;window=popup_no_bar&amp;width=385&amp;height=120&amp;START_MAXIMIZED=FALSE&amp;creator=factset&amp;display_string=Audit"}</definedName>
    <definedName name="_2180__FDSAUDITLINK__" hidden="1">{"fdsup://Directions/FactSet Auditing Viewer?action=AUDIT_VALUE&amp;DB=129&amp;ID1=53271610&amp;VALUEID=13040&amp;SDATE=200903&amp;PERIODTYPE=QTR_STD&amp;window=popup_no_bar&amp;width=385&amp;height=120&amp;START_MAXIMIZED=FALSE&amp;creator=factset&amp;display_string=Audit"}</definedName>
    <definedName name="_2181__FDSAUDITLINK__" hidden="1">{"fdsup://Directions/FactSet Auditing Viewer?action=AUDIT_VALUE&amp;DB=129&amp;ID1=46612H40&amp;VALUEID=02101&amp;SDATE=200903&amp;PERIODTYPE=QTR_STD&amp;window=popup_no_bar&amp;width=385&amp;height=120&amp;START_MAXIMIZED=FALSE&amp;creator=factset&amp;display_string=Audit"}</definedName>
    <definedName name="_2182__FDSAUDITLINK__" hidden="1">{"fdsup://Directions/FactSet Auditing Viewer?action=AUDIT_VALUE&amp;DB=129&amp;ID1=46612H40&amp;VALUEID=01001&amp;SDATE=200903&amp;PERIODTYPE=QTR_STD&amp;window=popup_no_bar&amp;width=385&amp;height=120&amp;START_MAXIMIZED=FALSE&amp;creator=factset&amp;display_string=Audit"}</definedName>
    <definedName name="_2183__FDSAUDITLINK__" hidden="1">{"fdsup://Directions/FactSet Auditing Viewer?action=AUDIT_VALUE&amp;DB=129&amp;ID1=46612H40&amp;VALUEID=13040&amp;SDATE=200903&amp;PERIODTYPE=QTR_STD&amp;window=popup_no_bar&amp;width=385&amp;height=120&amp;START_MAXIMIZED=FALSE&amp;creator=factset&amp;display_string=Audit"}</definedName>
    <definedName name="_2184__FDSAUDITLINK__" hidden="1">{"fdsup://Directions/FactSet Auditing Viewer?action=AUDIT_VALUE&amp;DB=129&amp;ID1=36476010&amp;VALUEID=02101&amp;SDATE=200903&amp;PERIODTYPE=QTR_STD&amp;window=popup_no_bar&amp;width=385&amp;height=120&amp;START_MAXIMIZED=FALSE&amp;creator=factset&amp;display_string=Audit"}</definedName>
    <definedName name="_2185__FDSAUDITLINK__" hidden="1">{"fdsup://Directions/FactSet Auditing Viewer?action=AUDIT_VALUE&amp;DB=129&amp;ID1=36476010&amp;VALUEID=01001&amp;SDATE=200903&amp;PERIODTYPE=QTR_STD&amp;window=popup_no_bar&amp;width=385&amp;height=120&amp;START_MAXIMIZED=FALSE&amp;creator=factset&amp;display_string=Audit"}</definedName>
    <definedName name="_2186__FDSAUDITLINK__" hidden="1">{"fdsup://Directions/FactSet Auditing Viewer?action=AUDIT_VALUE&amp;DB=129&amp;ID1=36476010&amp;VALUEID=13040&amp;SDATE=200903&amp;PERIODTYPE=QTR_STD&amp;window=popup_no_bar&amp;width=385&amp;height=120&amp;START_MAXIMIZED=FALSE&amp;creator=factset&amp;display_string=Audit"}</definedName>
    <definedName name="_2187__FDSAUDITLINK__" hidden="1">{"fdsup://Directions/FactSet Auditing Viewer?action=AUDIT_VALUE&amp;DB=129&amp;ID1=03611510&amp;VALUEID=02101&amp;SDATE=200903&amp;PERIODTYPE=QTR_STD&amp;window=popup_no_bar&amp;width=385&amp;height=120&amp;START_MAXIMIZED=FALSE&amp;creator=factset&amp;display_string=Audit"}</definedName>
    <definedName name="_2188__FDSAUDITLINK__" hidden="1">{"fdsup://Directions/FactSet Auditing Viewer?action=AUDIT_VALUE&amp;DB=129&amp;ID1=03611510&amp;VALUEID=01001&amp;SDATE=200903&amp;PERIODTYPE=QTR_STD&amp;window=popup_no_bar&amp;width=385&amp;height=120&amp;START_MAXIMIZED=FALSE&amp;creator=factset&amp;display_string=Audit"}</definedName>
    <definedName name="_2189__FDSAUDITLINK__" hidden="1">{"fdsup://Directions/FactSet Auditing Viewer?action=AUDIT_VALUE&amp;DB=129&amp;ID1=03611510&amp;VALUEID=13040&amp;SDATE=200903&amp;PERIODTYPE=QTR_STD&amp;window=popup_no_bar&amp;width=385&amp;height=120&amp;START_MAXIMIZED=FALSE&amp;creator=factset&amp;display_string=Audit"}</definedName>
    <definedName name="_219__FDSAUDITLINK__" hidden="1">{"fdsup://Directions/FactSet Auditing Viewer?action=AUDIT_VALUE&amp;DB=129&amp;ID1=02553E10&amp;VALUEID=01001&amp;SDATE=200703&amp;PERIODTYPE=QTR_STD&amp;window=popup_no_bar&amp;width=385&amp;height=120&amp;START_MAXIMIZED=FALSE&amp;creator=factset&amp;display_string=Audit"}</definedName>
    <definedName name="_2190__FDSAUDITLINK__" hidden="1">{"fdsup://Directions/FactSet Auditing Viewer?action=AUDIT_VALUE&amp;DB=129&amp;ID1=16890510&amp;VALUEID=02101&amp;SDATE=200903&amp;PERIODTYPE=QTR_STD&amp;window=popup_no_bar&amp;width=385&amp;height=120&amp;START_MAXIMIZED=FALSE&amp;creator=factset&amp;display_string=Audit"}</definedName>
    <definedName name="_2191__FDSAUDITLINK__" hidden="1">{"fdsup://Directions/FactSet Auditing Viewer?action=AUDIT_VALUE&amp;DB=129&amp;ID1=16890510&amp;VALUEID=01001&amp;SDATE=200903&amp;PERIODTYPE=QTR_STD&amp;window=popup_no_bar&amp;width=385&amp;height=120&amp;START_MAXIMIZED=FALSE&amp;creator=factset&amp;display_string=Audit"}</definedName>
    <definedName name="_2192__FDSAUDITLINK__" hidden="1">{"fdsup://Directions/FactSet Auditing Viewer?action=AUDIT_VALUE&amp;DB=129&amp;ID1=91704710&amp;VALUEID=02101&amp;SDATE=200903&amp;PERIODTYPE=QTR_STD&amp;window=popup_no_bar&amp;width=385&amp;height=120&amp;START_MAXIMIZED=FALSE&amp;creator=factset&amp;display_string=Audit"}</definedName>
    <definedName name="_2193__FDSAUDITLINK__" hidden="1">{"fdsup://Directions/FactSet Auditing Viewer?action=AUDIT_VALUE&amp;DB=129&amp;ID1=91704710&amp;VALUEID=01001&amp;SDATE=200903&amp;PERIODTYPE=QTR_STD&amp;window=popup_no_bar&amp;width=385&amp;height=120&amp;START_MAXIMIZED=FALSE&amp;creator=factset&amp;display_string=Audit"}</definedName>
    <definedName name="_2194__FDSAUDITLINK__" hidden="1">{"fdsup://Directions/FactSet Auditing Viewer?action=AUDIT_VALUE&amp;DB=129&amp;ID1=91704710&amp;VALUEID=13040&amp;SDATE=200903&amp;PERIODTYPE=QTR_STD&amp;window=popup_no_bar&amp;width=385&amp;height=120&amp;START_MAXIMIZED=FALSE&amp;creator=factset&amp;display_string=Audit"}</definedName>
    <definedName name="_2195__FDSAUDITLINK__" hidden="1">{"fdsup://Directions/FactSet Auditing Viewer?action=AUDIT_VALUE&amp;DB=129&amp;ID1=02553E10&amp;VALUEID=02101&amp;SDATE=200903&amp;PERIODTYPE=QTR_STD&amp;window=popup_no_bar&amp;width=385&amp;height=120&amp;START_MAXIMIZED=FALSE&amp;creator=factset&amp;display_string=Audit"}</definedName>
    <definedName name="_2196__FDSAUDITLINK__" hidden="1">{"fdsup://Directions/FactSet Auditing Viewer?action=AUDIT_VALUE&amp;DB=129&amp;ID1=02553E10&amp;VALUEID=01001&amp;SDATE=200903&amp;PERIODTYPE=QTR_STD&amp;window=popup_no_bar&amp;width=385&amp;height=120&amp;START_MAXIMIZED=FALSE&amp;creator=factset&amp;display_string=Audit"}</definedName>
    <definedName name="_2197__FDSAUDITLINK__" hidden="1">{"fdsup://Directions/FactSet Auditing Viewer?action=AUDIT_VALUE&amp;DB=129&amp;ID1=00786510&amp;VALUEID=02101&amp;SDATE=200903&amp;PERIODTYPE=QTR_STD&amp;window=popup_no_bar&amp;width=385&amp;height=120&amp;START_MAXIMIZED=FALSE&amp;creator=factset&amp;display_string=Audit"}</definedName>
    <definedName name="_2198__FDSAUDITLINK__" hidden="1">{"fdsup://Directions/FactSet Auditing Viewer?action=AUDIT_VALUE&amp;DB=129&amp;ID1=00786510&amp;VALUEID=01001&amp;SDATE=200903&amp;PERIODTYPE=QTR_STD&amp;window=popup_no_bar&amp;width=385&amp;height=120&amp;START_MAXIMIZED=FALSE&amp;creator=factset&amp;display_string=Audit"}</definedName>
    <definedName name="_2199__FDSAUDITLINK__" hidden="1">{"fdsup://Directions/FactSet Auditing Viewer?action=AUDIT_VALUE&amp;DB=129&amp;ID1=00786510&amp;VALUEID=13040&amp;SDATE=200903&amp;PERIODTYPE=QTR_STD&amp;window=popup_no_bar&amp;width=385&amp;height=120&amp;START_MAXIMIZED=FALSE&amp;creator=factset&amp;display_string=Audit"}</definedName>
    <definedName name="_22__FDSAUDITLINK__" hidden="1">{"fdsup://directions/FAT Viewer?action=UPDATE&amp;creator=factset&amp;DYN_ARGS=TRUE&amp;DOC_NAME=FAT:FQL_AUDITING_CLIENT_TEMPLATE.FAT&amp;display_string=Audit&amp;VAR:KEY=BIFCDOPIRG&amp;VAR:QUERY=RkZfUlRfU0ZfVE9UX0dST1NTKFFUUiwtMSk=&amp;WINDOW=FIRST_POPUP&amp;HEIGHT=450&amp;WIDTH=450&amp;START_MA","XIMIZED=FALSE&amp;VAR:CALENDAR=US&amp;VAR:SYMBOL=TLB&amp;VAR:INDEX=0"}</definedName>
    <definedName name="_220__FDSAUDITLINK__" hidden="1">{"fdsup://Directions/FactSet Auditing Viewer?action=AUDIT_VALUE&amp;DB=129&amp;ID1=00786510&amp;VALUEID=02101&amp;SDATE=200703&amp;PERIODTYPE=QTR_STD&amp;window=popup_no_bar&amp;width=385&amp;height=120&amp;START_MAXIMIZED=FALSE&amp;creator=factset&amp;display_string=Audit"}</definedName>
    <definedName name="_2200__FDSAUDITLINK__" hidden="1">{"fdsup://Directions/FactSet Auditing Viewer?action=AUDIT_VALUE&amp;DB=129&amp;ID1=00289620&amp;VALUEID=02101&amp;SDATE=200903&amp;PERIODTYPE=QTR_STD&amp;window=popup_no_bar&amp;width=385&amp;height=120&amp;START_MAXIMIZED=FALSE&amp;creator=factset&amp;display_string=Audit"}</definedName>
    <definedName name="_2201__FDSAUDITLINK__" hidden="1">{"fdsup://Directions/FactSet Auditing Viewer?action=AUDIT_VALUE&amp;DB=129&amp;ID1=00289620&amp;VALUEID=01001&amp;SDATE=200903&amp;PERIODTYPE=QTR_STD&amp;window=popup_no_bar&amp;width=385&amp;height=120&amp;START_MAXIMIZED=FALSE&amp;creator=factset&amp;display_string=Audit"}</definedName>
    <definedName name="_2202__FDSAUDITLINK__" hidden="1">{"fdsup://Directions/FactSet Auditing Viewer?action=AUDIT_VALUE&amp;DB=129&amp;ID1=00289620&amp;VALUEID=13040&amp;SDATE=200903&amp;PERIODTYPE=QTR_STD&amp;window=popup_no_bar&amp;width=385&amp;height=120&amp;START_MAXIMIZED=FALSE&amp;creator=factset&amp;display_string=Audit"}</definedName>
    <definedName name="_2203__FDSAUDITLINK__" hidden="1">{"fdsup://Directions/FactSet Auditing Viewer?action=AUDIT_VALUE&amp;DB=129&amp;ID1=87416110&amp;VALUEID=02101&amp;SDATE=200902&amp;PERIODTYPE=QTR_STD&amp;window=popup_no_bar&amp;width=385&amp;height=120&amp;START_MAXIMIZED=FALSE&amp;creator=factset&amp;display_string=Audit"}</definedName>
    <definedName name="_2204__FDSAUDITLINK__" hidden="1">{"fdsup://Directions/FactSet Auditing Viewer?action=AUDIT_VALUE&amp;DB=129&amp;ID1=87416110&amp;VALUEID=01001&amp;SDATE=200902&amp;PERIODTYPE=QTR_STD&amp;window=popup_no_bar&amp;width=385&amp;height=120&amp;START_MAXIMIZED=FALSE&amp;creator=factset&amp;display_string=Audit"}</definedName>
    <definedName name="_2205__FDSAUDITLINK__" hidden="1">{"fdsup://Directions/FactSet Auditing Viewer?action=AUDIT_VALUE&amp;DB=129&amp;ID1=53271610&amp;VALUEID=02101&amp;SDATE=200902&amp;PERIODTYPE=QTR_STD&amp;window=popup_no_bar&amp;width=385&amp;height=120&amp;START_MAXIMIZED=FALSE&amp;creator=factset&amp;display_string=Audit"}</definedName>
    <definedName name="_2206__FDSAUDITLINK__" hidden="1">{"fdsup://Directions/FactSet Auditing Viewer?action=AUDIT_VALUE&amp;DB=129&amp;ID1=53271610&amp;VALUEID=01001&amp;SDATE=200902&amp;PERIODTYPE=QTR_STD&amp;window=popup_no_bar&amp;width=385&amp;height=120&amp;START_MAXIMIZED=FALSE&amp;creator=factset&amp;display_string=Audit"}</definedName>
    <definedName name="_2207__FDSAUDITLINK__" hidden="1">{"fdsup://Directions/FactSet Auditing Viewer?action=AUDIT_VALUE&amp;DB=129&amp;ID1=53271610&amp;VALUEID=13040&amp;SDATE=200902&amp;PERIODTYPE=QTR_STD&amp;window=popup_no_bar&amp;width=385&amp;height=120&amp;START_MAXIMIZED=FALSE&amp;creator=factset&amp;display_string=Audit"}</definedName>
    <definedName name="_2208__FDSAUDITLINK__" hidden="1">{"fdsup://Directions/FactSet Auditing Viewer?action=AUDIT_VALUE&amp;DB=129&amp;ID1=46612H40&amp;VALUEID=02101&amp;SDATE=200902&amp;PERIODTYPE=QTR_STD&amp;window=popup_no_bar&amp;width=385&amp;height=120&amp;START_MAXIMIZED=FALSE&amp;creator=factset&amp;display_string=Audit"}</definedName>
    <definedName name="_2209__FDSAUDITLINK__" hidden="1">{"fdsup://Directions/FactSet Auditing Viewer?action=AUDIT_VALUE&amp;DB=129&amp;ID1=46612H40&amp;VALUEID=01001&amp;SDATE=200902&amp;PERIODTYPE=QTR_STD&amp;window=popup_no_bar&amp;width=385&amp;height=120&amp;START_MAXIMIZED=FALSE&amp;creator=factset&amp;display_string=Audit"}</definedName>
    <definedName name="_221__FDSAUDITLINK__" hidden="1">{"fdsup://Directions/FactSet Auditing Viewer?action=AUDIT_VALUE&amp;DB=129&amp;ID1=00786510&amp;VALUEID=01001&amp;SDATE=200703&amp;PERIODTYPE=QTR_STD&amp;window=popup_no_bar&amp;width=385&amp;height=120&amp;START_MAXIMIZED=FALSE&amp;creator=factset&amp;display_string=Audit"}</definedName>
    <definedName name="_2210__FDSAUDITLINK__" hidden="1">{"fdsup://Directions/FactSet Auditing Viewer?action=AUDIT_VALUE&amp;DB=129&amp;ID1=46612H40&amp;VALUEID=13040&amp;SDATE=200902&amp;PERIODTYPE=QTR_STD&amp;window=popup_no_bar&amp;width=385&amp;height=120&amp;START_MAXIMIZED=FALSE&amp;creator=factset&amp;display_string=Audit"}</definedName>
    <definedName name="_2211__FDSAUDITLINK__" hidden="1">{"fdsup://Directions/FactSet Auditing Viewer?action=AUDIT_VALUE&amp;DB=129&amp;ID1=36476010&amp;VALUEID=02101&amp;SDATE=200902&amp;PERIODTYPE=QTR_STD&amp;window=popup_no_bar&amp;width=385&amp;height=120&amp;START_MAXIMIZED=FALSE&amp;creator=factset&amp;display_string=Audit"}</definedName>
    <definedName name="_2212__FDSAUDITLINK__" hidden="1">{"fdsup://Directions/FactSet Auditing Viewer?action=AUDIT_VALUE&amp;DB=129&amp;ID1=36476010&amp;VALUEID=01001&amp;SDATE=200902&amp;PERIODTYPE=QTR_STD&amp;window=popup_no_bar&amp;width=385&amp;height=120&amp;START_MAXIMIZED=FALSE&amp;creator=factset&amp;display_string=Audit"}</definedName>
    <definedName name="_2213__FDSAUDITLINK__" hidden="1">{"fdsup://Directions/FactSet Auditing Viewer?action=AUDIT_VALUE&amp;DB=129&amp;ID1=36476010&amp;VALUEID=13040&amp;SDATE=200902&amp;PERIODTYPE=QTR_STD&amp;window=popup_no_bar&amp;width=385&amp;height=120&amp;START_MAXIMIZED=FALSE&amp;creator=factset&amp;display_string=Audit"}</definedName>
    <definedName name="_2214__FDSAUDITLINK__" hidden="1">{"fdsup://Directions/FactSet Auditing Viewer?action=AUDIT_VALUE&amp;DB=129&amp;ID1=03611510&amp;VALUEID=02101&amp;SDATE=200902&amp;PERIODTYPE=QTR_STD&amp;window=popup_no_bar&amp;width=385&amp;height=120&amp;START_MAXIMIZED=FALSE&amp;creator=factset&amp;display_string=Audit"}</definedName>
    <definedName name="_2215__FDSAUDITLINK__" hidden="1">{"fdsup://Directions/FactSet Auditing Viewer?action=AUDIT_VALUE&amp;DB=129&amp;ID1=03611510&amp;VALUEID=01001&amp;SDATE=200902&amp;PERIODTYPE=QTR_STD&amp;window=popup_no_bar&amp;width=385&amp;height=120&amp;START_MAXIMIZED=FALSE&amp;creator=factset&amp;display_string=Audit"}</definedName>
    <definedName name="_2216__FDSAUDITLINK__" hidden="1">{"fdsup://Directions/FactSet Auditing Viewer?action=AUDIT_VALUE&amp;DB=129&amp;ID1=03611510&amp;VALUEID=13040&amp;SDATE=200902&amp;PERIODTYPE=QTR_STD&amp;window=popup_no_bar&amp;width=385&amp;height=120&amp;START_MAXIMIZED=FALSE&amp;creator=factset&amp;display_string=Audit"}</definedName>
    <definedName name="_2217__FDSAUDITLINK__" hidden="1">{"fdsup://Directions/FactSet Auditing Viewer?action=AUDIT_VALUE&amp;DB=129&amp;ID1=16890510&amp;VALUEID=02101&amp;SDATE=200902&amp;PERIODTYPE=QTR_STD&amp;window=popup_no_bar&amp;width=385&amp;height=120&amp;START_MAXIMIZED=FALSE&amp;creator=factset&amp;display_string=Audit"}</definedName>
    <definedName name="_2218__FDSAUDITLINK__" hidden="1">{"fdsup://Directions/FactSet Auditing Viewer?action=AUDIT_VALUE&amp;DB=129&amp;ID1=16890510&amp;VALUEID=01001&amp;SDATE=200902&amp;PERIODTYPE=QTR_STD&amp;window=popup_no_bar&amp;width=385&amp;height=120&amp;START_MAXIMIZED=FALSE&amp;creator=factset&amp;display_string=Audit"}</definedName>
    <definedName name="_2219__FDSAUDITLINK__" hidden="1">{"fdsup://Directions/FactSet Auditing Viewer?action=AUDIT_VALUE&amp;DB=129&amp;ID1=91704710&amp;VALUEID=02101&amp;SDATE=200902&amp;PERIODTYPE=QTR_STD&amp;window=popup_no_bar&amp;width=385&amp;height=120&amp;START_MAXIMIZED=FALSE&amp;creator=factset&amp;display_string=Audit"}</definedName>
    <definedName name="_222__FDSAUDITLINK__" hidden="1">{"fdsup://Directions/FactSet Auditing Viewer?action=AUDIT_VALUE&amp;DB=129&amp;ID1=00786510&amp;VALUEID=13040&amp;SDATE=200703&amp;PERIODTYPE=QTR_STD&amp;window=popup_no_bar&amp;width=385&amp;height=120&amp;START_MAXIMIZED=FALSE&amp;creator=factset&amp;display_string=Audit"}</definedName>
    <definedName name="_2220__FDSAUDITLINK__" hidden="1">{"fdsup://Directions/FactSet Auditing Viewer?action=AUDIT_VALUE&amp;DB=129&amp;ID1=91704710&amp;VALUEID=01001&amp;SDATE=200902&amp;PERIODTYPE=QTR_STD&amp;window=popup_no_bar&amp;width=385&amp;height=120&amp;START_MAXIMIZED=FALSE&amp;creator=factset&amp;display_string=Audit"}</definedName>
    <definedName name="_2221__FDSAUDITLINK__" hidden="1">{"fdsup://Directions/FactSet Auditing Viewer?action=AUDIT_VALUE&amp;DB=129&amp;ID1=02553E10&amp;VALUEID=02101&amp;SDATE=200902&amp;PERIODTYPE=QTR_STD&amp;window=popup_no_bar&amp;width=385&amp;height=120&amp;START_MAXIMIZED=FALSE&amp;creator=factset&amp;display_string=Audit"}</definedName>
    <definedName name="_2222__FDSAUDITLINK__" hidden="1">{"fdsup://Directions/FactSet Auditing Viewer?action=AUDIT_VALUE&amp;DB=129&amp;ID1=02553E10&amp;VALUEID=01001&amp;SDATE=200902&amp;PERIODTYPE=QTR_STD&amp;window=popup_no_bar&amp;width=385&amp;height=120&amp;START_MAXIMIZED=FALSE&amp;creator=factset&amp;display_string=Audit"}</definedName>
    <definedName name="_2223__FDSAUDITLINK__" hidden="1">{"fdsup://Directions/FactSet Auditing Viewer?action=AUDIT_VALUE&amp;DB=129&amp;ID1=02553E10&amp;VALUEID=13040&amp;SDATE=200902&amp;PERIODTYPE=QTR_STD&amp;window=popup_no_bar&amp;width=385&amp;height=120&amp;START_MAXIMIZED=FALSE&amp;creator=factset&amp;display_string=Audit"}</definedName>
    <definedName name="_2224__FDSAUDITLINK__" hidden="1">{"fdsup://Directions/FactSet Auditing Viewer?action=AUDIT_VALUE&amp;DB=129&amp;ID1=00786510&amp;VALUEID=02101&amp;SDATE=200902&amp;PERIODTYPE=QTR_STD&amp;window=popup_no_bar&amp;width=385&amp;height=120&amp;START_MAXIMIZED=FALSE&amp;creator=factset&amp;display_string=Audit"}</definedName>
    <definedName name="_2225__FDSAUDITLINK__" hidden="1">{"fdsup://Directions/FactSet Auditing Viewer?action=AUDIT_VALUE&amp;DB=129&amp;ID1=00786510&amp;VALUEID=01001&amp;SDATE=200902&amp;PERIODTYPE=QTR_STD&amp;window=popup_no_bar&amp;width=385&amp;height=120&amp;START_MAXIMIZED=FALSE&amp;creator=factset&amp;display_string=Audit"}</definedName>
    <definedName name="_2226__FDSAUDITLINK__" hidden="1">{"fdsup://Directions/FactSet Auditing Viewer?action=AUDIT_VALUE&amp;DB=129&amp;ID1=00786510&amp;VALUEID=13040&amp;SDATE=200902&amp;PERIODTYPE=QTR_STD&amp;window=popup_no_bar&amp;width=385&amp;height=120&amp;START_MAXIMIZED=FALSE&amp;creator=factset&amp;display_string=Audit"}</definedName>
    <definedName name="_2227__FDSAUDITLINK__" hidden="1">{"fdsup://Directions/FactSet Auditing Viewer?action=AUDIT_VALUE&amp;DB=129&amp;ID1=00289620&amp;VALUEID=02101&amp;SDATE=200902&amp;PERIODTYPE=QTR_STD&amp;window=popup_no_bar&amp;width=385&amp;height=120&amp;START_MAXIMIZED=FALSE&amp;creator=factset&amp;display_string=Audit"}</definedName>
    <definedName name="_2228__FDSAUDITLINK__" hidden="1">{"fdsup://Directions/FactSet Auditing Viewer?action=AUDIT_VALUE&amp;DB=129&amp;ID1=00289620&amp;VALUEID=01001&amp;SDATE=200902&amp;PERIODTYPE=QTR_STD&amp;window=popup_no_bar&amp;width=385&amp;height=120&amp;START_MAXIMIZED=FALSE&amp;creator=factset&amp;display_string=Audit"}</definedName>
    <definedName name="_2229__FDSAUDITLINK__" hidden="1">{"fdsup://Directions/FactSet Auditing Viewer?action=AUDIT_VALUE&amp;DB=129&amp;ID1=00289620&amp;VALUEID=13040&amp;SDATE=200902&amp;PERIODTYPE=QTR_STD&amp;window=popup_no_bar&amp;width=385&amp;height=120&amp;START_MAXIMIZED=FALSE&amp;creator=factset&amp;display_string=Audit"}</definedName>
    <definedName name="_223__FDSAUDITLINK__" hidden="1">{"fdsup://Directions/FactSet Auditing Viewer?action=AUDIT_VALUE&amp;DB=129&amp;ID1=00289620&amp;VALUEID=02101&amp;SDATE=200703&amp;PERIODTYPE=QTR_STD&amp;window=popup_no_bar&amp;width=385&amp;height=120&amp;START_MAXIMIZED=FALSE&amp;creator=factset&amp;display_string=Audit"}</definedName>
    <definedName name="_2230__FDSAUDITLINK__" hidden="1">{"fdsup://Directions/FactSet Auditing Viewer?action=AUDIT_VALUE&amp;DB=129&amp;ID1=87416110&amp;VALUEID=02101&amp;SDATE=200901&amp;PERIODTYPE=QTR_STD&amp;window=popup_no_bar&amp;width=385&amp;height=120&amp;START_MAXIMIZED=FALSE&amp;creator=factset&amp;display_string=Audit"}</definedName>
    <definedName name="_2231__FDSAUDITLINK__" hidden="1">{"fdsup://Directions/FactSet Auditing Viewer?action=AUDIT_VALUE&amp;DB=129&amp;ID1=87416110&amp;VALUEID=01001&amp;SDATE=200901&amp;PERIODTYPE=QTR_STD&amp;window=popup_no_bar&amp;width=385&amp;height=120&amp;START_MAXIMIZED=FALSE&amp;creator=factset&amp;display_string=Audit"}</definedName>
    <definedName name="_2232__FDSAUDITLINK__" hidden="1">{"fdsup://Directions/FactSet Auditing Viewer?action=AUDIT_VALUE&amp;DB=129&amp;ID1=87416110&amp;VALUEID=13040&amp;SDATE=200901&amp;PERIODTYPE=QTR_STD&amp;window=popup_no_bar&amp;width=385&amp;height=120&amp;START_MAXIMIZED=FALSE&amp;creator=factset&amp;display_string=Audit"}</definedName>
    <definedName name="_2233__FDSAUDITLINK__" hidden="1">{"fdsup://directions/FAT Viewer?action=UPDATE&amp;creator=factset&amp;DYN_ARGS=TRUE&amp;DOC_NAME=FAT:FQL_AUDITING_CLIENT_TEMPLATE.FAT&amp;display_string=Audit&amp;VAR:KEY=RSZCXYZEJW&amp;VAR:QUERY=RkZfUlRfU0ZfVE9UX0dST1NTKFFUUiwtNCk=&amp;WINDOW=FIRST_POPUP&amp;HEIGHT=450&amp;WIDTH=450&amp;START_MA","XIMIZED=FALSE&amp;VAR:CALENDAR=US&amp;VAR:SYMBOL=TLB&amp;VAR:INDEX=0"}</definedName>
    <definedName name="_2234__FDSAUDITLINK__" hidden="1">{"fdsup://Directions/FactSet Auditing Viewer?action=AUDIT_VALUE&amp;DB=129&amp;ID1=53271610&amp;VALUEID=13040&amp;SDATE=200901&amp;PERIODTYPE=QTR_STD&amp;window=popup_no_bar&amp;width=385&amp;height=120&amp;START_MAXIMIZED=FALSE&amp;creator=factset&amp;display_string=Audit"}</definedName>
    <definedName name="_2235__FDSAUDITLINK__" hidden="1">{"fdsup://Directions/FactSet Auditing Viewer?action=AUDIT_VALUE&amp;DB=129&amp;ID1=46612H40&amp;VALUEID=02101&amp;SDATE=200901&amp;PERIODTYPE=QTR_STD&amp;window=popup_no_bar&amp;width=385&amp;height=120&amp;START_MAXIMIZED=FALSE&amp;creator=factset&amp;display_string=Audit"}</definedName>
    <definedName name="_2236__FDSAUDITLINK__" hidden="1">{"fdsup://Directions/FactSet Auditing Viewer?action=AUDIT_VALUE&amp;DB=129&amp;ID1=46612H40&amp;VALUEID=01001&amp;SDATE=200901&amp;PERIODTYPE=QTR_STD&amp;window=popup_no_bar&amp;width=385&amp;height=120&amp;START_MAXIMIZED=FALSE&amp;creator=factset&amp;display_string=Audit"}</definedName>
    <definedName name="_2237__FDSAUDITLINK__" hidden="1">{"fdsup://Directions/FactSet Auditing Viewer?action=AUDIT_VALUE&amp;DB=129&amp;ID1=46612H40&amp;VALUEID=13040&amp;SDATE=200901&amp;PERIODTYPE=QTR_STD&amp;window=popup_no_bar&amp;width=385&amp;height=120&amp;START_MAXIMIZED=FALSE&amp;creator=factset&amp;display_string=Audit"}</definedName>
    <definedName name="_2238__FDSAUDITLINK__" hidden="1">{"fdsup://Directions/FactSet Auditing Viewer?action=AUDIT_VALUE&amp;DB=129&amp;ID1=03611510&amp;VALUEID=02101&amp;SDATE=200901&amp;PERIODTYPE=QTR_STD&amp;window=popup_no_bar&amp;width=385&amp;height=120&amp;START_MAXIMIZED=FALSE&amp;creator=factset&amp;display_string=Audit"}</definedName>
    <definedName name="_2239__FDSAUDITLINK__" hidden="1">{"fdsup://Directions/FactSet Auditing Viewer?action=AUDIT_VALUE&amp;DB=129&amp;ID1=03611510&amp;VALUEID=01001&amp;SDATE=200901&amp;PERIODTYPE=QTR_STD&amp;window=popup_no_bar&amp;width=385&amp;height=120&amp;START_MAXIMIZED=FALSE&amp;creator=factset&amp;display_string=Audit"}</definedName>
    <definedName name="_224__FDSAUDITLINK__" hidden="1">{"fdsup://Directions/FactSet Auditing Viewer?action=AUDIT_VALUE&amp;DB=129&amp;ID1=00289620&amp;VALUEID=01001&amp;SDATE=200703&amp;PERIODTYPE=QTR_STD&amp;window=popup_no_bar&amp;width=385&amp;height=120&amp;START_MAXIMIZED=FALSE&amp;creator=factset&amp;display_string=Audit"}</definedName>
    <definedName name="_2240__FDSAUDITLINK__" hidden="1">{"fdsup://Directions/FactSet Auditing Viewer?action=AUDIT_VALUE&amp;DB=129&amp;ID1=16890510&amp;VALUEID=02101&amp;SDATE=200901&amp;PERIODTYPE=QTR_STD&amp;window=popup_no_bar&amp;width=385&amp;height=120&amp;START_MAXIMIZED=FALSE&amp;creator=factset&amp;display_string=Audit"}</definedName>
    <definedName name="_2241__FDSAUDITLINK__" hidden="1">{"fdsup://Directions/FactSet Auditing Viewer?action=AUDIT_VALUE&amp;DB=129&amp;ID1=16890510&amp;VALUEID=01001&amp;SDATE=200901&amp;PERIODTYPE=QTR_STD&amp;window=popup_no_bar&amp;width=385&amp;height=120&amp;START_MAXIMIZED=FALSE&amp;creator=factset&amp;display_string=Audit"}</definedName>
    <definedName name="_2242__FDSAUDITLINK__" hidden="1">{"fdsup://Directions/FactSet Auditing Viewer?action=AUDIT_VALUE&amp;DB=129&amp;ID1=00786510&amp;VALUEID=02101&amp;SDATE=200901&amp;PERIODTYPE=QTR_STD&amp;window=popup_no_bar&amp;width=385&amp;height=120&amp;START_MAXIMIZED=FALSE&amp;creator=factset&amp;display_string=Audit"}</definedName>
    <definedName name="_2243__FDSAUDITLINK__" hidden="1">{"fdsup://Directions/FactSet Auditing Viewer?action=AUDIT_VALUE&amp;DB=129&amp;ID1=00786510&amp;VALUEID=01001&amp;SDATE=200901&amp;PERIODTYPE=QTR_STD&amp;window=popup_no_bar&amp;width=385&amp;height=120&amp;START_MAXIMIZED=FALSE&amp;creator=factset&amp;display_string=Audit"}</definedName>
    <definedName name="_2244__FDSAUDITLINK__" hidden="1">{"fdsup://Directions/FactSet Auditing Viewer?action=AUDIT_VALUE&amp;DB=129&amp;ID1=00786510&amp;VALUEID=13040&amp;SDATE=200901&amp;PERIODTYPE=QTR_STD&amp;window=popup_no_bar&amp;width=385&amp;height=120&amp;START_MAXIMIZED=FALSE&amp;creator=factset&amp;display_string=Audit"}</definedName>
    <definedName name="_2245__FDSAUDITLINK__" hidden="1">{"fdsup://Directions/FactSet Auditing Viewer?action=AUDIT_VALUE&amp;DB=129&amp;ID1=00289620&amp;VALUEID=13040&amp;SDATE=200901&amp;PERIODTYPE=QTR_STD&amp;window=popup_no_bar&amp;width=385&amp;height=120&amp;START_MAXIMIZED=FALSE&amp;creator=factset&amp;display_string=Audit"}</definedName>
    <definedName name="_2246__FDSAUDITLINK__" hidden="1">{"fdsup://Directions/FactSet Auditing Viewer?action=AUDIT_VALUE&amp;DB=129&amp;ID1=87416110&amp;VALUEID=01001&amp;SDATE=200804&amp;PERIODTYPE=QTR_STD&amp;window=popup_no_bar&amp;width=385&amp;height=120&amp;START_MAXIMIZED=FALSE&amp;creator=factset&amp;display_string=Audit"}</definedName>
    <definedName name="_2247__FDSAUDITLINK__" hidden="1">{"fdsup://directions/FAT Viewer?action=UPDATE&amp;creator=factset&amp;DYN_ARGS=TRUE&amp;DOC_NAME=FAT:FQL_AUDITING_CLIENT_TEMPLATE.FAT&amp;display_string=Audit&amp;VAR:KEY=BSXQNALGBC&amp;VAR:QUERY=RkZfUlRfU0ZfVE9UX0dST1NTKFFUUiwtNSk=&amp;WINDOW=FIRST_POPUP&amp;HEIGHT=450&amp;WIDTH=450&amp;START_MA","XIMIZED=FALSE&amp;VAR:CALENDAR=US&amp;VAR:SYMBOL=TLB&amp;VAR:INDEX=0"}</definedName>
    <definedName name="_2248__FDSAUDITLINK__" hidden="1">{"fdsup://Directions/FactSet Auditing Viewer?action=AUDIT_VALUE&amp;DB=129&amp;ID1=46612H40&amp;VALUEID=01001&amp;SDATE=200804&amp;PERIODTYPE=QTR_STD&amp;window=popup_no_bar&amp;width=385&amp;height=120&amp;START_MAXIMIZED=FALSE&amp;creator=factset&amp;display_string=Audit"}</definedName>
    <definedName name="_2249__FDSAUDITLINK__" hidden="1">{"fdsup://Directions/FactSet Auditing Viewer?action=AUDIT_VALUE&amp;DB=129&amp;ID1=46612H40&amp;VALUEID=13040&amp;SDATE=200804&amp;PERIODTYPE=QTR_STD&amp;window=popup_no_bar&amp;width=385&amp;height=120&amp;START_MAXIMIZED=FALSE&amp;creator=factset&amp;display_string=Audit"}</definedName>
    <definedName name="_225__FDSAUDITLINK__" hidden="1">{"fdsup://Directions/FactSet Auditing Viewer?action=AUDIT_VALUE&amp;DB=129&amp;ID1=00289620&amp;VALUEID=13040&amp;SDATE=200703&amp;PERIODTYPE=QTR_STD&amp;window=popup_no_bar&amp;width=385&amp;height=120&amp;START_MAXIMIZED=FALSE&amp;creator=factset&amp;display_string=Audit"}</definedName>
    <definedName name="_2250__FDSAUDITLINK__" hidden="1">{"fdsup://Directions/FactSet Auditing Viewer?action=AUDIT_VALUE&amp;DB=129&amp;ID1=36476010&amp;VALUEID=01001&amp;SDATE=200804&amp;PERIODTYPE=QTR_STD&amp;window=popup_no_bar&amp;width=385&amp;height=120&amp;START_MAXIMIZED=FALSE&amp;creator=factset&amp;display_string=Audit"}</definedName>
    <definedName name="_2251__FDSAUDITLINK__" hidden="1">{"fdsup://Directions/FactSet Auditing Viewer?action=AUDIT_VALUE&amp;DB=129&amp;ID1=03611510&amp;VALUEID=01001&amp;SDATE=200804&amp;PERIODTYPE=QTR_STD&amp;window=popup_no_bar&amp;width=385&amp;height=120&amp;START_MAXIMIZED=FALSE&amp;creator=factset&amp;display_string=Audit"}</definedName>
    <definedName name="_2252__FDSAUDITLINK__" hidden="1">{"fdsup://Directions/FactSet Auditing Viewer?action=AUDIT_VALUE&amp;DB=129&amp;ID1=16890510&amp;VALUEID=01001&amp;SDATE=200804&amp;PERIODTYPE=QTR_STD&amp;window=popup_no_bar&amp;width=385&amp;height=120&amp;START_MAXIMIZED=FALSE&amp;creator=factset&amp;display_string=Audit"}</definedName>
    <definedName name="_2253__FDSAUDITLINK__" hidden="1">{"fdsup://Directions/FactSet Auditing Viewer?action=AUDIT_VALUE&amp;DB=129&amp;ID1=00786510&amp;VALUEID=01001&amp;SDATE=200804&amp;PERIODTYPE=QTR_STD&amp;window=popup_no_bar&amp;width=385&amp;height=120&amp;START_MAXIMIZED=FALSE&amp;creator=factset&amp;display_string=Audit"}</definedName>
    <definedName name="_2254__FDSAUDITLINK__" hidden="1">{"fdsup://Directions/FactSet Auditing Viewer?action=AUDIT_VALUE&amp;DB=129&amp;ID1=87416110&amp;VALUEID=02101&amp;SDATE=200803&amp;PERIODTYPE=QTR_STD&amp;window=popup_no_bar&amp;width=385&amp;height=120&amp;START_MAXIMIZED=FALSE&amp;creator=factset&amp;display_string=Audit"}</definedName>
    <definedName name="_2255__FDSAUDITLINK__" hidden="1">{"fdsup://Directions/FactSet Auditing Viewer?action=AUDIT_VALUE&amp;DB=129&amp;ID1=87416110&amp;VALUEID=01001&amp;SDATE=200803&amp;PERIODTYPE=QTR_STD&amp;window=popup_no_bar&amp;width=385&amp;height=120&amp;START_MAXIMIZED=FALSE&amp;creator=factset&amp;display_string=Audit"}</definedName>
    <definedName name="_2256__FDSAUDITLINK__" hidden="1">{"fdsup://Directions/FactSet Auditing Viewer?action=AUDIT_VALUE&amp;DB=129&amp;ID1=87416110&amp;VALUEID=13040&amp;SDATE=200803&amp;PERIODTYPE=QTR_STD&amp;window=popup_no_bar&amp;width=385&amp;height=120&amp;START_MAXIMIZED=FALSE&amp;creator=factset&amp;display_string=Audit"}</definedName>
    <definedName name="_2257__FDSAUDITLINK__" hidden="1">{"fdsup://directions/FAT Viewer?action=UPDATE&amp;creator=factset&amp;DYN_ARGS=TRUE&amp;DOC_NAME=FAT:FQL_AUDITING_CLIENT_TEMPLATE.FAT&amp;display_string=Audit&amp;VAR:KEY=VAFWFCDYFC&amp;VAR:QUERY=RkZfUlRfU0ZfVE9UX0dST1NTKFFUUiwtNik=&amp;WINDOW=FIRST_POPUP&amp;HEIGHT=450&amp;WIDTH=450&amp;START_MA","XIMIZED=FALSE&amp;VAR:CALENDAR=US&amp;VAR:SYMBOL=TLB&amp;VAR:INDEX=0"}</definedName>
    <definedName name="_2258__FDSAUDITLINK__" hidden="1">{"fdsup://Directions/FactSet Auditing Viewer?action=AUDIT_VALUE&amp;DB=129&amp;ID1=46612H40&amp;VALUEID=02101&amp;SDATE=200803&amp;PERIODTYPE=QTR_STD&amp;window=popup_no_bar&amp;width=385&amp;height=120&amp;START_MAXIMIZED=FALSE&amp;creator=factset&amp;display_string=Audit"}</definedName>
    <definedName name="_2259__FDSAUDITLINK__" hidden="1">{"fdsup://Directions/FactSet Auditing Viewer?action=AUDIT_VALUE&amp;DB=129&amp;ID1=46612H40&amp;VALUEID=01001&amp;SDATE=200803&amp;PERIODTYPE=QTR_STD&amp;window=popup_no_bar&amp;width=385&amp;height=120&amp;START_MAXIMIZED=FALSE&amp;creator=factset&amp;display_string=Audit"}</definedName>
    <definedName name="_226__FDSAUDITLINK__" hidden="1">{"fdsup://Directions/FactSet Auditing Viewer?action=AUDIT_VALUE&amp;DB=129&amp;ID1=87416110&amp;VALUEID=02101&amp;SDATE=200702&amp;PERIODTYPE=QTR_STD&amp;window=popup_no_bar&amp;width=385&amp;height=120&amp;START_MAXIMIZED=FALSE&amp;creator=factset&amp;display_string=Audit"}</definedName>
    <definedName name="_2260__FDSAUDITLINK__" hidden="1">{"fdsup://Directions/FactSet Auditing Viewer?action=AUDIT_VALUE&amp;DB=129&amp;ID1=46612H40&amp;VALUEID=13040&amp;SDATE=200803&amp;PERIODTYPE=QTR_STD&amp;window=popup_no_bar&amp;width=385&amp;height=120&amp;START_MAXIMIZED=FALSE&amp;creator=factset&amp;display_string=Audit"}</definedName>
    <definedName name="_2261__FDSAUDITLINK__" hidden="1">{"fdsup://Directions/FactSet Auditing Viewer?action=AUDIT_VALUE&amp;DB=129&amp;ID1=36476010&amp;VALUEID=02101&amp;SDATE=200803&amp;PERIODTYPE=QTR_STD&amp;window=popup_no_bar&amp;width=385&amp;height=120&amp;START_MAXIMIZED=FALSE&amp;creator=factset&amp;display_string=Audit"}</definedName>
    <definedName name="_2262__FDSAUDITLINK__" hidden="1">{"fdsup://Directions/FactSet Auditing Viewer?action=AUDIT_VALUE&amp;DB=129&amp;ID1=36476010&amp;VALUEID=01001&amp;SDATE=200803&amp;PERIODTYPE=QTR_STD&amp;window=popup_no_bar&amp;width=385&amp;height=120&amp;START_MAXIMIZED=FALSE&amp;creator=factset&amp;display_string=Audit"}</definedName>
    <definedName name="_2263__FDSAUDITLINK__" hidden="1">{"fdsup://Directions/FactSet Auditing Viewer?action=AUDIT_VALUE&amp;DB=129&amp;ID1=36476010&amp;VALUEID=13040&amp;SDATE=200803&amp;PERIODTYPE=QTR_STD&amp;window=popup_no_bar&amp;width=385&amp;height=120&amp;START_MAXIMIZED=FALSE&amp;creator=factset&amp;display_string=Audit"}</definedName>
    <definedName name="_2264__FDSAUDITLINK__" hidden="1">{"fdsup://Directions/FactSet Auditing Viewer?action=AUDIT_VALUE&amp;DB=129&amp;ID1=03611510&amp;VALUEID=02101&amp;SDATE=200803&amp;PERIODTYPE=QTR_STD&amp;window=popup_no_bar&amp;width=385&amp;height=120&amp;START_MAXIMIZED=FALSE&amp;creator=factset&amp;display_string=Audit"}</definedName>
    <definedName name="_2265__FDSAUDITLINK__" hidden="1">{"fdsup://Directions/FactSet Auditing Viewer?action=AUDIT_VALUE&amp;DB=129&amp;ID1=03611510&amp;VALUEID=01001&amp;SDATE=200803&amp;PERIODTYPE=QTR_STD&amp;window=popup_no_bar&amp;width=385&amp;height=120&amp;START_MAXIMIZED=FALSE&amp;creator=factset&amp;display_string=Audit"}</definedName>
    <definedName name="_2266__FDSAUDITLINK__" hidden="1">{"fdsup://Directions/FactSet Auditing Viewer?action=AUDIT_VALUE&amp;DB=129&amp;ID1=16890510&amp;VALUEID=02101&amp;SDATE=200803&amp;PERIODTYPE=QTR_STD&amp;window=popup_no_bar&amp;width=385&amp;height=120&amp;START_MAXIMIZED=FALSE&amp;creator=factset&amp;display_string=Audit"}</definedName>
    <definedName name="_2267__FDSAUDITLINK__" hidden="1">{"fdsup://Directions/FactSet Auditing Viewer?action=AUDIT_VALUE&amp;DB=129&amp;ID1=16890510&amp;VALUEID=01001&amp;SDATE=200803&amp;PERIODTYPE=QTR_STD&amp;window=popup_no_bar&amp;width=385&amp;height=120&amp;START_MAXIMIZED=FALSE&amp;creator=factset&amp;display_string=Audit"}</definedName>
    <definedName name="_2268__FDSAUDITLINK__" hidden="1">{"fdsup://Directions/FactSet Auditing Viewer?action=AUDIT_VALUE&amp;DB=129&amp;ID1=91704710&amp;VALUEID=02101&amp;SDATE=200803&amp;PERIODTYPE=QTR_STD&amp;window=popup_no_bar&amp;width=385&amp;height=120&amp;START_MAXIMIZED=FALSE&amp;creator=factset&amp;display_string=Audit"}</definedName>
    <definedName name="_2269__FDSAUDITLINK__" hidden="1">{"fdsup://Directions/FactSet Auditing Viewer?action=AUDIT_VALUE&amp;DB=129&amp;ID1=91704710&amp;VALUEID=01001&amp;SDATE=200803&amp;PERIODTYPE=QTR_STD&amp;window=popup_no_bar&amp;width=385&amp;height=120&amp;START_MAXIMIZED=FALSE&amp;creator=factset&amp;display_string=Audit"}</definedName>
    <definedName name="_227__FDSAUDITLINK__" hidden="1">{"fdsup://Directions/FactSet Auditing Viewer?action=AUDIT_VALUE&amp;DB=129&amp;ID1=87416110&amp;VALUEID=01001&amp;SDATE=200702&amp;PERIODTYPE=QTR_STD&amp;window=popup_no_bar&amp;width=385&amp;height=120&amp;START_MAXIMIZED=FALSE&amp;creator=factset&amp;display_string=Audit"}</definedName>
    <definedName name="_2270__FDSAUDITLINK__" hidden="1">{"fdsup://Directions/FactSet Auditing Viewer?action=AUDIT_VALUE&amp;DB=129&amp;ID1=91704710&amp;VALUEID=13040&amp;SDATE=200803&amp;PERIODTYPE=QTR_STD&amp;window=popup_no_bar&amp;width=385&amp;height=120&amp;START_MAXIMIZED=FALSE&amp;creator=factset&amp;display_string=Audit"}</definedName>
    <definedName name="_2271__FDSAUDITLINK__" hidden="1">{"fdsup://Directions/FactSet Auditing Viewer?action=AUDIT_VALUE&amp;DB=129&amp;ID1=02553E10&amp;VALUEID=02101&amp;SDATE=200803&amp;PERIODTYPE=QTR_STD&amp;window=popup_no_bar&amp;width=385&amp;height=120&amp;START_MAXIMIZED=FALSE&amp;creator=factset&amp;display_string=Audit"}</definedName>
    <definedName name="_2272__FDSAUDITLINK__" hidden="1">{"fdsup://Directions/FactSet Auditing Viewer?action=AUDIT_VALUE&amp;DB=129&amp;ID1=02553E10&amp;VALUEID=01001&amp;SDATE=200803&amp;PERIODTYPE=QTR_STD&amp;window=popup_no_bar&amp;width=385&amp;height=120&amp;START_MAXIMIZED=FALSE&amp;creator=factset&amp;display_string=Audit"}</definedName>
    <definedName name="_2273__FDSAUDITLINK__" hidden="1">{"fdsup://Directions/FactSet Auditing Viewer?action=AUDIT_VALUE&amp;DB=129&amp;ID1=02553E10&amp;VALUEID=13040&amp;SDATE=200803&amp;PERIODTYPE=QTR_STD&amp;window=popup_no_bar&amp;width=385&amp;height=120&amp;START_MAXIMIZED=FALSE&amp;creator=factset&amp;display_string=Audit"}</definedName>
    <definedName name="_2274__FDSAUDITLINK__" hidden="1">{"fdsup://Directions/FactSet Auditing Viewer?action=AUDIT_VALUE&amp;DB=129&amp;ID1=00786510&amp;VALUEID=02101&amp;SDATE=200803&amp;PERIODTYPE=QTR_STD&amp;window=popup_no_bar&amp;width=385&amp;height=120&amp;START_MAXIMIZED=FALSE&amp;creator=factset&amp;display_string=Audit"}</definedName>
    <definedName name="_2275__FDSAUDITLINK__" hidden="1">{"fdsup://Directions/FactSet Auditing Viewer?action=AUDIT_VALUE&amp;DB=129&amp;ID1=00786510&amp;VALUEID=01001&amp;SDATE=200803&amp;PERIODTYPE=QTR_STD&amp;window=popup_no_bar&amp;width=385&amp;height=120&amp;START_MAXIMIZED=FALSE&amp;creator=factset&amp;display_string=Audit"}</definedName>
    <definedName name="_2276__FDSAUDITLINK__" hidden="1">{"fdsup://Directions/FactSet Auditing Viewer?action=AUDIT_VALUE&amp;DB=129&amp;ID1=00786510&amp;VALUEID=13040&amp;SDATE=200803&amp;PERIODTYPE=QTR_STD&amp;window=popup_no_bar&amp;width=385&amp;height=120&amp;START_MAXIMIZED=FALSE&amp;creator=factset&amp;display_string=Audit"}</definedName>
    <definedName name="_2277__FDSAUDITLINK__" hidden="1">{"fdsup://Directions/FactSet Auditing Viewer?action=AUDIT_VALUE&amp;DB=129&amp;ID1=00289620&amp;VALUEID=02101&amp;SDATE=200803&amp;PERIODTYPE=QTR_STD&amp;window=popup_no_bar&amp;width=385&amp;height=120&amp;START_MAXIMIZED=FALSE&amp;creator=factset&amp;display_string=Audit"}</definedName>
    <definedName name="_2278__FDSAUDITLINK__" hidden="1">{"fdsup://Directions/FactSet Auditing Viewer?action=AUDIT_VALUE&amp;DB=129&amp;ID1=00289620&amp;VALUEID=01001&amp;SDATE=200803&amp;PERIODTYPE=QTR_STD&amp;window=popup_no_bar&amp;width=385&amp;height=120&amp;START_MAXIMIZED=FALSE&amp;creator=factset&amp;display_string=Audit"}</definedName>
    <definedName name="_2279__FDSAUDITLINK__" hidden="1">{"fdsup://Directions/FactSet Auditing Viewer?action=AUDIT_VALUE&amp;DB=129&amp;ID1=00289620&amp;VALUEID=13040&amp;SDATE=200803&amp;PERIODTYPE=QTR_STD&amp;window=popup_no_bar&amp;width=385&amp;height=120&amp;START_MAXIMIZED=FALSE&amp;creator=factset&amp;display_string=Audit"}</definedName>
    <definedName name="_228__FDSAUDITLINK__" hidden="1">{"fdsup://Directions/FactSet Auditing Viewer?action=AUDIT_VALUE&amp;DB=129&amp;ID1=53271610&amp;VALUEID=02101&amp;SDATE=200702&amp;PERIODTYPE=QTR_STD&amp;window=popup_no_bar&amp;width=385&amp;height=120&amp;START_MAXIMIZED=FALSE&amp;creator=factset&amp;display_string=Audit"}</definedName>
    <definedName name="_2280__FDSAUDITLINK__" hidden="1">{"fdsup://Directions/FactSet Auditing Viewer?action=AUDIT_VALUE&amp;DB=129&amp;ID1=87416110&amp;VALUEID=02101&amp;SDATE=200802&amp;PERIODTYPE=QTR_STD&amp;window=popup_no_bar&amp;width=385&amp;height=120&amp;START_MAXIMIZED=FALSE&amp;creator=factset&amp;display_string=Audit"}</definedName>
    <definedName name="_2281__FDSAUDITLINK__" hidden="1">{"fdsup://Directions/FactSet Auditing Viewer?action=AUDIT_VALUE&amp;DB=129&amp;ID1=87416110&amp;VALUEID=01001&amp;SDATE=200802&amp;PERIODTYPE=QTR_STD&amp;window=popup_no_bar&amp;width=385&amp;height=120&amp;START_MAXIMIZED=FALSE&amp;creator=factset&amp;display_string=Audit"}</definedName>
    <definedName name="_2282__FDSAUDITLINK__" hidden="1">{"fdsup://Directions/FactSet Auditing Viewer?action=AUDIT_VALUE&amp;DB=129&amp;ID1=53271610&amp;VALUEID=02101&amp;SDATE=200802&amp;PERIODTYPE=QTR_STD&amp;window=popup_no_bar&amp;width=385&amp;height=120&amp;START_MAXIMIZED=FALSE&amp;creator=factset&amp;display_string=Audit"}</definedName>
    <definedName name="_2283__FDSAUDITLINK__" hidden="1">{"fdsup://Directions/FactSet Auditing Viewer?action=AUDIT_VALUE&amp;DB=129&amp;ID1=53271610&amp;VALUEID=01001&amp;SDATE=200802&amp;PERIODTYPE=QTR_STD&amp;window=popup_no_bar&amp;width=385&amp;height=120&amp;START_MAXIMIZED=FALSE&amp;creator=factset&amp;display_string=Audit"}</definedName>
    <definedName name="_2284__FDSAUDITLINK__" hidden="1">{"fdsup://Directions/FactSet Auditing Viewer?action=AUDIT_VALUE&amp;DB=129&amp;ID1=53271610&amp;VALUEID=13040&amp;SDATE=200802&amp;PERIODTYPE=QTR_STD&amp;window=popup_no_bar&amp;width=385&amp;height=120&amp;START_MAXIMIZED=FALSE&amp;creator=factset&amp;display_string=Audit"}</definedName>
    <definedName name="_2285__FDSAUDITLINK__" hidden="1">{"fdsup://Directions/FactSet Auditing Viewer?action=AUDIT_VALUE&amp;DB=129&amp;ID1=46612H40&amp;VALUEID=02101&amp;SDATE=200802&amp;PERIODTYPE=QTR_STD&amp;window=popup_no_bar&amp;width=385&amp;height=120&amp;START_MAXIMIZED=FALSE&amp;creator=factset&amp;display_string=Audit"}</definedName>
    <definedName name="_2286__FDSAUDITLINK__" hidden="1">{"fdsup://Directions/FactSet Auditing Viewer?action=AUDIT_VALUE&amp;DB=129&amp;ID1=46612H40&amp;VALUEID=01001&amp;SDATE=200802&amp;PERIODTYPE=QTR_STD&amp;window=popup_no_bar&amp;width=385&amp;height=120&amp;START_MAXIMIZED=FALSE&amp;creator=factset&amp;display_string=Audit"}</definedName>
    <definedName name="_2287__FDSAUDITLINK__" hidden="1">{"fdsup://Directions/FactSet Auditing Viewer?action=AUDIT_VALUE&amp;DB=129&amp;ID1=46612H40&amp;VALUEID=13040&amp;SDATE=200802&amp;PERIODTYPE=QTR_STD&amp;window=popup_no_bar&amp;width=385&amp;height=120&amp;START_MAXIMIZED=FALSE&amp;creator=factset&amp;display_string=Audit"}</definedName>
    <definedName name="_2288__FDSAUDITLINK__" hidden="1">{"fdsup://Directions/FactSet Auditing Viewer?action=AUDIT_VALUE&amp;DB=129&amp;ID1=36476010&amp;VALUEID=02101&amp;SDATE=200802&amp;PERIODTYPE=QTR_STD&amp;window=popup_no_bar&amp;width=385&amp;height=120&amp;START_MAXIMIZED=FALSE&amp;creator=factset&amp;display_string=Audit"}</definedName>
    <definedName name="_2289__FDSAUDITLINK__" hidden="1">{"fdsup://Directions/FactSet Auditing Viewer?action=AUDIT_VALUE&amp;DB=129&amp;ID1=36476010&amp;VALUEID=01001&amp;SDATE=200802&amp;PERIODTYPE=QTR_STD&amp;window=popup_no_bar&amp;width=385&amp;height=120&amp;START_MAXIMIZED=FALSE&amp;creator=factset&amp;display_string=Audit"}</definedName>
    <definedName name="_229__FDSAUDITLINK__" hidden="1">{"fdsup://Directions/FactSet Auditing Viewer?action=AUDIT_VALUE&amp;DB=129&amp;ID1=53271610&amp;VALUEID=01001&amp;SDATE=200702&amp;PERIODTYPE=QTR_STD&amp;window=popup_no_bar&amp;width=385&amp;height=120&amp;START_MAXIMIZED=FALSE&amp;creator=factset&amp;display_string=Audit"}</definedName>
    <definedName name="_2290__FDSAUDITLINK__" hidden="1">{"fdsup://Directions/FactSet Auditing Viewer?action=AUDIT_VALUE&amp;DB=129&amp;ID1=36476010&amp;VALUEID=13040&amp;SDATE=200802&amp;PERIODTYPE=QTR_STD&amp;window=popup_no_bar&amp;width=385&amp;height=120&amp;START_MAXIMIZED=FALSE&amp;creator=factset&amp;display_string=Audit"}</definedName>
    <definedName name="_2291__FDSAUDITLINK__" hidden="1">{"fdsup://Directions/FactSet Auditing Viewer?action=AUDIT_VALUE&amp;DB=129&amp;ID1=03611510&amp;VALUEID=02101&amp;SDATE=200802&amp;PERIODTYPE=QTR_STD&amp;window=popup_no_bar&amp;width=385&amp;height=120&amp;START_MAXIMIZED=FALSE&amp;creator=factset&amp;display_string=Audit"}</definedName>
    <definedName name="_2292__FDSAUDITLINK__" hidden="1">{"fdsup://Directions/FactSet Auditing Viewer?action=AUDIT_VALUE&amp;DB=129&amp;ID1=03611510&amp;VALUEID=01001&amp;SDATE=200802&amp;PERIODTYPE=QTR_STD&amp;window=popup_no_bar&amp;width=385&amp;height=120&amp;START_MAXIMIZED=FALSE&amp;creator=factset&amp;display_string=Audit"}</definedName>
    <definedName name="_2293__FDSAUDITLINK__" hidden="1">{"fdsup://Directions/FactSet Auditing Viewer?action=AUDIT_VALUE&amp;DB=129&amp;ID1=16890510&amp;VALUEID=02101&amp;SDATE=200802&amp;PERIODTYPE=QTR_STD&amp;window=popup_no_bar&amp;width=385&amp;height=120&amp;START_MAXIMIZED=FALSE&amp;creator=factset&amp;display_string=Audit"}</definedName>
    <definedName name="_2294__FDSAUDITLINK__" hidden="1">{"fdsup://Directions/FactSet Auditing Viewer?action=AUDIT_VALUE&amp;DB=129&amp;ID1=16890510&amp;VALUEID=01001&amp;SDATE=200802&amp;PERIODTYPE=QTR_STD&amp;window=popup_no_bar&amp;width=385&amp;height=120&amp;START_MAXIMIZED=FALSE&amp;creator=factset&amp;display_string=Audit"}</definedName>
    <definedName name="_2295__FDSAUDITLINK__" hidden="1">{"fdsup://Directions/FactSet Auditing Viewer?action=AUDIT_VALUE&amp;DB=129&amp;ID1=91704710&amp;VALUEID=02101&amp;SDATE=200802&amp;PERIODTYPE=QTR_STD&amp;window=popup_no_bar&amp;width=385&amp;height=120&amp;START_MAXIMIZED=FALSE&amp;creator=factset&amp;display_string=Audit"}</definedName>
    <definedName name="_2296__FDSAUDITLINK__" hidden="1">{"fdsup://Directions/FactSet Auditing Viewer?action=AUDIT_VALUE&amp;DB=129&amp;ID1=91704710&amp;VALUEID=01001&amp;SDATE=200802&amp;PERIODTYPE=QTR_STD&amp;window=popup_no_bar&amp;width=385&amp;height=120&amp;START_MAXIMIZED=FALSE&amp;creator=factset&amp;display_string=Audit"}</definedName>
    <definedName name="_2297__FDSAUDITLINK__" hidden="1">{"fdsup://Directions/FactSet Auditing Viewer?action=AUDIT_VALUE&amp;DB=129&amp;ID1=91704710&amp;VALUEID=13040&amp;SDATE=200802&amp;PERIODTYPE=QTR_STD&amp;window=popup_no_bar&amp;width=385&amp;height=120&amp;START_MAXIMIZED=FALSE&amp;creator=factset&amp;display_string=Audit"}</definedName>
    <definedName name="_2298__FDSAUDITLINK__" hidden="1">{"fdsup://Directions/FactSet Auditing Viewer?action=AUDIT_VALUE&amp;DB=129&amp;ID1=02553E10&amp;VALUEID=02101&amp;SDATE=200802&amp;PERIODTYPE=QTR_STD&amp;window=popup_no_bar&amp;width=385&amp;height=120&amp;START_MAXIMIZED=FALSE&amp;creator=factset&amp;display_string=Audit"}</definedName>
    <definedName name="_2299__FDSAUDITLINK__" hidden="1">{"fdsup://Directions/FactSet Auditing Viewer?action=AUDIT_VALUE&amp;DB=129&amp;ID1=02553E10&amp;VALUEID=01001&amp;SDATE=200802&amp;PERIODTYPE=QTR_STD&amp;window=popup_no_bar&amp;width=385&amp;height=120&amp;START_MAXIMIZED=FALSE&amp;creator=factset&amp;display_string=Audit"}</definedName>
    <definedName name="_23__FDSAUDITLINK__" hidden="1">{"fdsup://Directions/FactSet Auditing Viewer?action=AUDIT_VALUE&amp;DB=129&amp;ID1=46612H40&amp;VALUEID=01001&amp;SDATE=200904&amp;PERIODTYPE=QTR_STD&amp;window=popup_no_bar&amp;width=385&amp;height=120&amp;START_MAXIMIZED=FALSE&amp;creator=factset&amp;display_string=Audit"}</definedName>
    <definedName name="_230__FDSAUDITLINK__" hidden="1">{"fdsup://Directions/FactSet Auditing Viewer?action=AUDIT_VALUE&amp;DB=129&amp;ID1=53271610&amp;VALUEID=13040&amp;SDATE=200702&amp;PERIODTYPE=QTR_STD&amp;window=popup_no_bar&amp;width=385&amp;height=120&amp;START_MAXIMIZED=FALSE&amp;creator=factset&amp;display_string=Audit"}</definedName>
    <definedName name="_2300__FDSAUDITLINK__" hidden="1">{"fdsup://Directions/FactSet Auditing Viewer?action=AUDIT_VALUE&amp;DB=129&amp;ID1=02553E10&amp;VALUEID=13040&amp;SDATE=200802&amp;PERIODTYPE=QTR_STD&amp;window=popup_no_bar&amp;width=385&amp;height=120&amp;START_MAXIMIZED=FALSE&amp;creator=factset&amp;display_string=Audit"}</definedName>
    <definedName name="_2301__FDSAUDITLINK__" hidden="1">{"fdsup://Directions/FactSet Auditing Viewer?action=AUDIT_VALUE&amp;DB=129&amp;ID1=00786510&amp;VALUEID=02101&amp;SDATE=200802&amp;PERIODTYPE=QTR_STD&amp;window=popup_no_bar&amp;width=385&amp;height=120&amp;START_MAXIMIZED=FALSE&amp;creator=factset&amp;display_string=Audit"}</definedName>
    <definedName name="_2302__FDSAUDITLINK__" hidden="1">{"fdsup://Directions/FactSet Auditing Viewer?action=AUDIT_VALUE&amp;DB=129&amp;ID1=00786510&amp;VALUEID=01001&amp;SDATE=200802&amp;PERIODTYPE=QTR_STD&amp;window=popup_no_bar&amp;width=385&amp;height=120&amp;START_MAXIMIZED=FALSE&amp;creator=factset&amp;display_string=Audit"}</definedName>
    <definedName name="_2303__FDSAUDITLINK__" hidden="1">{"fdsup://Directions/FactSet Auditing Viewer?action=AUDIT_VALUE&amp;DB=129&amp;ID1=00786510&amp;VALUEID=13040&amp;SDATE=200802&amp;PERIODTYPE=QTR_STD&amp;window=popup_no_bar&amp;width=385&amp;height=120&amp;START_MAXIMIZED=FALSE&amp;creator=factset&amp;display_string=Audit"}</definedName>
    <definedName name="_2304__FDSAUDITLINK__" hidden="1">{"fdsup://Directions/FactSet Auditing Viewer?action=AUDIT_VALUE&amp;DB=129&amp;ID1=00289620&amp;VALUEID=02101&amp;SDATE=200802&amp;PERIODTYPE=QTR_STD&amp;window=popup_no_bar&amp;width=385&amp;height=120&amp;START_MAXIMIZED=FALSE&amp;creator=factset&amp;display_string=Audit"}</definedName>
    <definedName name="_2305__FDSAUDITLINK__" hidden="1">{"fdsup://Directions/FactSet Auditing Viewer?action=AUDIT_VALUE&amp;DB=129&amp;ID1=00289620&amp;VALUEID=01001&amp;SDATE=200802&amp;PERIODTYPE=QTR_STD&amp;window=popup_no_bar&amp;width=385&amp;height=120&amp;START_MAXIMIZED=FALSE&amp;creator=factset&amp;display_string=Audit"}</definedName>
    <definedName name="_2306__FDSAUDITLINK__" hidden="1">{"fdsup://Directions/FactSet Auditing Viewer?action=AUDIT_VALUE&amp;DB=129&amp;ID1=00289620&amp;VALUEID=13040&amp;SDATE=200802&amp;PERIODTYPE=QTR_STD&amp;window=popup_no_bar&amp;width=385&amp;height=120&amp;START_MAXIMIZED=FALSE&amp;creator=factset&amp;display_string=Audit"}</definedName>
    <definedName name="_2307__FDSAUDITLINK__" hidden="1">{"fdsup://Directions/FactSet Auditing Viewer?action=AUDIT_VALUE&amp;DB=129&amp;ID1=87416110&amp;VALUEID=02101&amp;SDATE=200801&amp;PERIODTYPE=QTR_STD&amp;window=popup_no_bar&amp;width=385&amp;height=120&amp;START_MAXIMIZED=FALSE&amp;creator=factset&amp;display_string=Audit"}</definedName>
    <definedName name="_2308__FDSAUDITLINK__" hidden="1">{"fdsup://Directions/FactSet Auditing Viewer?action=AUDIT_VALUE&amp;DB=129&amp;ID1=87416110&amp;VALUEID=01001&amp;SDATE=200801&amp;PERIODTYPE=QTR_STD&amp;window=popup_no_bar&amp;width=385&amp;height=120&amp;START_MAXIMIZED=FALSE&amp;creator=factset&amp;display_string=Audit"}</definedName>
    <definedName name="_2309__FDSAUDITLINK__" hidden="1">{"fdsup://Directions/FactSet Auditing Viewer?action=AUDIT_VALUE&amp;DB=129&amp;ID1=53271610&amp;VALUEID=02101&amp;SDATE=200801&amp;PERIODTYPE=QTR_STD&amp;window=popup_no_bar&amp;width=385&amp;height=120&amp;START_MAXIMIZED=FALSE&amp;creator=factset&amp;display_string=Audit"}</definedName>
    <definedName name="_231__FDSAUDITLINK__" hidden="1">{"fdsup://Directions/FactSet Auditing Viewer?action=AUDIT_VALUE&amp;DB=129&amp;ID1=46612H40&amp;VALUEID=02101&amp;SDATE=200702&amp;PERIODTYPE=QTR_STD&amp;window=popup_no_bar&amp;width=385&amp;height=120&amp;START_MAXIMIZED=FALSE&amp;creator=factset&amp;display_string=Audit"}</definedName>
    <definedName name="_2310__FDSAUDITLINK__" hidden="1">{"fdsup://Directions/FactSet Auditing Viewer?action=AUDIT_VALUE&amp;DB=129&amp;ID1=53271610&amp;VALUEID=01001&amp;SDATE=200801&amp;PERIODTYPE=QTR_STD&amp;window=popup_no_bar&amp;width=385&amp;height=120&amp;START_MAXIMIZED=FALSE&amp;creator=factset&amp;display_string=Audit"}</definedName>
    <definedName name="_2311__FDSAUDITLINK__" hidden="1">{"fdsup://Directions/FactSet Auditing Viewer?action=AUDIT_VALUE&amp;DB=129&amp;ID1=53271610&amp;VALUEID=13040&amp;SDATE=200801&amp;PERIODTYPE=QTR_STD&amp;window=popup_no_bar&amp;width=385&amp;height=120&amp;START_MAXIMIZED=FALSE&amp;creator=factset&amp;display_string=Audit"}</definedName>
    <definedName name="_2312__FDSAUDITLINK__" hidden="1">{"fdsup://Directions/FactSet Auditing Viewer?action=AUDIT_VALUE&amp;DB=129&amp;ID1=46612H40&amp;VALUEID=02101&amp;SDATE=200801&amp;PERIODTYPE=QTR_STD&amp;window=popup_no_bar&amp;width=385&amp;height=120&amp;START_MAXIMIZED=FALSE&amp;creator=factset&amp;display_string=Audit"}</definedName>
    <definedName name="_2313__FDSAUDITLINK__" hidden="1">{"fdsup://Directions/FactSet Auditing Viewer?action=AUDIT_VALUE&amp;DB=129&amp;ID1=46612H40&amp;VALUEID=01001&amp;SDATE=200801&amp;PERIODTYPE=QTR_STD&amp;window=popup_no_bar&amp;width=385&amp;height=120&amp;START_MAXIMIZED=FALSE&amp;creator=factset&amp;display_string=Audit"}</definedName>
    <definedName name="_2314__FDSAUDITLINK__" hidden="1">{"fdsup://Directions/FactSet Auditing Viewer?action=AUDIT_VALUE&amp;DB=129&amp;ID1=46612H40&amp;VALUEID=13040&amp;SDATE=200801&amp;PERIODTYPE=QTR_STD&amp;window=popup_no_bar&amp;width=385&amp;height=120&amp;START_MAXIMIZED=FALSE&amp;creator=factset&amp;display_string=Audit"}</definedName>
    <definedName name="_2315__FDSAUDITLINK__" hidden="1">{"fdsup://Directions/FactSet Auditing Viewer?action=AUDIT_VALUE&amp;DB=129&amp;ID1=36476010&amp;VALUEID=02101&amp;SDATE=200801&amp;PERIODTYPE=QTR_STD&amp;window=popup_no_bar&amp;width=385&amp;height=120&amp;START_MAXIMIZED=FALSE&amp;creator=factset&amp;display_string=Audit"}</definedName>
    <definedName name="_2316__FDSAUDITLINK__" hidden="1">{"fdsup://Directions/FactSet Auditing Viewer?action=AUDIT_VALUE&amp;DB=129&amp;ID1=36476010&amp;VALUEID=01001&amp;SDATE=200801&amp;PERIODTYPE=QTR_STD&amp;window=popup_no_bar&amp;width=385&amp;height=120&amp;START_MAXIMIZED=FALSE&amp;creator=factset&amp;display_string=Audit"}</definedName>
    <definedName name="_2317__FDSAUDITLINK__" hidden="1">{"fdsup://Directions/FactSet Auditing Viewer?action=AUDIT_VALUE&amp;DB=129&amp;ID1=36476010&amp;VALUEID=13040&amp;SDATE=200801&amp;PERIODTYPE=QTR_STD&amp;window=popup_no_bar&amp;width=385&amp;height=120&amp;START_MAXIMIZED=FALSE&amp;creator=factset&amp;display_string=Audit"}</definedName>
    <definedName name="_2318__FDSAUDITLINK__" hidden="1">{"fdsup://Directions/FactSet Auditing Viewer?action=AUDIT_VALUE&amp;DB=129&amp;ID1=03611510&amp;VALUEID=02101&amp;SDATE=200801&amp;PERIODTYPE=QTR_STD&amp;window=popup_no_bar&amp;width=385&amp;height=120&amp;START_MAXIMIZED=FALSE&amp;creator=factset&amp;display_string=Audit"}</definedName>
    <definedName name="_2319__FDSAUDITLINK__" hidden="1">{"fdsup://Directions/FactSet Auditing Viewer?action=AUDIT_VALUE&amp;DB=129&amp;ID1=03611510&amp;VALUEID=01001&amp;SDATE=200801&amp;PERIODTYPE=QTR_STD&amp;window=popup_no_bar&amp;width=385&amp;height=120&amp;START_MAXIMIZED=FALSE&amp;creator=factset&amp;display_string=Audit"}</definedName>
    <definedName name="_232__FDSAUDITLINK__" hidden="1">{"fdsup://Directions/FactSet Auditing Viewer?action=AUDIT_VALUE&amp;DB=129&amp;ID1=46612H40&amp;VALUEID=01001&amp;SDATE=200702&amp;PERIODTYPE=QTR_STD&amp;window=popup_no_bar&amp;width=385&amp;height=120&amp;START_MAXIMIZED=FALSE&amp;creator=factset&amp;display_string=Audit"}</definedName>
    <definedName name="_2320__FDSAUDITLINK__" hidden="1">{"fdsup://Directions/FactSet Auditing Viewer?action=AUDIT_VALUE&amp;DB=129&amp;ID1=03611510&amp;VALUEID=13040&amp;SDATE=200801&amp;PERIODTYPE=QTR_STD&amp;window=popup_no_bar&amp;width=385&amp;height=120&amp;START_MAXIMIZED=FALSE&amp;creator=factset&amp;display_string=Audit"}</definedName>
    <definedName name="_2321__FDSAUDITLINK__" hidden="1">{"fdsup://Directions/FactSet Auditing Viewer?action=AUDIT_VALUE&amp;DB=129&amp;ID1=16890510&amp;VALUEID=02101&amp;SDATE=200801&amp;PERIODTYPE=QTR_STD&amp;window=popup_no_bar&amp;width=385&amp;height=120&amp;START_MAXIMIZED=FALSE&amp;creator=factset&amp;display_string=Audit"}</definedName>
    <definedName name="_2322__FDSAUDITLINK__" hidden="1">{"fdsup://Directions/FactSet Auditing Viewer?action=AUDIT_VALUE&amp;DB=129&amp;ID1=16890510&amp;VALUEID=01001&amp;SDATE=200801&amp;PERIODTYPE=QTR_STD&amp;window=popup_no_bar&amp;width=385&amp;height=120&amp;START_MAXIMIZED=FALSE&amp;creator=factset&amp;display_string=Audit"}</definedName>
    <definedName name="_2323__FDSAUDITLINK__" hidden="1">{"fdsup://Directions/FactSet Auditing Viewer?action=AUDIT_VALUE&amp;DB=129&amp;ID1=91704710&amp;VALUEID=02101&amp;SDATE=200801&amp;PERIODTYPE=QTR_STD&amp;window=popup_no_bar&amp;width=385&amp;height=120&amp;START_MAXIMIZED=FALSE&amp;creator=factset&amp;display_string=Audit"}</definedName>
    <definedName name="_2324__FDSAUDITLINK__" hidden="1">{"fdsup://Directions/FactSet Auditing Viewer?action=AUDIT_VALUE&amp;DB=129&amp;ID1=91704710&amp;VALUEID=01001&amp;SDATE=200801&amp;PERIODTYPE=QTR_STD&amp;window=popup_no_bar&amp;width=385&amp;height=120&amp;START_MAXIMIZED=FALSE&amp;creator=factset&amp;display_string=Audit"}</definedName>
    <definedName name="_2325__FDSAUDITLINK__" hidden="1">{"fdsup://Directions/FactSet Auditing Viewer?action=AUDIT_VALUE&amp;DB=129&amp;ID1=91704710&amp;VALUEID=13040&amp;SDATE=200801&amp;PERIODTYPE=QTR_STD&amp;window=popup_no_bar&amp;width=385&amp;height=120&amp;START_MAXIMIZED=FALSE&amp;creator=factset&amp;display_string=Audit"}</definedName>
    <definedName name="_2326__FDSAUDITLINK__" hidden="1">{"fdsup://Directions/FactSet Auditing Viewer?action=AUDIT_VALUE&amp;DB=129&amp;ID1=02553E10&amp;VALUEID=02101&amp;SDATE=200801&amp;PERIODTYPE=QTR_STD&amp;window=popup_no_bar&amp;width=385&amp;height=120&amp;START_MAXIMIZED=FALSE&amp;creator=factset&amp;display_string=Audit"}</definedName>
    <definedName name="_2327__FDSAUDITLINK__" hidden="1">{"fdsup://Directions/FactSet Auditing Viewer?action=AUDIT_VALUE&amp;DB=129&amp;ID1=02553E10&amp;VALUEID=01001&amp;SDATE=200801&amp;PERIODTYPE=QTR_STD&amp;window=popup_no_bar&amp;width=385&amp;height=120&amp;START_MAXIMIZED=FALSE&amp;creator=factset&amp;display_string=Audit"}</definedName>
    <definedName name="_2328__FDSAUDITLINK__" hidden="1">{"fdsup://Directions/FactSet Auditing Viewer?action=AUDIT_VALUE&amp;DB=129&amp;ID1=02553E10&amp;VALUEID=13040&amp;SDATE=200801&amp;PERIODTYPE=QTR_STD&amp;window=popup_no_bar&amp;width=385&amp;height=120&amp;START_MAXIMIZED=FALSE&amp;creator=factset&amp;display_string=Audit"}</definedName>
    <definedName name="_2329__FDSAUDITLINK__" hidden="1">{"fdsup://Directions/FactSet Auditing Viewer?action=AUDIT_VALUE&amp;DB=129&amp;ID1=00786510&amp;VALUEID=02101&amp;SDATE=200801&amp;PERIODTYPE=QTR_STD&amp;window=popup_no_bar&amp;width=385&amp;height=120&amp;START_MAXIMIZED=FALSE&amp;creator=factset&amp;display_string=Audit"}</definedName>
    <definedName name="_233__FDSAUDITLINK__" hidden="1">{"fdsup://Directions/FactSet Auditing Viewer?action=AUDIT_VALUE&amp;DB=129&amp;ID1=46612H40&amp;VALUEID=13040&amp;SDATE=200702&amp;PERIODTYPE=QTR_STD&amp;window=popup_no_bar&amp;width=385&amp;height=120&amp;START_MAXIMIZED=FALSE&amp;creator=factset&amp;display_string=Audit"}</definedName>
    <definedName name="_2330__FDSAUDITLINK__" hidden="1">{"fdsup://Directions/FactSet Auditing Viewer?action=AUDIT_VALUE&amp;DB=129&amp;ID1=00786510&amp;VALUEID=01001&amp;SDATE=200801&amp;PERIODTYPE=QTR_STD&amp;window=popup_no_bar&amp;width=385&amp;height=120&amp;START_MAXIMIZED=FALSE&amp;creator=factset&amp;display_string=Audit"}</definedName>
    <definedName name="_2331__FDSAUDITLINK__" hidden="1">{"fdsup://Directions/FactSet Auditing Viewer?action=AUDIT_VALUE&amp;DB=129&amp;ID1=00786510&amp;VALUEID=13040&amp;SDATE=200801&amp;PERIODTYPE=QTR_STD&amp;window=popup_no_bar&amp;width=385&amp;height=120&amp;START_MAXIMIZED=FALSE&amp;creator=factset&amp;display_string=Audit"}</definedName>
    <definedName name="_2332__FDSAUDITLINK__" hidden="1">{"fdsup://Directions/FactSet Auditing Viewer?action=AUDIT_VALUE&amp;DB=129&amp;ID1=00289620&amp;VALUEID=02101&amp;SDATE=200801&amp;PERIODTYPE=QTR_STD&amp;window=popup_no_bar&amp;width=385&amp;height=120&amp;START_MAXIMIZED=FALSE&amp;creator=factset&amp;display_string=Audit"}</definedName>
    <definedName name="_2333__FDSAUDITLINK__" hidden="1">{"fdsup://Directions/FactSet Auditing Viewer?action=AUDIT_VALUE&amp;DB=129&amp;ID1=00289620&amp;VALUEID=01001&amp;SDATE=200801&amp;PERIODTYPE=QTR_STD&amp;window=popup_no_bar&amp;width=385&amp;height=120&amp;START_MAXIMIZED=FALSE&amp;creator=factset&amp;display_string=Audit"}</definedName>
    <definedName name="_2334__FDSAUDITLINK__" hidden="1">{"fdsup://Directions/FactSet Auditing Viewer?action=AUDIT_VALUE&amp;DB=129&amp;ID1=00289620&amp;VALUEID=13040&amp;SDATE=200801&amp;PERIODTYPE=QTR_STD&amp;window=popup_no_bar&amp;width=385&amp;height=120&amp;START_MAXIMIZED=FALSE&amp;creator=factset&amp;display_string=Audit"}</definedName>
    <definedName name="_2335__FDSAUDITLINK__" hidden="1">{"fdsup://Directions/FactSet Auditing Viewer?action=AUDIT_VALUE&amp;DB=129&amp;ID1=87416110&amp;VALUEID=01001&amp;SDATE=200704&amp;PERIODTYPE=QTR_STD&amp;window=popup_no_bar&amp;width=385&amp;height=120&amp;START_MAXIMIZED=FALSE&amp;creator=factset&amp;display_string=Audit"}</definedName>
    <definedName name="_2336__FDSAUDITLINK__" hidden="1">{"fdsup://Directions/FactSet Auditing Viewer?action=AUDIT_VALUE&amp;DB=129&amp;ID1=46612H40&amp;VALUEID=01001&amp;SDATE=200704&amp;PERIODTYPE=QTR_STD&amp;window=popup_no_bar&amp;width=385&amp;height=120&amp;START_MAXIMIZED=FALSE&amp;creator=factset&amp;display_string=Audit"}</definedName>
    <definedName name="_2337__FDSAUDITLINK__" hidden="1">{"fdsup://Directions/FactSet Auditing Viewer?action=AUDIT_VALUE&amp;DB=129&amp;ID1=46612H40&amp;VALUEID=13040&amp;SDATE=200704&amp;PERIODTYPE=QTR_STD&amp;window=popup_no_bar&amp;width=385&amp;height=120&amp;START_MAXIMIZED=FALSE&amp;creator=factset&amp;display_string=Audit"}</definedName>
    <definedName name="_2338__FDSAUDITLINK__" hidden="1">{"fdsup://Directions/FactSet Auditing Viewer?action=AUDIT_VALUE&amp;DB=129&amp;ID1=36476010&amp;VALUEID=01001&amp;SDATE=200704&amp;PERIODTYPE=QTR_STD&amp;window=popup_no_bar&amp;width=385&amp;height=120&amp;START_MAXIMIZED=FALSE&amp;creator=factset&amp;display_string=Audit"}</definedName>
    <definedName name="_2339__FDSAUDITLINK__" hidden="1">{"fdsup://Directions/FactSet Auditing Viewer?action=AUDIT_VALUE&amp;DB=129&amp;ID1=03611510&amp;VALUEID=01001&amp;SDATE=200704&amp;PERIODTYPE=QTR_STD&amp;window=popup_no_bar&amp;width=385&amp;height=120&amp;START_MAXIMIZED=FALSE&amp;creator=factset&amp;display_string=Audit"}</definedName>
    <definedName name="_234__FDSAUDITLINK__" hidden="1">{"fdsup://Directions/FactSet Auditing Viewer?action=AUDIT_VALUE&amp;DB=129&amp;ID1=36476010&amp;VALUEID=02101&amp;SDATE=200702&amp;PERIODTYPE=QTR_STD&amp;window=popup_no_bar&amp;width=385&amp;height=120&amp;START_MAXIMIZED=FALSE&amp;creator=factset&amp;display_string=Audit"}</definedName>
    <definedName name="_2340__FDSAUDITLINK__" hidden="1">{"fdsup://Directions/FactSet Auditing Viewer?action=AUDIT_VALUE&amp;DB=129&amp;ID1=03611510&amp;VALUEID=13040&amp;SDATE=200704&amp;PERIODTYPE=QTR_STD&amp;window=popup_no_bar&amp;width=385&amp;height=120&amp;START_MAXIMIZED=FALSE&amp;creator=factset&amp;display_string=Audit"}</definedName>
    <definedName name="_2341__FDSAUDITLINK__" hidden="1">{"fdsup://Directions/FactSet Auditing Viewer?action=AUDIT_VALUE&amp;DB=129&amp;ID1=16890510&amp;VALUEID=01001&amp;SDATE=200704&amp;PERIODTYPE=QTR_STD&amp;window=popup_no_bar&amp;width=385&amp;height=120&amp;START_MAXIMIZED=FALSE&amp;creator=factset&amp;display_string=Audit"}</definedName>
    <definedName name="_2342__FDSAUDITLINK__" hidden="1">{"fdsup://Directions/FactSet Auditing Viewer?action=AUDIT_VALUE&amp;DB=129&amp;ID1=00786510&amp;VALUEID=01001&amp;SDATE=200704&amp;PERIODTYPE=QTR_STD&amp;window=popup_no_bar&amp;width=385&amp;height=120&amp;START_MAXIMIZED=FALSE&amp;creator=factset&amp;display_string=Audit"}</definedName>
    <definedName name="_2343__FDSAUDITLINK__" hidden="1">{"fdsup://Directions/FactSet Auditing Viewer?action=AUDIT_VALUE&amp;DB=129&amp;ID1=87416110&amp;VALUEID=02101&amp;SDATE=200703&amp;PERIODTYPE=QTR_STD&amp;window=popup_no_bar&amp;width=385&amp;height=120&amp;START_MAXIMIZED=FALSE&amp;creator=factset&amp;display_string=Audit"}</definedName>
    <definedName name="_2344__FDSAUDITLINK__" hidden="1">{"fdsup://Directions/FactSet Auditing Viewer?action=AUDIT_VALUE&amp;DB=129&amp;ID1=87416110&amp;VALUEID=01001&amp;SDATE=200703&amp;PERIODTYPE=QTR_STD&amp;window=popup_no_bar&amp;width=385&amp;height=120&amp;START_MAXIMIZED=FALSE&amp;creator=factset&amp;display_string=Audit"}</definedName>
    <definedName name="_2345__FDSAUDITLINK__" hidden="1">{"fdsup://Directions/FactSet Auditing Viewer?action=AUDIT_VALUE&amp;DB=129&amp;ID1=53271610&amp;VALUEID=02101&amp;SDATE=200703&amp;PERIODTYPE=QTR_STD&amp;window=popup_no_bar&amp;width=385&amp;height=120&amp;START_MAXIMIZED=FALSE&amp;creator=factset&amp;display_string=Audit"}</definedName>
    <definedName name="_2346__FDSAUDITLINK__" hidden="1">{"fdsup://Directions/FactSet Auditing Viewer?action=AUDIT_VALUE&amp;DB=129&amp;ID1=53271610&amp;VALUEID=01001&amp;SDATE=200703&amp;PERIODTYPE=QTR_STD&amp;window=popup_no_bar&amp;width=385&amp;height=120&amp;START_MAXIMIZED=FALSE&amp;creator=factset&amp;display_string=Audit"}</definedName>
    <definedName name="_2347__FDSAUDITLINK__" hidden="1">{"fdsup://Directions/FactSet Auditing Viewer?action=AUDIT_VALUE&amp;DB=129&amp;ID1=53271610&amp;VALUEID=13040&amp;SDATE=200703&amp;PERIODTYPE=QTR_STD&amp;window=popup_no_bar&amp;width=385&amp;height=120&amp;START_MAXIMIZED=FALSE&amp;creator=factset&amp;display_string=Audit"}</definedName>
    <definedName name="_2348__FDSAUDITLINK__" hidden="1">{"fdsup://Directions/FactSet Auditing Viewer?action=AUDIT_VALUE&amp;DB=129&amp;ID1=46612H40&amp;VALUEID=02101&amp;SDATE=200703&amp;PERIODTYPE=QTR_STD&amp;window=popup_no_bar&amp;width=385&amp;height=120&amp;START_MAXIMIZED=FALSE&amp;creator=factset&amp;display_string=Audit"}</definedName>
    <definedName name="_2349__FDSAUDITLINK__" hidden="1">{"fdsup://Directions/FactSet Auditing Viewer?action=AUDIT_VALUE&amp;DB=129&amp;ID1=46612H40&amp;VALUEID=01001&amp;SDATE=200703&amp;PERIODTYPE=QTR_STD&amp;window=popup_no_bar&amp;width=385&amp;height=120&amp;START_MAXIMIZED=FALSE&amp;creator=factset&amp;display_string=Audit"}</definedName>
    <definedName name="_235__FDSAUDITLINK__" hidden="1">{"fdsup://Directions/FactSet Auditing Viewer?action=AUDIT_VALUE&amp;DB=129&amp;ID1=36476010&amp;VALUEID=01001&amp;SDATE=200702&amp;PERIODTYPE=QTR_STD&amp;window=popup_no_bar&amp;width=385&amp;height=120&amp;START_MAXIMIZED=FALSE&amp;creator=factset&amp;display_string=Audit"}</definedName>
    <definedName name="_2350__FDSAUDITLINK__" hidden="1">{"fdsup://Directions/FactSet Auditing Viewer?action=AUDIT_VALUE&amp;DB=129&amp;ID1=46612H40&amp;VALUEID=13040&amp;SDATE=200703&amp;PERIODTYPE=QTR_STD&amp;window=popup_no_bar&amp;width=385&amp;height=120&amp;START_MAXIMIZED=FALSE&amp;creator=factset&amp;display_string=Audit"}</definedName>
    <definedName name="_2351__FDSAUDITLINK__" hidden="1">{"fdsup://Directions/FactSet Auditing Viewer?action=AUDIT_VALUE&amp;DB=129&amp;ID1=36476010&amp;VALUEID=02101&amp;SDATE=200703&amp;PERIODTYPE=QTR_STD&amp;window=popup_no_bar&amp;width=385&amp;height=120&amp;START_MAXIMIZED=FALSE&amp;creator=factset&amp;display_string=Audit"}</definedName>
    <definedName name="_2352__FDSAUDITLINK__" hidden="1">{"fdsup://Directions/FactSet Auditing Viewer?action=AUDIT_VALUE&amp;DB=129&amp;ID1=36476010&amp;VALUEID=01001&amp;SDATE=200703&amp;PERIODTYPE=QTR_STD&amp;window=popup_no_bar&amp;width=385&amp;height=120&amp;START_MAXIMIZED=FALSE&amp;creator=factset&amp;display_string=Audit"}</definedName>
    <definedName name="_2353__FDSAUDITLINK__" hidden="1">{"fdsup://Directions/FactSet Auditing Viewer?action=AUDIT_VALUE&amp;DB=129&amp;ID1=36476010&amp;VALUEID=13040&amp;SDATE=200703&amp;PERIODTYPE=QTR_STD&amp;window=popup_no_bar&amp;width=385&amp;height=120&amp;START_MAXIMIZED=FALSE&amp;creator=factset&amp;display_string=Audit"}</definedName>
    <definedName name="_2354__FDSAUDITLINK__" hidden="1">{"fdsup://Directions/FactSet Auditing Viewer?action=AUDIT_VALUE&amp;DB=129&amp;ID1=03611510&amp;VALUEID=02101&amp;SDATE=200703&amp;PERIODTYPE=QTR_STD&amp;window=popup_no_bar&amp;width=385&amp;height=120&amp;START_MAXIMIZED=FALSE&amp;creator=factset&amp;display_string=Audit"}</definedName>
    <definedName name="_2355__FDSAUDITLINK__" hidden="1">{"fdsup://Directions/FactSet Auditing Viewer?action=AUDIT_VALUE&amp;DB=129&amp;ID1=03611510&amp;VALUEID=01001&amp;SDATE=200703&amp;PERIODTYPE=QTR_STD&amp;window=popup_no_bar&amp;width=385&amp;height=120&amp;START_MAXIMIZED=FALSE&amp;creator=factset&amp;display_string=Audit"}</definedName>
    <definedName name="_2356__FDSAUDITLINK__" hidden="1">{"fdsup://Directions/FactSet Auditing Viewer?action=AUDIT_VALUE&amp;DB=129&amp;ID1=03611510&amp;VALUEID=13040&amp;SDATE=200703&amp;PERIODTYPE=QTR_STD&amp;window=popup_no_bar&amp;width=385&amp;height=120&amp;START_MAXIMIZED=FALSE&amp;creator=factset&amp;display_string=Audit"}</definedName>
    <definedName name="_2357__FDSAUDITLINK__" hidden="1">{"fdsup://Directions/FactSet Auditing Viewer?action=AUDIT_VALUE&amp;DB=129&amp;ID1=16890510&amp;VALUEID=02101&amp;SDATE=200703&amp;PERIODTYPE=QTR_STD&amp;window=popup_no_bar&amp;width=385&amp;height=120&amp;START_MAXIMIZED=FALSE&amp;creator=factset&amp;display_string=Audit"}</definedName>
    <definedName name="_2358__FDSAUDITLINK__" hidden="1">{"fdsup://Directions/FactSet Auditing Viewer?action=AUDIT_VALUE&amp;DB=129&amp;ID1=16890510&amp;VALUEID=01001&amp;SDATE=200703&amp;PERIODTYPE=QTR_STD&amp;window=popup_no_bar&amp;width=385&amp;height=120&amp;START_MAXIMIZED=FALSE&amp;creator=factset&amp;display_string=Audit"}</definedName>
    <definedName name="_2359__FDSAUDITLINK__" hidden="1">{"fdsup://Directions/FactSet Auditing Viewer?action=AUDIT_VALUE&amp;DB=129&amp;ID1=91704710&amp;VALUEID=02101&amp;SDATE=200703&amp;PERIODTYPE=QTR_STD&amp;window=popup_no_bar&amp;width=385&amp;height=120&amp;START_MAXIMIZED=FALSE&amp;creator=factset&amp;display_string=Audit"}</definedName>
    <definedName name="_236__FDSAUDITLINK__" hidden="1">{"fdsup://Directions/FactSet Auditing Viewer?action=AUDIT_VALUE&amp;DB=129&amp;ID1=03611510&amp;VALUEID=02101&amp;SDATE=200702&amp;PERIODTYPE=QTR_STD&amp;window=popup_no_bar&amp;width=385&amp;height=120&amp;START_MAXIMIZED=FALSE&amp;creator=factset&amp;display_string=Audit"}</definedName>
    <definedName name="_2360__FDSAUDITLINK__" hidden="1">{"fdsup://Directions/FactSet Auditing Viewer?action=AUDIT_VALUE&amp;DB=129&amp;ID1=91704710&amp;VALUEID=01001&amp;SDATE=200703&amp;PERIODTYPE=QTR_STD&amp;window=popup_no_bar&amp;width=385&amp;height=120&amp;START_MAXIMIZED=FALSE&amp;creator=factset&amp;display_string=Audit"}</definedName>
    <definedName name="_2361__FDSAUDITLINK__" hidden="1">{"fdsup://Directions/FactSet Auditing Viewer?action=AUDIT_VALUE&amp;DB=129&amp;ID1=91704710&amp;VALUEID=13040&amp;SDATE=200703&amp;PERIODTYPE=QTR_STD&amp;window=popup_no_bar&amp;width=385&amp;height=120&amp;START_MAXIMIZED=FALSE&amp;creator=factset&amp;display_string=Audit"}</definedName>
    <definedName name="_2362__FDSAUDITLINK__" hidden="1">{"fdsup://Directions/FactSet Auditing Viewer?action=AUDIT_VALUE&amp;DB=129&amp;ID1=02553E10&amp;VALUEID=02101&amp;SDATE=200703&amp;PERIODTYPE=QTR_STD&amp;window=popup_no_bar&amp;width=385&amp;height=120&amp;START_MAXIMIZED=FALSE&amp;creator=factset&amp;display_string=Audit"}</definedName>
    <definedName name="_2363__FDSAUDITLINK__" hidden="1">{"fdsup://Directions/FactSet Auditing Viewer?action=AUDIT_VALUE&amp;DB=129&amp;ID1=02553E10&amp;VALUEID=01001&amp;SDATE=200703&amp;PERIODTYPE=QTR_STD&amp;window=popup_no_bar&amp;width=385&amp;height=120&amp;START_MAXIMIZED=FALSE&amp;creator=factset&amp;display_string=Audit"}</definedName>
    <definedName name="_2364__FDSAUDITLINK__" hidden="1">{"fdsup://Directions/FactSet Auditing Viewer?action=AUDIT_VALUE&amp;DB=129&amp;ID1=00786510&amp;VALUEID=02101&amp;SDATE=200703&amp;PERIODTYPE=QTR_STD&amp;window=popup_no_bar&amp;width=385&amp;height=120&amp;START_MAXIMIZED=FALSE&amp;creator=factset&amp;display_string=Audit"}</definedName>
    <definedName name="_2365__FDSAUDITLINK__" hidden="1">{"fdsup://Directions/FactSet Auditing Viewer?action=AUDIT_VALUE&amp;DB=129&amp;ID1=00786510&amp;VALUEID=01001&amp;SDATE=200703&amp;PERIODTYPE=QTR_STD&amp;window=popup_no_bar&amp;width=385&amp;height=120&amp;START_MAXIMIZED=FALSE&amp;creator=factset&amp;display_string=Audit"}</definedName>
    <definedName name="_2366__FDSAUDITLINK__" hidden="1">{"fdsup://Directions/FactSet Auditing Viewer?action=AUDIT_VALUE&amp;DB=129&amp;ID1=00786510&amp;VALUEID=13040&amp;SDATE=200703&amp;PERIODTYPE=QTR_STD&amp;window=popup_no_bar&amp;width=385&amp;height=120&amp;START_MAXIMIZED=FALSE&amp;creator=factset&amp;display_string=Audit"}</definedName>
    <definedName name="_2367__FDSAUDITLINK__" hidden="1">{"fdsup://Directions/FactSet Auditing Viewer?action=AUDIT_VALUE&amp;DB=129&amp;ID1=00289620&amp;VALUEID=02101&amp;SDATE=200703&amp;PERIODTYPE=QTR_STD&amp;window=popup_no_bar&amp;width=385&amp;height=120&amp;START_MAXIMIZED=FALSE&amp;creator=factset&amp;display_string=Audit"}</definedName>
    <definedName name="_2368__FDSAUDITLINK__" hidden="1">{"fdsup://Directions/FactSet Auditing Viewer?action=AUDIT_VALUE&amp;DB=129&amp;ID1=00289620&amp;VALUEID=01001&amp;SDATE=200703&amp;PERIODTYPE=QTR_STD&amp;window=popup_no_bar&amp;width=385&amp;height=120&amp;START_MAXIMIZED=FALSE&amp;creator=factset&amp;display_string=Audit"}</definedName>
    <definedName name="_2369__FDSAUDITLINK__" hidden="1">{"fdsup://Directions/FactSet Auditing Viewer?action=AUDIT_VALUE&amp;DB=129&amp;ID1=00289620&amp;VALUEID=13040&amp;SDATE=200703&amp;PERIODTYPE=QTR_STD&amp;window=popup_no_bar&amp;width=385&amp;height=120&amp;START_MAXIMIZED=FALSE&amp;creator=factset&amp;display_string=Audit"}</definedName>
    <definedName name="_237__FDSAUDITLINK__" hidden="1">{"fdsup://Directions/FactSet Auditing Viewer?action=AUDIT_VALUE&amp;DB=129&amp;ID1=03611510&amp;VALUEID=01001&amp;SDATE=200702&amp;PERIODTYPE=QTR_STD&amp;window=popup_no_bar&amp;width=385&amp;height=120&amp;START_MAXIMIZED=FALSE&amp;creator=factset&amp;display_string=Audit"}</definedName>
    <definedName name="_2370__FDSAUDITLINK__" hidden="1">{"fdsup://Directions/FactSet Auditing Viewer?action=AUDIT_VALUE&amp;DB=129&amp;ID1=87416110&amp;VALUEID=02101&amp;SDATE=200702&amp;PERIODTYPE=QTR_STD&amp;window=popup_no_bar&amp;width=385&amp;height=120&amp;START_MAXIMIZED=FALSE&amp;creator=factset&amp;display_string=Audit"}</definedName>
    <definedName name="_2371__FDSAUDITLINK__" hidden="1">{"fdsup://Directions/FactSet Auditing Viewer?action=AUDIT_VALUE&amp;DB=129&amp;ID1=87416110&amp;VALUEID=01001&amp;SDATE=200702&amp;PERIODTYPE=QTR_STD&amp;window=popup_no_bar&amp;width=385&amp;height=120&amp;START_MAXIMIZED=FALSE&amp;creator=factset&amp;display_string=Audit"}</definedName>
    <definedName name="_2372__FDSAUDITLINK__" hidden="1">{"fdsup://Directions/FactSet Auditing Viewer?action=AUDIT_VALUE&amp;DB=129&amp;ID1=53271610&amp;VALUEID=02101&amp;SDATE=200702&amp;PERIODTYPE=QTR_STD&amp;window=popup_no_bar&amp;width=385&amp;height=120&amp;START_MAXIMIZED=FALSE&amp;creator=factset&amp;display_string=Audit"}</definedName>
    <definedName name="_2373__FDSAUDITLINK__" hidden="1">{"fdsup://Directions/FactSet Auditing Viewer?action=AUDIT_VALUE&amp;DB=129&amp;ID1=53271610&amp;VALUEID=01001&amp;SDATE=200702&amp;PERIODTYPE=QTR_STD&amp;window=popup_no_bar&amp;width=385&amp;height=120&amp;START_MAXIMIZED=FALSE&amp;creator=factset&amp;display_string=Audit"}</definedName>
    <definedName name="_2374__FDSAUDITLINK__" hidden="1">{"fdsup://Directions/FactSet Auditing Viewer?action=AUDIT_VALUE&amp;DB=129&amp;ID1=53271610&amp;VALUEID=13040&amp;SDATE=200702&amp;PERIODTYPE=QTR_STD&amp;window=popup_no_bar&amp;width=385&amp;height=120&amp;START_MAXIMIZED=FALSE&amp;creator=factset&amp;display_string=Audit"}</definedName>
    <definedName name="_2375__FDSAUDITLINK__" hidden="1">{"fdsup://Directions/FactSet Auditing Viewer?action=AUDIT_VALUE&amp;DB=129&amp;ID1=46612H40&amp;VALUEID=02101&amp;SDATE=200702&amp;PERIODTYPE=QTR_STD&amp;window=popup_no_bar&amp;width=385&amp;height=120&amp;START_MAXIMIZED=FALSE&amp;creator=factset&amp;display_string=Audit"}</definedName>
    <definedName name="_2376__FDSAUDITLINK__" hidden="1">{"fdsup://Directions/FactSet Auditing Viewer?action=AUDIT_VALUE&amp;DB=129&amp;ID1=46612H40&amp;VALUEID=01001&amp;SDATE=200702&amp;PERIODTYPE=QTR_STD&amp;window=popup_no_bar&amp;width=385&amp;height=120&amp;START_MAXIMIZED=FALSE&amp;creator=factset&amp;display_string=Audit"}</definedName>
    <definedName name="_2377__FDSAUDITLINK__" hidden="1">{"fdsup://Directions/FactSet Auditing Viewer?action=AUDIT_VALUE&amp;DB=129&amp;ID1=46612H40&amp;VALUEID=13040&amp;SDATE=200702&amp;PERIODTYPE=QTR_STD&amp;window=popup_no_bar&amp;width=385&amp;height=120&amp;START_MAXIMIZED=FALSE&amp;creator=factset&amp;display_string=Audit"}</definedName>
    <definedName name="_2378__FDSAUDITLINK__" hidden="1">{"fdsup://Directions/FactSet Auditing Viewer?action=AUDIT_VALUE&amp;DB=129&amp;ID1=36476010&amp;VALUEID=02101&amp;SDATE=200702&amp;PERIODTYPE=QTR_STD&amp;window=popup_no_bar&amp;width=385&amp;height=120&amp;START_MAXIMIZED=FALSE&amp;creator=factset&amp;display_string=Audit"}</definedName>
    <definedName name="_2379__FDSAUDITLINK__" hidden="1">{"fdsup://Directions/FactSet Auditing Viewer?action=AUDIT_VALUE&amp;DB=129&amp;ID1=36476010&amp;VALUEID=01001&amp;SDATE=200702&amp;PERIODTYPE=QTR_STD&amp;window=popup_no_bar&amp;width=385&amp;height=120&amp;START_MAXIMIZED=FALSE&amp;creator=factset&amp;display_string=Audit"}</definedName>
    <definedName name="_238__FDSAUDITLINK__" hidden="1">{"fdsup://Directions/FactSet Auditing Viewer?action=AUDIT_VALUE&amp;DB=129&amp;ID1=03611510&amp;VALUEID=13040&amp;SDATE=200702&amp;PERIODTYPE=QTR_STD&amp;window=popup_no_bar&amp;width=385&amp;height=120&amp;START_MAXIMIZED=FALSE&amp;creator=factset&amp;display_string=Audit"}</definedName>
    <definedName name="_2380__FDSAUDITLINK__" hidden="1">{"fdsup://Directions/FactSet Auditing Viewer?action=AUDIT_VALUE&amp;DB=129&amp;ID1=03611510&amp;VALUEID=02101&amp;SDATE=200702&amp;PERIODTYPE=QTR_STD&amp;window=popup_no_bar&amp;width=385&amp;height=120&amp;START_MAXIMIZED=FALSE&amp;creator=factset&amp;display_string=Audit"}</definedName>
    <definedName name="_2381__FDSAUDITLINK__" hidden="1">{"fdsup://Directions/FactSet Auditing Viewer?action=AUDIT_VALUE&amp;DB=129&amp;ID1=03611510&amp;VALUEID=01001&amp;SDATE=200702&amp;PERIODTYPE=QTR_STD&amp;window=popup_no_bar&amp;width=385&amp;height=120&amp;START_MAXIMIZED=FALSE&amp;creator=factset&amp;display_string=Audit"}</definedName>
    <definedName name="_2382__FDSAUDITLINK__" hidden="1">{"fdsup://Directions/FactSet Auditing Viewer?action=AUDIT_VALUE&amp;DB=129&amp;ID1=03611510&amp;VALUEID=13040&amp;SDATE=200702&amp;PERIODTYPE=QTR_STD&amp;window=popup_no_bar&amp;width=385&amp;height=120&amp;START_MAXIMIZED=FALSE&amp;creator=factset&amp;display_string=Audit"}</definedName>
    <definedName name="_2383__FDSAUDITLINK__" hidden="1">{"fdsup://Directions/FactSet Auditing Viewer?action=AUDIT_VALUE&amp;DB=129&amp;ID1=16890510&amp;VALUEID=02101&amp;SDATE=200702&amp;PERIODTYPE=QTR_STD&amp;window=popup_no_bar&amp;width=385&amp;height=120&amp;START_MAXIMIZED=FALSE&amp;creator=factset&amp;display_string=Audit"}</definedName>
    <definedName name="_2384__FDSAUDITLINK__" hidden="1">{"fdsup://Directions/FactSet Auditing Viewer?action=AUDIT_VALUE&amp;DB=129&amp;ID1=16890510&amp;VALUEID=01001&amp;SDATE=200702&amp;PERIODTYPE=QTR_STD&amp;window=popup_no_bar&amp;width=385&amp;height=120&amp;START_MAXIMIZED=FALSE&amp;creator=factset&amp;display_string=Audit"}</definedName>
    <definedName name="_2385__FDSAUDITLINK__" hidden="1">{"fdsup://Directions/FactSet Auditing Viewer?action=AUDIT_VALUE&amp;DB=129&amp;ID1=91704710&amp;VALUEID=02101&amp;SDATE=200702&amp;PERIODTYPE=QTR_STD&amp;window=popup_no_bar&amp;width=385&amp;height=120&amp;START_MAXIMIZED=FALSE&amp;creator=factset&amp;display_string=Audit"}</definedName>
    <definedName name="_2386__FDSAUDITLINK__" hidden="1">{"fdsup://Directions/FactSet Auditing Viewer?action=AUDIT_VALUE&amp;DB=129&amp;ID1=91704710&amp;VALUEID=01001&amp;SDATE=200702&amp;PERIODTYPE=QTR_STD&amp;window=popup_no_bar&amp;width=385&amp;height=120&amp;START_MAXIMIZED=FALSE&amp;creator=factset&amp;display_string=Audit"}</definedName>
    <definedName name="_2387__FDSAUDITLINK__" hidden="1">{"fdsup://Directions/FactSet Auditing Viewer?action=AUDIT_VALUE&amp;DB=129&amp;ID1=91704710&amp;VALUEID=13040&amp;SDATE=200702&amp;PERIODTYPE=QTR_STD&amp;window=popup_no_bar&amp;width=385&amp;height=120&amp;START_MAXIMIZED=FALSE&amp;creator=factset&amp;display_string=Audit"}</definedName>
    <definedName name="_2388__FDSAUDITLINK__" hidden="1">{"fdsup://Directions/FactSet Auditing Viewer?action=AUDIT_VALUE&amp;DB=129&amp;ID1=02553E10&amp;VALUEID=02101&amp;SDATE=200702&amp;PERIODTYPE=QTR_STD&amp;window=popup_no_bar&amp;width=385&amp;height=120&amp;START_MAXIMIZED=FALSE&amp;creator=factset&amp;display_string=Audit"}</definedName>
    <definedName name="_2389__FDSAUDITLINK__" hidden="1">{"fdsup://Directions/FactSet Auditing Viewer?action=AUDIT_VALUE&amp;DB=129&amp;ID1=02553E10&amp;VALUEID=01001&amp;SDATE=200702&amp;PERIODTYPE=QTR_STD&amp;window=popup_no_bar&amp;width=385&amp;height=120&amp;START_MAXIMIZED=FALSE&amp;creator=factset&amp;display_string=Audit"}</definedName>
    <definedName name="_239__FDSAUDITLINK__" hidden="1">{"fdsup://Directions/FactSet Auditing Viewer?action=AUDIT_VALUE&amp;DB=129&amp;ID1=16890510&amp;VALUEID=02101&amp;SDATE=200702&amp;PERIODTYPE=QTR_STD&amp;window=popup_no_bar&amp;width=385&amp;height=120&amp;START_MAXIMIZED=FALSE&amp;creator=factset&amp;display_string=Audit"}</definedName>
    <definedName name="_2390__FDSAUDITLINK__" hidden="1">{"fdsup://Directions/FactSet Auditing Viewer?action=AUDIT_VALUE&amp;DB=129&amp;ID1=02553E10&amp;VALUEID=13040&amp;SDATE=200702&amp;PERIODTYPE=QTR_STD&amp;window=popup_no_bar&amp;width=385&amp;height=120&amp;START_MAXIMIZED=FALSE&amp;creator=factset&amp;display_string=Audit"}</definedName>
    <definedName name="_2391__FDSAUDITLINK__" hidden="1">{"fdsup://Directions/FactSet Auditing Viewer?action=AUDIT_VALUE&amp;DB=129&amp;ID1=00786510&amp;VALUEID=02101&amp;SDATE=200702&amp;PERIODTYPE=QTR_STD&amp;window=popup_no_bar&amp;width=385&amp;height=120&amp;START_MAXIMIZED=FALSE&amp;creator=factset&amp;display_string=Audit"}</definedName>
    <definedName name="_2392__FDSAUDITLINK__" hidden="1">{"fdsup://Directions/FactSet Auditing Viewer?action=AUDIT_VALUE&amp;DB=129&amp;ID1=00786510&amp;VALUEID=01001&amp;SDATE=200702&amp;PERIODTYPE=QTR_STD&amp;window=popup_no_bar&amp;width=385&amp;height=120&amp;START_MAXIMIZED=FALSE&amp;creator=factset&amp;display_string=Audit"}</definedName>
    <definedName name="_2393__FDSAUDITLINK__" hidden="1">{"fdsup://Directions/FactSet Auditing Viewer?action=AUDIT_VALUE&amp;DB=129&amp;ID1=00786510&amp;VALUEID=13040&amp;SDATE=200702&amp;PERIODTYPE=QTR_STD&amp;window=popup_no_bar&amp;width=385&amp;height=120&amp;START_MAXIMIZED=FALSE&amp;creator=factset&amp;display_string=Audit"}</definedName>
    <definedName name="_2394__FDSAUDITLINK__" hidden="1">{"fdsup://Directions/FactSet Auditing Viewer?action=AUDIT_VALUE&amp;DB=129&amp;ID1=00289620&amp;VALUEID=02101&amp;SDATE=200702&amp;PERIODTYPE=QTR_STD&amp;window=popup_no_bar&amp;width=385&amp;height=120&amp;START_MAXIMIZED=FALSE&amp;creator=factset&amp;display_string=Audit"}</definedName>
    <definedName name="_2395__FDSAUDITLINK__" hidden="1">{"fdsup://Directions/FactSet Auditing Viewer?action=AUDIT_VALUE&amp;DB=129&amp;ID1=00289620&amp;VALUEID=01001&amp;SDATE=200702&amp;PERIODTYPE=QTR_STD&amp;window=popup_no_bar&amp;width=385&amp;height=120&amp;START_MAXIMIZED=FALSE&amp;creator=factset&amp;display_string=Audit"}</definedName>
    <definedName name="_2396__FDSAUDITLINK__" hidden="1">{"fdsup://Directions/FactSet Auditing Viewer?action=AUDIT_VALUE&amp;DB=129&amp;ID1=87416110&amp;VALUEID=02101&amp;SDATE=200701&amp;PERIODTYPE=QTR_STD&amp;window=popup_no_bar&amp;width=385&amp;height=120&amp;START_MAXIMIZED=FALSE&amp;creator=factset&amp;display_string=Audit"}</definedName>
    <definedName name="_2397__FDSAUDITLINK__" hidden="1">{"fdsup://Directions/FactSet Auditing Viewer?action=AUDIT_VALUE&amp;DB=129&amp;ID1=87416110&amp;VALUEID=01001&amp;SDATE=200701&amp;PERIODTYPE=QTR_STD&amp;window=popup_no_bar&amp;width=385&amp;height=120&amp;START_MAXIMIZED=FALSE&amp;creator=factset&amp;display_string=Audit"}</definedName>
    <definedName name="_2398__FDSAUDITLINK__" hidden="1">{"fdsup://Directions/FactSet Auditing Viewer?action=AUDIT_VALUE&amp;DB=129&amp;ID1=53271610&amp;VALUEID=02101&amp;SDATE=200701&amp;PERIODTYPE=QTR_STD&amp;window=popup_no_bar&amp;width=385&amp;height=120&amp;START_MAXIMIZED=FALSE&amp;creator=factset&amp;display_string=Audit"}</definedName>
    <definedName name="_2399__FDSAUDITLINK__" hidden="1">{"fdsup://Directions/FactSet Auditing Viewer?action=AUDIT_VALUE&amp;DB=129&amp;ID1=53271610&amp;VALUEID=01001&amp;SDATE=200701&amp;PERIODTYPE=QTR_STD&amp;window=popup_no_bar&amp;width=385&amp;height=120&amp;START_MAXIMIZED=FALSE&amp;creator=factset&amp;display_string=Audit"}</definedName>
    <definedName name="_24__FDSAUDITLINK__" hidden="1">{"fdsup://Directions/FactSet Auditing Viewer?action=AUDIT_VALUE&amp;DB=129&amp;ID1=36476010&amp;VALUEID=01001&amp;SDATE=200904&amp;PERIODTYPE=QTR_STD&amp;window=popup_no_bar&amp;width=385&amp;height=120&amp;START_MAXIMIZED=FALSE&amp;creator=factset&amp;display_string=Audit"}</definedName>
    <definedName name="_240__FDSAUDITLINK__" hidden="1">{"fdsup://Directions/FactSet Auditing Viewer?action=AUDIT_VALUE&amp;DB=129&amp;ID1=16890510&amp;VALUEID=01001&amp;SDATE=200702&amp;PERIODTYPE=QTR_STD&amp;window=popup_no_bar&amp;width=385&amp;height=120&amp;START_MAXIMIZED=FALSE&amp;creator=factset&amp;display_string=Audit"}</definedName>
    <definedName name="_2400__FDSAUDITLINK__" hidden="1">{"fdsup://Directions/FactSet Auditing Viewer?action=AUDIT_VALUE&amp;DB=129&amp;ID1=53271610&amp;VALUEID=13040&amp;SDATE=200701&amp;PERIODTYPE=QTR_STD&amp;window=popup_no_bar&amp;width=385&amp;height=120&amp;START_MAXIMIZED=FALSE&amp;creator=factset&amp;display_string=Audit"}</definedName>
    <definedName name="_2401__FDSAUDITLINK__" hidden="1">{"fdsup://Directions/FactSet Auditing Viewer?action=AUDIT_VALUE&amp;DB=129&amp;ID1=46612H40&amp;VALUEID=02101&amp;SDATE=200701&amp;PERIODTYPE=QTR_STD&amp;window=popup_no_bar&amp;width=385&amp;height=120&amp;START_MAXIMIZED=FALSE&amp;creator=factset&amp;display_string=Audit"}</definedName>
    <definedName name="_2402__FDSAUDITLINK__" hidden="1">{"fdsup://Directions/FactSet Auditing Viewer?action=AUDIT_VALUE&amp;DB=129&amp;ID1=46612H40&amp;VALUEID=01001&amp;SDATE=200701&amp;PERIODTYPE=QTR_STD&amp;window=popup_no_bar&amp;width=385&amp;height=120&amp;START_MAXIMIZED=FALSE&amp;creator=factset&amp;display_string=Audit"}</definedName>
    <definedName name="_2403__FDSAUDITLINK__" hidden="1">{"fdsup://Directions/FactSet Auditing Viewer?action=AUDIT_VALUE&amp;DB=129&amp;ID1=46612H40&amp;VALUEID=13040&amp;SDATE=200701&amp;PERIODTYPE=QTR_STD&amp;window=popup_no_bar&amp;width=385&amp;height=120&amp;START_MAXIMIZED=FALSE&amp;creator=factset&amp;display_string=Audit"}</definedName>
    <definedName name="_2404__FDSAUDITLINK__" hidden="1">{"fdsup://Directions/FactSet Auditing Viewer?action=AUDIT_VALUE&amp;DB=129&amp;ID1=36476010&amp;VALUEID=02101&amp;SDATE=200701&amp;PERIODTYPE=QTR_STD&amp;window=popup_no_bar&amp;width=385&amp;height=120&amp;START_MAXIMIZED=FALSE&amp;creator=factset&amp;display_string=Audit"}</definedName>
    <definedName name="_2405__FDSAUDITLINK__" hidden="1">{"fdsup://Directions/FactSet Auditing Viewer?action=AUDIT_VALUE&amp;DB=129&amp;ID1=36476010&amp;VALUEID=01001&amp;SDATE=200701&amp;PERIODTYPE=QTR_STD&amp;window=popup_no_bar&amp;width=385&amp;height=120&amp;START_MAXIMIZED=FALSE&amp;creator=factset&amp;display_string=Audit"}</definedName>
    <definedName name="_2406__FDSAUDITLINK__" hidden="1">{"fdsup://Directions/FactSet Auditing Viewer?action=AUDIT_VALUE&amp;DB=129&amp;ID1=36476010&amp;VALUEID=13040&amp;SDATE=200701&amp;PERIODTYPE=QTR_STD&amp;window=popup_no_bar&amp;width=385&amp;height=120&amp;START_MAXIMIZED=FALSE&amp;creator=factset&amp;display_string=Audit"}</definedName>
    <definedName name="_2407__FDSAUDITLINK__" hidden="1">{"fdsup://Directions/FactSet Auditing Viewer?action=AUDIT_VALUE&amp;DB=129&amp;ID1=03611510&amp;VALUEID=02101&amp;SDATE=200701&amp;PERIODTYPE=QTR_STD&amp;window=popup_no_bar&amp;width=385&amp;height=120&amp;START_MAXIMIZED=FALSE&amp;creator=factset&amp;display_string=Audit"}</definedName>
    <definedName name="_2408__FDSAUDITLINK__" hidden="1">{"fdsup://Directions/FactSet Auditing Viewer?action=AUDIT_VALUE&amp;DB=129&amp;ID1=03611510&amp;VALUEID=01001&amp;SDATE=200701&amp;PERIODTYPE=QTR_STD&amp;window=popup_no_bar&amp;width=385&amp;height=120&amp;START_MAXIMIZED=FALSE&amp;creator=factset&amp;display_string=Audit"}</definedName>
    <definedName name="_2409__FDSAUDITLINK__" hidden="1">{"fdsup://Directions/FactSet Auditing Viewer?action=AUDIT_VALUE&amp;DB=129&amp;ID1=03611510&amp;VALUEID=13040&amp;SDATE=200701&amp;PERIODTYPE=QTR_STD&amp;window=popup_no_bar&amp;width=385&amp;height=120&amp;START_MAXIMIZED=FALSE&amp;creator=factset&amp;display_string=Audit"}</definedName>
    <definedName name="_241__FDSAUDITLINK__" hidden="1">{"fdsup://Directions/FactSet Auditing Viewer?action=AUDIT_VALUE&amp;DB=129&amp;ID1=91704710&amp;VALUEID=02101&amp;SDATE=200702&amp;PERIODTYPE=QTR_STD&amp;window=popup_no_bar&amp;width=385&amp;height=120&amp;START_MAXIMIZED=FALSE&amp;creator=factset&amp;display_string=Audit"}</definedName>
    <definedName name="_2410__FDSAUDITLINK__" hidden="1">{"fdsup://Directions/FactSet Auditing Viewer?action=AUDIT_VALUE&amp;DB=129&amp;ID1=16890510&amp;VALUEID=02101&amp;SDATE=200701&amp;PERIODTYPE=QTR_STD&amp;window=popup_no_bar&amp;width=385&amp;height=120&amp;START_MAXIMIZED=FALSE&amp;creator=factset&amp;display_string=Audit"}</definedName>
    <definedName name="_2411__FDSAUDITLINK__" hidden="1">{"fdsup://Directions/FactSet Auditing Viewer?action=AUDIT_VALUE&amp;DB=129&amp;ID1=16890510&amp;VALUEID=01001&amp;SDATE=200701&amp;PERIODTYPE=QTR_STD&amp;window=popup_no_bar&amp;width=385&amp;height=120&amp;START_MAXIMIZED=FALSE&amp;creator=factset&amp;display_string=Audit"}</definedName>
    <definedName name="_2412__FDSAUDITLINK__" hidden="1">{"fdsup://Directions/FactSet Auditing Viewer?action=AUDIT_VALUE&amp;DB=129&amp;ID1=91704710&amp;VALUEID=02101&amp;SDATE=200701&amp;PERIODTYPE=QTR_STD&amp;window=popup_no_bar&amp;width=385&amp;height=120&amp;START_MAXIMIZED=FALSE&amp;creator=factset&amp;display_string=Audit"}</definedName>
    <definedName name="_2413__FDSAUDITLINK__" hidden="1">{"fdsup://Directions/FactSet Auditing Viewer?action=AUDIT_VALUE&amp;DB=129&amp;ID1=91704710&amp;VALUEID=01001&amp;SDATE=200701&amp;PERIODTYPE=QTR_STD&amp;window=popup_no_bar&amp;width=385&amp;height=120&amp;START_MAXIMIZED=FALSE&amp;creator=factset&amp;display_string=Audit"}</definedName>
    <definedName name="_2414__FDSAUDITLINK__" hidden="1">{"fdsup://Directions/FactSet Auditing Viewer?action=AUDIT_VALUE&amp;DB=129&amp;ID1=91704710&amp;VALUEID=13040&amp;SDATE=200701&amp;PERIODTYPE=QTR_STD&amp;window=popup_no_bar&amp;width=385&amp;height=120&amp;START_MAXIMIZED=FALSE&amp;creator=factset&amp;display_string=Audit"}</definedName>
    <definedName name="_2415__FDSAUDITLINK__" hidden="1">{"fdsup://Directions/FactSet Auditing Viewer?action=AUDIT_VALUE&amp;DB=129&amp;ID1=02553E10&amp;VALUEID=02101&amp;SDATE=200701&amp;PERIODTYPE=QTR_STD&amp;window=popup_no_bar&amp;width=385&amp;height=120&amp;START_MAXIMIZED=FALSE&amp;creator=factset&amp;display_string=Audit"}</definedName>
    <definedName name="_2416__FDSAUDITLINK__" hidden="1">{"fdsup://Directions/FactSet Auditing Viewer?action=AUDIT_VALUE&amp;DB=129&amp;ID1=02553E10&amp;VALUEID=01001&amp;SDATE=200701&amp;PERIODTYPE=QTR_STD&amp;window=popup_no_bar&amp;width=385&amp;height=120&amp;START_MAXIMIZED=FALSE&amp;creator=factset&amp;display_string=Audit"}</definedName>
    <definedName name="_2417__FDSAUDITLINK__" hidden="1">{"fdsup://Directions/FactSet Auditing Viewer?action=AUDIT_VALUE&amp;DB=129&amp;ID1=02553E10&amp;VALUEID=13040&amp;SDATE=200701&amp;PERIODTYPE=QTR_STD&amp;window=popup_no_bar&amp;width=385&amp;height=120&amp;START_MAXIMIZED=FALSE&amp;creator=factset&amp;display_string=Audit"}</definedName>
    <definedName name="_2418__FDSAUDITLINK__" hidden="1">{"fdsup://Directions/FactSet Auditing Viewer?action=AUDIT_VALUE&amp;DB=129&amp;ID1=00786510&amp;VALUEID=02101&amp;SDATE=200701&amp;PERIODTYPE=QTR_STD&amp;window=popup_no_bar&amp;width=385&amp;height=120&amp;START_MAXIMIZED=FALSE&amp;creator=factset&amp;display_string=Audit"}</definedName>
    <definedName name="_2419__FDSAUDITLINK__" hidden="1">{"fdsup://Directions/FactSet Auditing Viewer?action=AUDIT_VALUE&amp;DB=129&amp;ID1=00786510&amp;VALUEID=01001&amp;SDATE=200701&amp;PERIODTYPE=QTR_STD&amp;window=popup_no_bar&amp;width=385&amp;height=120&amp;START_MAXIMIZED=FALSE&amp;creator=factset&amp;display_string=Audit"}</definedName>
    <definedName name="_242__FDSAUDITLINK__" hidden="1">{"fdsup://Directions/FactSet Auditing Viewer?action=AUDIT_VALUE&amp;DB=129&amp;ID1=91704710&amp;VALUEID=01001&amp;SDATE=200702&amp;PERIODTYPE=QTR_STD&amp;window=popup_no_bar&amp;width=385&amp;height=120&amp;START_MAXIMIZED=FALSE&amp;creator=factset&amp;display_string=Audit"}</definedName>
    <definedName name="_2420__FDSAUDITLINK__" hidden="1">{"fdsup://Directions/FactSet Auditing Viewer?action=AUDIT_VALUE&amp;DB=129&amp;ID1=00786510&amp;VALUEID=13040&amp;SDATE=200701&amp;PERIODTYPE=QTR_STD&amp;window=popup_no_bar&amp;width=385&amp;height=120&amp;START_MAXIMIZED=FALSE&amp;creator=factset&amp;display_string=Audit"}</definedName>
    <definedName name="_2421__FDSAUDITLINK__" hidden="1">{"fdsup://Directions/FactSet Auditing Viewer?action=AUDIT_VALUE&amp;DB=129&amp;ID1=00289620&amp;VALUEID=02101&amp;SDATE=200701&amp;PERIODTYPE=QTR_STD&amp;window=popup_no_bar&amp;width=385&amp;height=120&amp;START_MAXIMIZED=FALSE&amp;creator=factset&amp;display_string=Audit"}</definedName>
    <definedName name="_2422__FDSAUDITLINK__" hidden="1">{"fdsup://Directions/FactSet Auditing Viewer?action=AUDIT_VALUE&amp;DB=129&amp;ID1=00289620&amp;VALUEID=01001&amp;SDATE=200701&amp;PERIODTYPE=QTR_STD&amp;window=popup_no_bar&amp;width=385&amp;height=120&amp;START_MAXIMIZED=FALSE&amp;creator=factset&amp;display_string=Audit"}</definedName>
    <definedName name="_2423__FDSAUDITLINK__" hidden="1">{"fdsup://Directions/FactSet Auditing Viewer?action=AUDIT_VALUE&amp;DB=129&amp;ID1=00289620&amp;VALUEID=13040&amp;SDATE=200701&amp;PERIODTYPE=QTR_STD&amp;window=popup_no_bar&amp;width=385&amp;height=120&amp;START_MAXIMIZED=FALSE&amp;creator=factset&amp;display_string=Audit"}</definedName>
    <definedName name="_2424__FDSAUDITLINK__" hidden="1">{"fdsup://Directions/FactSet Auditing Viewer?action=AUDIT_VALUE&amp;DB=129&amp;ID1=87416110&amp;VALUEID=01001&amp;SDATE=200604&amp;PERIODTYPE=QTR_STD&amp;window=popup_no_bar&amp;width=385&amp;height=120&amp;START_MAXIMIZED=FALSE&amp;creator=factset&amp;display_string=Audit"}</definedName>
    <definedName name="_2425__FDSAUDITLINK__" hidden="1">{"fdsup://Directions/FactSet Auditing Viewer?action=AUDIT_VALUE&amp;DB=129&amp;ID1=46612H40&amp;VALUEID=01001&amp;SDATE=200604&amp;PERIODTYPE=QTR_STD&amp;window=popup_no_bar&amp;width=385&amp;height=120&amp;START_MAXIMIZED=FALSE&amp;creator=factset&amp;display_string=Audit"}</definedName>
    <definedName name="_2426__FDSAUDITLINK__" hidden="1">{"fdsup://Directions/FactSet Auditing Viewer?action=AUDIT_VALUE&amp;DB=129&amp;ID1=36476010&amp;VALUEID=01001&amp;SDATE=200604&amp;PERIODTYPE=QTR_STD&amp;window=popup_no_bar&amp;width=385&amp;height=120&amp;START_MAXIMIZED=FALSE&amp;creator=factset&amp;display_string=Audit"}</definedName>
    <definedName name="_2427__FDSAUDITLINK__" hidden="1">{"fdsup://Directions/FactSet Auditing Viewer?action=AUDIT_VALUE&amp;DB=129&amp;ID1=03611510&amp;VALUEID=01001&amp;SDATE=200604&amp;PERIODTYPE=QTR_STD&amp;window=popup_no_bar&amp;width=385&amp;height=120&amp;START_MAXIMIZED=FALSE&amp;creator=factset&amp;display_string=Audit"}</definedName>
    <definedName name="_2428__FDSAUDITLINK__" hidden="1">{"fdsup://Directions/FactSet Auditing Viewer?action=AUDIT_VALUE&amp;DB=129&amp;ID1=16890510&amp;VALUEID=01001&amp;SDATE=200604&amp;PERIODTYPE=QTR_STD&amp;window=popup_no_bar&amp;width=385&amp;height=120&amp;START_MAXIMIZED=FALSE&amp;creator=factset&amp;display_string=Audit"}</definedName>
    <definedName name="_2429__FDSAUDITLINK__" hidden="1">{"fdsup://directions/FAT Viewer?action=UPDATE&amp;creator=factset&amp;DYN_ARGS=TRUE&amp;DOC_NAME=FAT:FQL_AUDITING_CLIENT_TEMPLATE.FAT&amp;display_string=Audit&amp;VAR:KEY=BONMBKFGLQ&amp;VAR:QUERY=RkZfUlRfU0ZfVE9UX0dST1NTKFFUUiwtMTMp&amp;WINDOW=FIRST_POPUP&amp;HEIGHT=450&amp;WIDTH=450&amp;START_MA","XIMIZED=FALSE&amp;VAR:CALENDAR=US&amp;VAR:SYMBOL=AEO&amp;VAR:INDEX=0"}</definedName>
    <definedName name="_243__FDSAUDITLINK__" hidden="1">{"fdsup://Directions/FactSet Auditing Viewer?action=AUDIT_VALUE&amp;DB=129&amp;ID1=91704710&amp;VALUEID=13040&amp;SDATE=200702&amp;PERIODTYPE=QTR_STD&amp;window=popup_no_bar&amp;width=385&amp;height=120&amp;START_MAXIMIZED=FALSE&amp;creator=factset&amp;display_string=Audit"}</definedName>
    <definedName name="_2430__FDSAUDITLINK__" hidden="1">{"fdsup://Directions/FactSet Auditing Viewer?action=AUDIT_VALUE&amp;DB=129&amp;ID1=00786510&amp;VALUEID=01001&amp;SDATE=200604&amp;PERIODTYPE=QTR_STD&amp;window=popup_no_bar&amp;width=385&amp;height=120&amp;START_MAXIMIZED=FALSE&amp;creator=factset&amp;display_string=Audit"}</definedName>
    <definedName name="_2431__FDSAUDITLINK__" hidden="1">{"fdsup://Directions/FactSet Auditing Viewer?action=AUDIT_VALUE&amp;DB=129&amp;ID1=87416110&amp;VALUEID=02101&amp;SDATE=200603&amp;PERIODTYPE=QTR_STD&amp;window=popup_no_bar&amp;width=385&amp;height=120&amp;START_MAXIMIZED=FALSE&amp;creator=factset&amp;display_string=Audit"}</definedName>
    <definedName name="_2432__FDSAUDITLINK__" hidden="1">{"fdsup://Directions/FactSet Auditing Viewer?action=AUDIT_VALUE&amp;DB=129&amp;ID1=87416110&amp;VALUEID=01001&amp;SDATE=200603&amp;PERIODTYPE=QTR_STD&amp;window=popup_no_bar&amp;width=385&amp;height=120&amp;START_MAXIMIZED=FALSE&amp;creator=factset&amp;display_string=Audit"}</definedName>
    <definedName name="_2433__FDSAUDITLINK__" hidden="1">{"fdsup://Directions/FactSet Auditing Viewer?action=AUDIT_VALUE&amp;DB=129&amp;ID1=53271610&amp;VALUEID=02101&amp;SDATE=200603&amp;PERIODTYPE=QTR_STD&amp;window=popup_no_bar&amp;width=385&amp;height=120&amp;START_MAXIMIZED=FALSE&amp;creator=factset&amp;display_string=Audit"}</definedName>
    <definedName name="_2434__FDSAUDITLINK__" hidden="1">{"fdsup://Directions/FactSet Auditing Viewer?action=AUDIT_VALUE&amp;DB=129&amp;ID1=53271610&amp;VALUEID=01001&amp;SDATE=200603&amp;PERIODTYPE=QTR_STD&amp;window=popup_no_bar&amp;width=385&amp;height=120&amp;START_MAXIMIZED=FALSE&amp;creator=factset&amp;display_string=Audit"}</definedName>
    <definedName name="_2435__FDSAUDITLINK__" hidden="1">{"fdsup://Directions/FactSet Auditing Viewer?action=AUDIT_VALUE&amp;DB=129&amp;ID1=53271610&amp;VALUEID=13040&amp;SDATE=200603&amp;PERIODTYPE=QTR_STD&amp;window=popup_no_bar&amp;width=385&amp;height=120&amp;START_MAXIMIZED=FALSE&amp;creator=factset&amp;display_string=Audit"}</definedName>
    <definedName name="_2436__FDSAUDITLINK__" hidden="1">{"fdsup://Directions/FactSet Auditing Viewer?action=AUDIT_VALUE&amp;DB=129&amp;ID1=46612H40&amp;VALUEID=02101&amp;SDATE=200603&amp;PERIODTYPE=QTR_STD&amp;window=popup_no_bar&amp;width=385&amp;height=120&amp;START_MAXIMIZED=FALSE&amp;creator=factset&amp;display_string=Audit"}</definedName>
    <definedName name="_2437__FDSAUDITLINK__" hidden="1">{"fdsup://Directions/FactSet Auditing Viewer?action=AUDIT_VALUE&amp;DB=129&amp;ID1=46612H40&amp;VALUEID=01001&amp;SDATE=200603&amp;PERIODTYPE=QTR_STD&amp;window=popup_no_bar&amp;width=385&amp;height=120&amp;START_MAXIMIZED=FALSE&amp;creator=factset&amp;display_string=Audit"}</definedName>
    <definedName name="_2438__FDSAUDITLINK__" hidden="1">{"fdsup://Directions/FactSet Auditing Viewer?action=AUDIT_VALUE&amp;DB=129&amp;ID1=46612H40&amp;VALUEID=13040&amp;SDATE=200603&amp;PERIODTYPE=QTR_STD&amp;window=popup_no_bar&amp;width=385&amp;height=120&amp;START_MAXIMIZED=FALSE&amp;creator=factset&amp;display_string=Audit"}</definedName>
    <definedName name="_2439__FDSAUDITLINK__" hidden="1">{"fdsup://Directions/FactSet Auditing Viewer?action=AUDIT_VALUE&amp;DB=129&amp;ID1=36476010&amp;VALUEID=02101&amp;SDATE=200603&amp;PERIODTYPE=QTR_STD&amp;window=popup_no_bar&amp;width=385&amp;height=120&amp;START_MAXIMIZED=FALSE&amp;creator=factset&amp;display_string=Audit"}</definedName>
    <definedName name="_244__FDSAUDITLINK__" hidden="1">{"fdsup://Directions/FactSet Auditing Viewer?action=AUDIT_VALUE&amp;DB=129&amp;ID1=02553E10&amp;VALUEID=02101&amp;SDATE=200702&amp;PERIODTYPE=QTR_STD&amp;window=popup_no_bar&amp;width=385&amp;height=120&amp;START_MAXIMIZED=FALSE&amp;creator=factset&amp;display_string=Audit"}</definedName>
    <definedName name="_2440__FDSAUDITLINK__" hidden="1">{"fdsup://Directions/FactSet Auditing Viewer?action=AUDIT_VALUE&amp;DB=129&amp;ID1=36476010&amp;VALUEID=01001&amp;SDATE=200603&amp;PERIODTYPE=QTR_STD&amp;window=popup_no_bar&amp;width=385&amp;height=120&amp;START_MAXIMIZED=FALSE&amp;creator=factset&amp;display_string=Audit"}</definedName>
    <definedName name="_2441__FDSAUDITLINK__" hidden="1">{"fdsup://Directions/FactSet Auditing Viewer?action=AUDIT_VALUE&amp;DB=129&amp;ID1=36476010&amp;VALUEID=13040&amp;SDATE=200603&amp;PERIODTYPE=QTR_STD&amp;window=popup_no_bar&amp;width=385&amp;height=120&amp;START_MAXIMIZED=FALSE&amp;creator=factset&amp;display_string=Audit"}</definedName>
    <definedName name="_2442__FDSAUDITLINK__" hidden="1">{"fdsup://Directions/FactSet Auditing Viewer?action=AUDIT_VALUE&amp;DB=129&amp;ID1=03611510&amp;VALUEID=02101&amp;SDATE=200603&amp;PERIODTYPE=QTR_STD&amp;window=popup_no_bar&amp;width=385&amp;height=120&amp;START_MAXIMIZED=FALSE&amp;creator=factset&amp;display_string=Audit"}</definedName>
    <definedName name="_2443__FDSAUDITLINK__" hidden="1">{"fdsup://Directions/FactSet Auditing Viewer?action=AUDIT_VALUE&amp;DB=129&amp;ID1=03611510&amp;VALUEID=01001&amp;SDATE=200603&amp;PERIODTYPE=QTR_STD&amp;window=popup_no_bar&amp;width=385&amp;height=120&amp;START_MAXIMIZED=FALSE&amp;creator=factset&amp;display_string=Audit"}</definedName>
    <definedName name="_2444__FDSAUDITLINK__" hidden="1">{"fdsup://Directions/FactSet Auditing Viewer?action=AUDIT_VALUE&amp;DB=129&amp;ID1=03611510&amp;VALUEID=13040&amp;SDATE=200603&amp;PERIODTYPE=QTR_STD&amp;window=popup_no_bar&amp;width=385&amp;height=120&amp;START_MAXIMIZED=FALSE&amp;creator=factset&amp;display_string=Audit"}</definedName>
    <definedName name="_2445__FDSAUDITLINK__" hidden="1">{"fdsup://Directions/FactSet Auditing Viewer?action=AUDIT_VALUE&amp;DB=129&amp;ID1=16890510&amp;VALUEID=02101&amp;SDATE=200603&amp;PERIODTYPE=QTR_STD&amp;window=popup_no_bar&amp;width=385&amp;height=120&amp;START_MAXIMIZED=FALSE&amp;creator=factset&amp;display_string=Audit"}</definedName>
    <definedName name="_2446__FDSAUDITLINK__" hidden="1">{"fdsup://Directions/FactSet Auditing Viewer?action=AUDIT_VALUE&amp;DB=129&amp;ID1=16890510&amp;VALUEID=01001&amp;SDATE=200603&amp;PERIODTYPE=QTR_STD&amp;window=popup_no_bar&amp;width=385&amp;height=120&amp;START_MAXIMIZED=FALSE&amp;creator=factset&amp;display_string=Audit"}</definedName>
    <definedName name="_2447__FDSAUDITLINK__" hidden="1">{"fdsup://Directions/FactSet Auditing Viewer?action=AUDIT_VALUE&amp;DB=129&amp;ID1=91704710&amp;VALUEID=02101&amp;SDATE=200603&amp;PERIODTYPE=QTR_STD&amp;window=popup_no_bar&amp;width=385&amp;height=120&amp;START_MAXIMIZED=FALSE&amp;creator=factset&amp;display_string=Audit"}</definedName>
    <definedName name="_2448__FDSAUDITLINK__" hidden="1">{"fdsup://Directions/FactSet Auditing Viewer?action=AUDIT_VALUE&amp;DB=129&amp;ID1=91704710&amp;VALUEID=01001&amp;SDATE=200603&amp;PERIODTYPE=QTR_STD&amp;window=popup_no_bar&amp;width=385&amp;height=120&amp;START_MAXIMIZED=FALSE&amp;creator=factset&amp;display_string=Audit"}</definedName>
    <definedName name="_2449__FDSAUDITLINK__" hidden="1">{"fdsup://Directions/FactSet Auditing Viewer?action=AUDIT_VALUE&amp;DB=129&amp;ID1=91704710&amp;VALUEID=13040&amp;SDATE=200603&amp;PERIODTYPE=QTR_STD&amp;window=popup_no_bar&amp;width=385&amp;height=120&amp;START_MAXIMIZED=FALSE&amp;creator=factset&amp;display_string=Audit"}</definedName>
    <definedName name="_245__FDSAUDITLINK__" hidden="1">{"fdsup://Directions/FactSet Auditing Viewer?action=AUDIT_VALUE&amp;DB=129&amp;ID1=02553E10&amp;VALUEID=01001&amp;SDATE=200702&amp;PERIODTYPE=QTR_STD&amp;window=popup_no_bar&amp;width=385&amp;height=120&amp;START_MAXIMIZED=FALSE&amp;creator=factset&amp;display_string=Audit"}</definedName>
    <definedName name="_2450__FDSAUDITLINK__" hidden="1">{"fdsup://directions/FAT Viewer?action=UPDATE&amp;creator=factset&amp;DYN_ARGS=TRUE&amp;DOC_NAME=FAT:FQL_AUDITING_CLIENT_TEMPLATE.FAT&amp;display_string=Audit&amp;VAR:KEY=NGXYHSLMBY&amp;VAR:QUERY=RkZfUlRfU0ZfVE9UX0dST1NTKFFUUiwtMTQp&amp;WINDOW=FIRST_POPUP&amp;HEIGHT=450&amp;WIDTH=450&amp;START_MA","XIMIZED=FALSE&amp;VAR:CALENDAR=US&amp;VAR:SYMBOL=AEO&amp;VAR:INDEX=0"}</definedName>
    <definedName name="_2451__FDSAUDITLINK__" hidden="1">{"fdsup://Directions/FactSet Auditing Viewer?action=AUDIT_VALUE&amp;DB=129&amp;ID1=00786510&amp;VALUEID=02101&amp;SDATE=200603&amp;PERIODTYPE=QTR_STD&amp;window=popup_no_bar&amp;width=385&amp;height=120&amp;START_MAXIMIZED=FALSE&amp;creator=factset&amp;display_string=Audit"}</definedName>
    <definedName name="_2452__FDSAUDITLINK__" hidden="1">{"fdsup://Directions/FactSet Auditing Viewer?action=AUDIT_VALUE&amp;DB=129&amp;ID1=00786510&amp;VALUEID=01001&amp;SDATE=200603&amp;PERIODTYPE=QTR_STD&amp;window=popup_no_bar&amp;width=385&amp;height=120&amp;START_MAXIMIZED=FALSE&amp;creator=factset&amp;display_string=Audit"}</definedName>
    <definedName name="_2453__FDSAUDITLINK__" hidden="1">{"fdsup://Directions/FactSet Auditing Viewer?action=AUDIT_VALUE&amp;DB=129&amp;ID1=00786510&amp;VALUEID=13040&amp;SDATE=200603&amp;PERIODTYPE=QTR_STD&amp;window=popup_no_bar&amp;width=385&amp;height=120&amp;START_MAXIMIZED=FALSE&amp;creator=factset&amp;display_string=Audit"}</definedName>
    <definedName name="_2454__FDSAUDITLINK__" hidden="1">{"fdsup://Directions/FactSet Auditing Viewer?action=AUDIT_VALUE&amp;DB=129&amp;ID1=00289620&amp;VALUEID=02101&amp;SDATE=200603&amp;PERIODTYPE=QTR_STD&amp;window=popup_no_bar&amp;width=385&amp;height=120&amp;START_MAXIMIZED=FALSE&amp;creator=factset&amp;display_string=Audit"}</definedName>
    <definedName name="_2455__FDSAUDITLINK__" hidden="1">{"fdsup://Directions/FactSet Auditing Viewer?action=AUDIT_VALUE&amp;DB=129&amp;ID1=00289620&amp;VALUEID=01001&amp;SDATE=200603&amp;PERIODTYPE=QTR_STD&amp;window=popup_no_bar&amp;width=385&amp;height=120&amp;START_MAXIMIZED=FALSE&amp;creator=factset&amp;display_string=Audit"}</definedName>
    <definedName name="_2456__FDSAUDITLINK__" hidden="1">{"fdsup://Directions/FactSet Auditing Viewer?action=AUDIT_VALUE&amp;DB=129&amp;ID1=00289620&amp;VALUEID=13040&amp;SDATE=200603&amp;PERIODTYPE=QTR_STD&amp;window=popup_no_bar&amp;width=385&amp;height=120&amp;START_MAXIMIZED=FALSE&amp;creator=factset&amp;display_string=Audit"}</definedName>
    <definedName name="_2457__FDSAUDITLINK__" hidden="1">{"fdsup://Directions/FactSet Auditing Viewer?action=AUDIT_VALUE&amp;DB=129&amp;ID1=87416110&amp;VALUEID=02101&amp;SDATE=200602&amp;PERIODTYPE=QTR_STD&amp;window=popup_no_bar&amp;width=385&amp;height=120&amp;START_MAXIMIZED=FALSE&amp;creator=factset&amp;display_string=Audit"}</definedName>
    <definedName name="_2458__FDSAUDITLINK__" hidden="1">{"fdsup://Directions/FactSet Auditing Viewer?action=AUDIT_VALUE&amp;DB=129&amp;ID1=87416110&amp;VALUEID=01001&amp;SDATE=200602&amp;PERIODTYPE=QTR_STD&amp;window=popup_no_bar&amp;width=385&amp;height=120&amp;START_MAXIMIZED=FALSE&amp;creator=factset&amp;display_string=Audit"}</definedName>
    <definedName name="_2459__FDSAUDITLINK__" hidden="1">{"fdsup://Directions/FactSet Auditing Viewer?action=AUDIT_VALUE&amp;DB=129&amp;ID1=53271610&amp;VALUEID=02101&amp;SDATE=200602&amp;PERIODTYPE=QTR_STD&amp;window=popup_no_bar&amp;width=385&amp;height=120&amp;START_MAXIMIZED=FALSE&amp;creator=factset&amp;display_string=Audit"}</definedName>
    <definedName name="_246__FDSAUDITLINK__" hidden="1">{"fdsup://Directions/FactSet Auditing Viewer?action=AUDIT_VALUE&amp;DB=129&amp;ID1=02553E10&amp;VALUEID=13040&amp;SDATE=200702&amp;PERIODTYPE=QTR_STD&amp;window=popup_no_bar&amp;width=385&amp;height=120&amp;START_MAXIMIZED=FALSE&amp;creator=factset&amp;display_string=Audit"}</definedName>
    <definedName name="_2460__FDSAUDITLINK__" hidden="1">{"fdsup://Directions/FactSet Auditing Viewer?action=AUDIT_VALUE&amp;DB=129&amp;ID1=53271610&amp;VALUEID=01001&amp;SDATE=200602&amp;PERIODTYPE=QTR_STD&amp;window=popup_no_bar&amp;width=385&amp;height=120&amp;START_MAXIMIZED=FALSE&amp;creator=factset&amp;display_string=Audit"}</definedName>
    <definedName name="_2461__FDSAUDITLINK__" hidden="1">{"fdsup://Directions/FactSet Auditing Viewer?action=AUDIT_VALUE&amp;DB=129&amp;ID1=53271610&amp;VALUEID=13040&amp;SDATE=200602&amp;PERIODTYPE=QTR_STD&amp;window=popup_no_bar&amp;width=385&amp;height=120&amp;START_MAXIMIZED=FALSE&amp;creator=factset&amp;display_string=Audit"}</definedName>
    <definedName name="_2462__FDSAUDITLINK__" hidden="1">{"fdsup://Directions/FactSet Auditing Viewer?action=AUDIT_VALUE&amp;DB=129&amp;ID1=46612H40&amp;VALUEID=02101&amp;SDATE=200602&amp;PERIODTYPE=QTR_STD&amp;window=popup_no_bar&amp;width=385&amp;height=120&amp;START_MAXIMIZED=FALSE&amp;creator=factset&amp;display_string=Audit"}</definedName>
    <definedName name="_2463__FDSAUDITLINK__" hidden="1">{"fdsup://Directions/FactSet Auditing Viewer?action=AUDIT_VALUE&amp;DB=129&amp;ID1=46612H40&amp;VALUEID=01001&amp;SDATE=200602&amp;PERIODTYPE=QTR_STD&amp;window=popup_no_bar&amp;width=385&amp;height=120&amp;START_MAXIMIZED=FALSE&amp;creator=factset&amp;display_string=Audit"}</definedName>
    <definedName name="_2464__FDSAUDITLINK__" hidden="1">{"fdsup://Directions/FactSet Auditing Viewer?action=AUDIT_VALUE&amp;DB=129&amp;ID1=46612H40&amp;VALUEID=13040&amp;SDATE=200602&amp;PERIODTYPE=QTR_STD&amp;window=popup_no_bar&amp;width=385&amp;height=120&amp;START_MAXIMIZED=FALSE&amp;creator=factset&amp;display_string=Audit"}</definedName>
    <definedName name="_2465__FDSAUDITLINK__" hidden="1">{"fdsup://Directions/FactSet Auditing Viewer?action=AUDIT_VALUE&amp;DB=129&amp;ID1=36476010&amp;VALUEID=02101&amp;SDATE=200602&amp;PERIODTYPE=QTR_STD&amp;window=popup_no_bar&amp;width=385&amp;height=120&amp;START_MAXIMIZED=FALSE&amp;creator=factset&amp;display_string=Audit"}</definedName>
    <definedName name="_2466__FDSAUDITLINK__" hidden="1">{"fdsup://Directions/FactSet Auditing Viewer?action=AUDIT_VALUE&amp;DB=129&amp;ID1=36476010&amp;VALUEID=01001&amp;SDATE=200602&amp;PERIODTYPE=QTR_STD&amp;window=popup_no_bar&amp;width=385&amp;height=120&amp;START_MAXIMIZED=FALSE&amp;creator=factset&amp;display_string=Audit"}</definedName>
    <definedName name="_2467__FDSAUDITLINK__" hidden="1">{"fdsup://Directions/FactSet Auditing Viewer?action=AUDIT_VALUE&amp;DB=129&amp;ID1=36476010&amp;VALUEID=13040&amp;SDATE=200602&amp;PERIODTYPE=QTR_STD&amp;window=popup_no_bar&amp;width=385&amp;height=120&amp;START_MAXIMIZED=FALSE&amp;creator=factset&amp;display_string=Audit"}</definedName>
    <definedName name="_2468__FDSAUDITLINK__" hidden="1">{"fdsup://Directions/FactSet Auditing Viewer?action=AUDIT_VALUE&amp;DB=129&amp;ID1=03611510&amp;VALUEID=02101&amp;SDATE=200602&amp;PERIODTYPE=QTR_STD&amp;window=popup_no_bar&amp;width=385&amp;height=120&amp;START_MAXIMIZED=FALSE&amp;creator=factset&amp;display_string=Audit"}</definedName>
    <definedName name="_2469__FDSAUDITLINK__" hidden="1">{"fdsup://Directions/FactSet Auditing Viewer?action=AUDIT_VALUE&amp;DB=129&amp;ID1=03611510&amp;VALUEID=01001&amp;SDATE=200602&amp;PERIODTYPE=QTR_STD&amp;window=popup_no_bar&amp;width=385&amp;height=120&amp;START_MAXIMIZED=FALSE&amp;creator=factset&amp;display_string=Audit"}</definedName>
    <definedName name="_247__FDSAUDITLINK__" hidden="1">{"fdsup://Directions/FactSet Auditing Viewer?action=AUDIT_VALUE&amp;DB=129&amp;ID1=00786510&amp;VALUEID=02101&amp;SDATE=200702&amp;PERIODTYPE=QTR_STD&amp;window=popup_no_bar&amp;width=385&amp;height=120&amp;START_MAXIMIZED=FALSE&amp;creator=factset&amp;display_string=Audit"}</definedName>
    <definedName name="_2470__FDSAUDITLINK__" hidden="1">{"fdsup://Directions/FactSet Auditing Viewer?action=AUDIT_VALUE&amp;DB=129&amp;ID1=03611510&amp;VALUEID=13040&amp;SDATE=200602&amp;PERIODTYPE=QTR_STD&amp;window=popup_no_bar&amp;width=385&amp;height=120&amp;START_MAXIMIZED=FALSE&amp;creator=factset&amp;display_string=Audit"}</definedName>
    <definedName name="_2471__FDSAUDITLINK__" hidden="1">{"fdsup://Directions/FactSet Auditing Viewer?action=AUDIT_VALUE&amp;DB=129&amp;ID1=16890510&amp;VALUEID=02101&amp;SDATE=200602&amp;PERIODTYPE=QTR_STD&amp;window=popup_no_bar&amp;width=385&amp;height=120&amp;START_MAXIMIZED=FALSE&amp;creator=factset&amp;display_string=Audit"}</definedName>
    <definedName name="_2472__FDSAUDITLINK__" hidden="1">{"fdsup://Directions/FactSet Auditing Viewer?action=AUDIT_VALUE&amp;DB=129&amp;ID1=16890510&amp;VALUEID=01001&amp;SDATE=200602&amp;PERIODTYPE=QTR_STD&amp;window=popup_no_bar&amp;width=385&amp;height=120&amp;START_MAXIMIZED=FALSE&amp;creator=factset&amp;display_string=Audit"}</definedName>
    <definedName name="_2473__FDSAUDITLINK__" hidden="1">{"fdsup://Directions/FactSet Auditing Viewer?action=AUDIT_VALUE&amp;DB=129&amp;ID1=91704710&amp;VALUEID=02101&amp;SDATE=200602&amp;PERIODTYPE=QTR_STD&amp;window=popup_no_bar&amp;width=385&amp;height=120&amp;START_MAXIMIZED=FALSE&amp;creator=factset&amp;display_string=Audit"}</definedName>
    <definedName name="_2474__FDSAUDITLINK__" hidden="1">{"fdsup://Directions/FactSet Auditing Viewer?action=AUDIT_VALUE&amp;DB=129&amp;ID1=91704710&amp;VALUEID=01001&amp;SDATE=200602&amp;PERIODTYPE=QTR_STD&amp;window=popup_no_bar&amp;width=385&amp;height=120&amp;START_MAXIMIZED=FALSE&amp;creator=factset&amp;display_string=Audit"}</definedName>
    <definedName name="_2475__FDSAUDITLINK__" hidden="1">{"fdsup://Directions/FactSet Auditing Viewer?action=AUDIT_VALUE&amp;DB=129&amp;ID1=91704710&amp;VALUEID=13040&amp;SDATE=200602&amp;PERIODTYPE=QTR_STD&amp;window=popup_no_bar&amp;width=385&amp;height=120&amp;START_MAXIMIZED=FALSE&amp;creator=factset&amp;display_string=Audit"}</definedName>
    <definedName name="_2476__FDSAUDITLINK__" hidden="1">{"fdsup://directions/FAT Viewer?action=UPDATE&amp;creator=factset&amp;DYN_ARGS=TRUE&amp;DOC_NAME=FAT:FQL_AUDITING_CLIENT_TEMPLATE.FAT&amp;display_string=Audit&amp;VAR:KEY=VUNQJUHWBQ&amp;VAR:QUERY=RkZfUlRfU0ZfVE9UX0dST1NTKFFUUiwtMTUp&amp;WINDOW=FIRST_POPUP&amp;HEIGHT=450&amp;WIDTH=450&amp;START_MA","XIMIZED=FALSE&amp;VAR:CALENDAR=US&amp;VAR:SYMBOL=AEO&amp;VAR:INDEX=0"}</definedName>
    <definedName name="_2477__FDSAUDITLINK__" hidden="1">{"fdsup://Directions/FactSet Auditing Viewer?action=AUDIT_VALUE&amp;DB=129&amp;ID1=00786510&amp;VALUEID=02101&amp;SDATE=200602&amp;PERIODTYPE=QTR_STD&amp;window=popup_no_bar&amp;width=385&amp;height=120&amp;START_MAXIMIZED=FALSE&amp;creator=factset&amp;display_string=Audit"}</definedName>
    <definedName name="_2478__FDSAUDITLINK__" hidden="1">{"fdsup://Directions/FactSet Auditing Viewer?action=AUDIT_VALUE&amp;DB=129&amp;ID1=00786510&amp;VALUEID=01001&amp;SDATE=200602&amp;PERIODTYPE=QTR_STD&amp;window=popup_no_bar&amp;width=385&amp;height=120&amp;START_MAXIMIZED=FALSE&amp;creator=factset&amp;display_string=Audit"}</definedName>
    <definedName name="_2479__FDSAUDITLINK__" hidden="1">{"fdsup://Directions/FactSet Auditing Viewer?action=AUDIT_VALUE&amp;DB=129&amp;ID1=00786510&amp;VALUEID=13040&amp;SDATE=200602&amp;PERIODTYPE=QTR_STD&amp;window=popup_no_bar&amp;width=385&amp;height=120&amp;START_MAXIMIZED=FALSE&amp;creator=factset&amp;display_string=Audit"}</definedName>
    <definedName name="_248__FDSAUDITLINK__" hidden="1">{"fdsup://Directions/FactSet Auditing Viewer?action=AUDIT_VALUE&amp;DB=129&amp;ID1=00786510&amp;VALUEID=01001&amp;SDATE=200702&amp;PERIODTYPE=QTR_STD&amp;window=popup_no_bar&amp;width=385&amp;height=120&amp;START_MAXIMIZED=FALSE&amp;creator=factset&amp;display_string=Audit"}</definedName>
    <definedName name="_2480__FDSAUDITLINK__" hidden="1">{"fdsup://Directions/FactSet Auditing Viewer?action=AUDIT_VALUE&amp;DB=129&amp;ID1=00289620&amp;VALUEID=02101&amp;SDATE=200602&amp;PERIODTYPE=QTR_STD&amp;window=popup_no_bar&amp;width=385&amp;height=120&amp;START_MAXIMIZED=FALSE&amp;creator=factset&amp;display_string=Audit"}</definedName>
    <definedName name="_2481__FDSAUDITLINK__" hidden="1">{"fdsup://Directions/FactSet Auditing Viewer?action=AUDIT_VALUE&amp;DB=129&amp;ID1=00289620&amp;VALUEID=01001&amp;SDATE=200602&amp;PERIODTYPE=QTR_STD&amp;window=popup_no_bar&amp;width=385&amp;height=120&amp;START_MAXIMIZED=FALSE&amp;creator=factset&amp;display_string=Audit"}</definedName>
    <definedName name="_2482__FDSAUDITLINK__" hidden="1">{"fdsup://Directions/FactSet Auditing Viewer?action=AUDIT_VALUE&amp;DB=129&amp;ID1=00289620&amp;VALUEID=13040&amp;SDATE=200602&amp;PERIODTYPE=QTR_STD&amp;window=popup_no_bar&amp;width=385&amp;height=120&amp;START_MAXIMIZED=FALSE&amp;creator=factset&amp;display_string=Audit"}</definedName>
    <definedName name="_2483__FDSAUDITLINK__" hidden="1">{"fdsup://Directions/FactSet Auditing Viewer?action=AUDIT_VALUE&amp;DB=129&amp;ID1=87416110&amp;VALUEID=02101&amp;SDATE=200601&amp;PERIODTYPE=QTR_STD&amp;window=popup_no_bar&amp;width=385&amp;height=120&amp;START_MAXIMIZED=FALSE&amp;creator=factset&amp;display_string=Audit"}</definedName>
    <definedName name="_2484__FDSAUDITLINK__" hidden="1">{"fdsup://Directions/FactSet Auditing Viewer?action=AUDIT_VALUE&amp;DB=129&amp;ID1=87416110&amp;VALUEID=01001&amp;SDATE=200601&amp;PERIODTYPE=QTR_STD&amp;window=popup_no_bar&amp;width=385&amp;height=120&amp;START_MAXIMIZED=FALSE&amp;creator=factset&amp;display_string=Audit"}</definedName>
    <definedName name="_2485__FDSAUDITLINK__" hidden="1">{"fdsup://Directions/FactSet Auditing Viewer?action=AUDIT_VALUE&amp;DB=129&amp;ID1=87416110&amp;VALUEID=13040&amp;SDATE=200601&amp;PERIODTYPE=QTR_STD&amp;window=popup_no_bar&amp;width=385&amp;height=120&amp;START_MAXIMIZED=FALSE&amp;creator=factset&amp;display_string=Audit"}</definedName>
    <definedName name="_2486__FDSAUDITLINK__" hidden="1">{"fdsup://directions/FAT Viewer?action=UPDATE&amp;creator=factset&amp;DYN_ARGS=TRUE&amp;DOC_NAME=FAT:FQL_AUDITING_CLIENT_TEMPLATE.FAT&amp;display_string=Audit&amp;VAR:KEY=NUZUBWRSBA&amp;VAR:QUERY=RkZfUlRfU0ZfVE9UX0dST1NTKFFUUiwtMTYp&amp;WINDOW=FIRST_POPUP&amp;HEIGHT=450&amp;WIDTH=450&amp;START_MA","XIMIZED=FALSE&amp;VAR:CALENDAR=US&amp;VAR:SYMBOL=TLB&amp;VAR:INDEX=0"}</definedName>
    <definedName name="_2487__FDSAUDITLINK__" hidden="1">{"fdsup://Directions/FactSet Auditing Viewer?action=AUDIT_VALUE&amp;DB=129&amp;ID1=53271610&amp;VALUEID=02101&amp;SDATE=200601&amp;PERIODTYPE=QTR_STD&amp;window=popup_no_bar&amp;width=385&amp;height=120&amp;START_MAXIMIZED=FALSE&amp;creator=factset&amp;display_string=Audit"}</definedName>
    <definedName name="_2488__FDSAUDITLINK__" hidden="1">{"fdsup://Directions/FactSet Auditing Viewer?action=AUDIT_VALUE&amp;DB=129&amp;ID1=53271610&amp;VALUEID=01001&amp;SDATE=200601&amp;PERIODTYPE=QTR_STD&amp;window=popup_no_bar&amp;width=385&amp;height=120&amp;START_MAXIMIZED=FALSE&amp;creator=factset&amp;display_string=Audit"}</definedName>
    <definedName name="_2489__FDSAUDITLINK__" hidden="1">{"fdsup://Directions/FactSet Auditing Viewer?action=AUDIT_VALUE&amp;DB=129&amp;ID1=53271610&amp;VALUEID=13040&amp;SDATE=200601&amp;PERIODTYPE=QTR_STD&amp;window=popup_no_bar&amp;width=385&amp;height=120&amp;START_MAXIMIZED=FALSE&amp;creator=factset&amp;display_string=Audit"}</definedName>
    <definedName name="_249__FDSAUDITLINK__" hidden="1">{"fdsup://Directions/FactSet Auditing Viewer?action=AUDIT_VALUE&amp;DB=129&amp;ID1=00786510&amp;VALUEID=13040&amp;SDATE=200702&amp;PERIODTYPE=QTR_STD&amp;window=popup_no_bar&amp;width=385&amp;height=120&amp;START_MAXIMIZED=FALSE&amp;creator=factset&amp;display_string=Audit"}</definedName>
    <definedName name="_2490__FDSAUDITLINK__" hidden="1">{"fdsup://Directions/FactSet Auditing Viewer?action=AUDIT_VALUE&amp;DB=129&amp;ID1=46612H40&amp;VALUEID=02101&amp;SDATE=200601&amp;PERIODTYPE=QTR_STD&amp;window=popup_no_bar&amp;width=385&amp;height=120&amp;START_MAXIMIZED=FALSE&amp;creator=factset&amp;display_string=Audit"}</definedName>
    <definedName name="_2491__FDSAUDITLINK__" hidden="1">{"fdsup://Directions/FactSet Auditing Viewer?action=AUDIT_VALUE&amp;DB=129&amp;ID1=46612H40&amp;VALUEID=01001&amp;SDATE=200601&amp;PERIODTYPE=QTR_STD&amp;window=popup_no_bar&amp;width=385&amp;height=120&amp;START_MAXIMIZED=FALSE&amp;creator=factset&amp;display_string=Audit"}</definedName>
    <definedName name="_2492__FDSAUDITLINK__" hidden="1">{"fdsup://Directions/FactSet Auditing Viewer?action=AUDIT_VALUE&amp;DB=129&amp;ID1=46612H40&amp;VALUEID=13040&amp;SDATE=200601&amp;PERIODTYPE=QTR_STD&amp;window=popup_no_bar&amp;width=385&amp;height=120&amp;START_MAXIMIZED=FALSE&amp;creator=factset&amp;display_string=Audit"}</definedName>
    <definedName name="_2493__FDSAUDITLINK__" hidden="1">{"fdsup://Directions/FactSet Auditing Viewer?action=AUDIT_VALUE&amp;DB=129&amp;ID1=36476010&amp;VALUEID=02101&amp;SDATE=200601&amp;PERIODTYPE=QTR_STD&amp;window=popup_no_bar&amp;width=385&amp;height=120&amp;START_MAXIMIZED=FALSE&amp;creator=factset&amp;display_string=Audit"}</definedName>
    <definedName name="_2494__FDSAUDITLINK__" hidden="1">{"fdsup://Directions/FactSet Auditing Viewer?action=AUDIT_VALUE&amp;DB=129&amp;ID1=36476010&amp;VALUEID=01001&amp;SDATE=200601&amp;PERIODTYPE=QTR_STD&amp;window=popup_no_bar&amp;width=385&amp;height=120&amp;START_MAXIMIZED=FALSE&amp;creator=factset&amp;display_string=Audit"}</definedName>
    <definedName name="_2495__FDSAUDITLINK__" hidden="1">{"fdsup://Directions/FactSet Auditing Viewer?action=AUDIT_VALUE&amp;DB=129&amp;ID1=36476010&amp;VALUEID=13040&amp;SDATE=200601&amp;PERIODTYPE=QTR_STD&amp;window=popup_no_bar&amp;width=385&amp;height=120&amp;START_MAXIMIZED=FALSE&amp;creator=factset&amp;display_string=Audit"}</definedName>
    <definedName name="_2496__FDSAUDITLINK__" hidden="1">{"fdsup://Directions/FactSet Auditing Viewer?action=AUDIT_VALUE&amp;DB=129&amp;ID1=03611510&amp;VALUEID=02101&amp;SDATE=200601&amp;PERIODTYPE=QTR_STD&amp;window=popup_no_bar&amp;width=385&amp;height=120&amp;START_MAXIMIZED=FALSE&amp;creator=factset&amp;display_string=Audit"}</definedName>
    <definedName name="_2497__FDSAUDITLINK__" hidden="1">{"fdsup://Directions/FactSet Auditing Viewer?action=AUDIT_VALUE&amp;DB=129&amp;ID1=03611510&amp;VALUEID=13040&amp;SDATE=200601&amp;PERIODTYPE=QTR_STD&amp;window=popup_no_bar&amp;width=385&amp;height=120&amp;START_MAXIMIZED=FALSE&amp;creator=factset&amp;display_string=Audit"}</definedName>
    <definedName name="_2498__FDSAUDITLINK__" hidden="1">{"fdsup://Directions/FactSet Auditing Viewer?action=AUDIT_VALUE&amp;DB=129&amp;ID1=16890510&amp;VALUEID=02101&amp;SDATE=200601&amp;PERIODTYPE=QTR_STD&amp;window=popup_no_bar&amp;width=385&amp;height=120&amp;START_MAXIMIZED=FALSE&amp;creator=factset&amp;display_string=Audit"}</definedName>
    <definedName name="_2499__FDSAUDITLINK__" hidden="1">{"fdsup://Directions/FactSet Auditing Viewer?action=AUDIT_VALUE&amp;DB=129&amp;ID1=16890510&amp;VALUEID=01001&amp;SDATE=200601&amp;PERIODTYPE=QTR_STD&amp;window=popup_no_bar&amp;width=385&amp;height=120&amp;START_MAXIMIZED=FALSE&amp;creator=factset&amp;display_string=Audit"}</definedName>
    <definedName name="_25__FDSAUDITLINK__" hidden="1">{"fdsup://Directions/FactSet Auditing Viewer?action=AUDIT_VALUE&amp;DB=129&amp;ID1=03611510&amp;VALUEID=01001&amp;SDATE=200904&amp;PERIODTYPE=QTR_STD&amp;window=popup_no_bar&amp;width=385&amp;height=120&amp;START_MAXIMIZED=FALSE&amp;creator=factset&amp;display_string=Audit"}</definedName>
    <definedName name="_250__FDSAUDITLINK__" hidden="1">{"fdsup://Directions/FactSet Auditing Viewer?action=AUDIT_VALUE&amp;DB=129&amp;ID1=00289620&amp;VALUEID=02101&amp;SDATE=200702&amp;PERIODTYPE=QTR_STD&amp;window=popup_no_bar&amp;width=385&amp;height=120&amp;START_MAXIMIZED=FALSE&amp;creator=factset&amp;display_string=Audit"}</definedName>
    <definedName name="_2500__FDSAUDITLINK__" hidden="1">{"fdsup://Directions/FactSet Auditing Viewer?action=AUDIT_VALUE&amp;DB=129&amp;ID1=91704710&amp;VALUEID=02101&amp;SDATE=200601&amp;PERIODTYPE=QTR_STD&amp;window=popup_no_bar&amp;width=385&amp;height=120&amp;START_MAXIMIZED=FALSE&amp;creator=factset&amp;display_string=Audit"}</definedName>
    <definedName name="_2501__FDSAUDITLINK__" hidden="1">{"fdsup://Directions/FactSet Auditing Viewer?action=AUDIT_VALUE&amp;DB=129&amp;ID1=91704710&amp;VALUEID=01001&amp;SDATE=200601&amp;PERIODTYPE=QTR_STD&amp;window=popup_no_bar&amp;width=385&amp;height=120&amp;START_MAXIMIZED=FALSE&amp;creator=factset&amp;display_string=Audit"}</definedName>
    <definedName name="_2502__FDSAUDITLINK__" hidden="1">{"fdsup://Directions/FactSet Auditing Viewer?action=AUDIT_VALUE&amp;DB=129&amp;ID1=91704710&amp;VALUEID=13040&amp;SDATE=200601&amp;PERIODTYPE=QTR_STD&amp;window=popup_no_bar&amp;width=385&amp;height=120&amp;START_MAXIMIZED=FALSE&amp;creator=factset&amp;display_string=Audit"}</definedName>
    <definedName name="_2503__FDSAUDITLINK__" hidden="1">{"fdsup://Directions/FactSet Auditing Viewer?action=AUDIT_VALUE&amp;DB=129&amp;ID1=02553E10&amp;VALUEID=02101&amp;SDATE=200601&amp;PERIODTYPE=QTR_STD&amp;window=popup_no_bar&amp;width=385&amp;height=120&amp;START_MAXIMIZED=FALSE&amp;creator=factset&amp;display_string=Audit"}</definedName>
    <definedName name="_2504__FDSAUDITLINK__" hidden="1">{"fdsup://Directions/FactSet Auditing Viewer?action=AUDIT_VALUE&amp;DB=129&amp;ID1=02553E10&amp;VALUEID=01001&amp;SDATE=200601&amp;PERIODTYPE=QTR_STD&amp;window=popup_no_bar&amp;width=385&amp;height=120&amp;START_MAXIMIZED=FALSE&amp;creator=factset&amp;display_string=Audit"}</definedName>
    <definedName name="_2505__FDSAUDITLINK__" hidden="1">{"fdsup://Directions/FactSet Auditing Viewer?action=AUDIT_VALUE&amp;DB=129&amp;ID1=02553E10&amp;VALUEID=13040&amp;SDATE=200601&amp;PERIODTYPE=QTR_STD&amp;window=popup_no_bar&amp;width=385&amp;height=120&amp;START_MAXIMIZED=FALSE&amp;creator=factset&amp;display_string=Audit"}</definedName>
    <definedName name="_2506__FDSAUDITLINK__" hidden="1">{"fdsup://directions/FAT Viewer?action=UPDATE&amp;creator=factset&amp;DYN_ARGS=TRUE&amp;DOC_NAME=FAT:FQL_AUDITING_CLIENT_TEMPLATE.FAT&amp;display_string=Audit&amp;VAR:KEY=RUROHMBELS&amp;VAR:QUERY=RkZfUlRfU0ZfVE9UX0dST1NTKFFUUiwtMTYp&amp;WINDOW=FIRST_POPUP&amp;HEIGHT=450&amp;WIDTH=450&amp;START_MA","XIMIZED=FALSE&amp;VAR:CALENDAR=US&amp;VAR:SYMBOL=AEO&amp;VAR:INDEX=0"}</definedName>
    <definedName name="_2507__FDSAUDITLINK__" hidden="1">{"fdsup://Directions/FactSet Auditing Viewer?action=AUDIT_VALUE&amp;DB=129&amp;ID1=00786510&amp;VALUEID=02101&amp;SDATE=200601&amp;PERIODTYPE=QTR_STD&amp;window=popup_no_bar&amp;width=385&amp;height=120&amp;START_MAXIMIZED=FALSE&amp;creator=factset&amp;display_string=Audit"}</definedName>
    <definedName name="_2508__FDSAUDITLINK__" hidden="1">{"fdsup://Directions/FactSet Auditing Viewer?action=AUDIT_VALUE&amp;DB=129&amp;ID1=00786510&amp;VALUEID=01001&amp;SDATE=200601&amp;PERIODTYPE=QTR_STD&amp;window=popup_no_bar&amp;width=385&amp;height=120&amp;START_MAXIMIZED=FALSE&amp;creator=factset&amp;display_string=Audit"}</definedName>
    <definedName name="_2509__FDSAUDITLINK__" hidden="1">{"fdsup://Directions/FactSet Auditing Viewer?action=AUDIT_VALUE&amp;DB=129&amp;ID1=00786510&amp;VALUEID=13040&amp;SDATE=200601&amp;PERIODTYPE=QTR_STD&amp;window=popup_no_bar&amp;width=385&amp;height=120&amp;START_MAXIMIZED=FALSE&amp;creator=factset&amp;display_string=Audit"}</definedName>
    <definedName name="_251__FDSAUDITLINK__" hidden="1">{"fdsup://Directions/FactSet Auditing Viewer?action=AUDIT_VALUE&amp;DB=129&amp;ID1=00289620&amp;VALUEID=01001&amp;SDATE=200702&amp;PERIODTYPE=QTR_STD&amp;window=popup_no_bar&amp;width=385&amp;height=120&amp;START_MAXIMIZED=FALSE&amp;creator=factset&amp;display_string=Audit"}</definedName>
    <definedName name="_2510__FDSAUDITLINK__" hidden="1">{"fdsup://Directions/FactSet Auditing Viewer?action=AUDIT_VALUE&amp;DB=129&amp;ID1=00289620&amp;VALUEID=02101&amp;SDATE=200601&amp;PERIODTYPE=QTR_STD&amp;window=popup_no_bar&amp;width=385&amp;height=120&amp;START_MAXIMIZED=FALSE&amp;creator=factset&amp;display_string=Audit"}</definedName>
    <definedName name="_2511__FDSAUDITLINK__" hidden="1">{"fdsup://Directions/FactSet Auditing Viewer?action=AUDIT_VALUE&amp;DB=129&amp;ID1=00289620&amp;VALUEID=01001&amp;SDATE=200601&amp;PERIODTYPE=QTR_STD&amp;window=popup_no_bar&amp;width=385&amp;height=120&amp;START_MAXIMIZED=FALSE&amp;creator=factset&amp;display_string=Audit"}</definedName>
    <definedName name="_2512__FDSAUDITLINK__" hidden="1">{"fdsup://Directions/FactSet Auditing Viewer?action=AUDIT_VALUE&amp;DB=129&amp;ID1=00289620&amp;VALUEID=13040&amp;SDATE=200601&amp;PERIODTYPE=QTR_STD&amp;window=popup_no_bar&amp;width=385&amp;height=120&amp;START_MAXIMIZED=FALSE&amp;creator=factset&amp;display_string=Audit"}</definedName>
    <definedName name="_2513__FDSAUDITLINK__" hidden="1">{"fdsup://directions/FAT Viewer?action=UPDATE&amp;creator=factset&amp;DYN_ARGS=TRUE&amp;DOC_NAME=FAT:FQL_AUDITING_CLIENT_TEMPLATE.FAT&amp;display_string=Audit&amp;VAR:KEY=NKDWDYVSJA&amp;VAR:QUERY=RkZfUlRfU0ZfVE9UX0dST1NTKFFUUiwtMTcp&amp;WINDOW=FIRST_POPUP&amp;HEIGHT=450&amp;WIDTH=450&amp;START_MA","XIMIZED=FALSE&amp;VAR:CALENDAR=US&amp;VAR:SYMBOL=TLB&amp;VAR:INDEX=0"}</definedName>
    <definedName name="_2514__FDSAUDITLINK__" hidden="1">{"fdsup://directions/FAT Viewer?action=UPDATE&amp;creator=factset&amp;DYN_ARGS=TRUE&amp;DOC_NAME=FAT:FQL_AUDITING_CLIENT_TEMPLATE.FAT&amp;display_string=Audit&amp;VAR:KEY=DEZSPEHMVA&amp;VAR:QUERY=RkZfUlRfU0ZfVE9UX0dST1NTKFFUUiwtMTcp&amp;WINDOW=FIRST_POPUP&amp;HEIGHT=450&amp;WIDTH=450&amp;START_MA","XIMIZED=FALSE&amp;VAR:CALENDAR=US&amp;VAR:SYMBOL=AEO&amp;VAR:INDEX=0"}</definedName>
    <definedName name="_2515__FDSAUDITLINK__" hidden="1">{"fdsup://directions/FAT Viewer?action=UPDATE&amp;creator=factset&amp;DYN_ARGS=TRUE&amp;DOC_NAME=FAT:FQL_AUDITING_CLIENT_TEMPLATE.FAT&amp;display_string=Audit&amp;VAR:KEY=TURKDOPIZG&amp;VAR:QUERY=RkZfUlRfU0ZfVE9UX0dST1NTKFFUUiwtMTgp&amp;WINDOW=FIRST_POPUP&amp;HEIGHT=450&amp;WIDTH=450&amp;START_MA","XIMIZED=FALSE&amp;VAR:CALENDAR=US&amp;VAR:SYMBOL=TLB&amp;VAR:INDEX=0"}</definedName>
    <definedName name="_2516__FDSAUDITLINK__" hidden="1">{"fdsup://Directions/FactSet Auditing Viewer?action=AUDIT_VALUE&amp;DB=129&amp;ID1=03611510&amp;VALUEID=13040&amp;SDATE=200503&amp;PERIODTYPE=QTR_STD&amp;window=popup_no_bar&amp;width=385&amp;height=120&amp;START_MAXIMIZED=FALSE&amp;creator=factset&amp;display_string=Audit"}</definedName>
    <definedName name="_2517__FDSAUDITLINK__" hidden="1">{"fdsup://directions/FAT Viewer?action=UPDATE&amp;creator=factset&amp;DYN_ARGS=TRUE&amp;DOC_NAME=FAT:FQL_AUDITING_CLIENT_TEMPLATE.FAT&amp;display_string=Audit&amp;VAR:KEY=NUJIDQTCDM&amp;VAR:QUERY=RkZfUlRfU0ZfVE9UX0dST1NTKFFUUiwtMTgp&amp;WINDOW=FIRST_POPUP&amp;HEIGHT=450&amp;WIDTH=450&amp;START_MA","XIMIZED=FALSE&amp;VAR:CALENDAR=US&amp;VAR:SYMBOL=AEO&amp;VAR:INDEX=0"}</definedName>
    <definedName name="_2518__FDSAUDITLINK__" hidden="1">{"fdsup://directions/FAT Viewer?action=UPDATE&amp;creator=factset&amp;DYN_ARGS=TRUE&amp;DOC_NAME=FAT:FQL_AUDITING_CLIENT_TEMPLATE.FAT&amp;display_string=Audit&amp;VAR:KEY=HIHSXILWDI&amp;VAR:QUERY=RkZfUlRfU0ZfVE9UX0dST1NTKFFUUiwtMTkp&amp;WINDOW=FIRST_POPUP&amp;HEIGHT=450&amp;WIDTH=450&amp;START_MA","XIMIZED=FALSE&amp;VAR:CALENDAR=US&amp;VAR:SYMBOL=TLB&amp;VAR:INDEX=0"}</definedName>
    <definedName name="_2519__FDSAUDITLINK__" hidden="1">{"fdsup://Directions/FactSet Auditing Viewer?action=AUDIT_VALUE&amp;DB=129&amp;ID1=03611510&amp;VALUEID=13040&amp;SDATE=200502&amp;PERIODTYPE=QTR_STD&amp;window=popup_no_bar&amp;width=385&amp;height=120&amp;START_MAXIMIZED=FALSE&amp;creator=factset&amp;display_string=Audit"}</definedName>
    <definedName name="_252__FDSAUDITLINK__" hidden="1">{"fdsup://Directions/FactSet Auditing Viewer?action=AUDIT_VALUE&amp;DB=129&amp;ID1=87416110&amp;VALUEID=02101&amp;SDATE=200701&amp;PERIODTYPE=QTR_STD&amp;window=popup_no_bar&amp;width=385&amp;height=120&amp;START_MAXIMIZED=FALSE&amp;creator=factset&amp;display_string=Audit"}</definedName>
    <definedName name="_2520__FDSAUDITLINK__" hidden="1">{"fdsup://directions/FAT Viewer?action=UPDATE&amp;creator=factset&amp;DYN_ARGS=TRUE&amp;DOC_NAME=FAT:FQL_AUDITING_CLIENT_TEMPLATE.FAT&amp;display_string=Audit&amp;VAR:KEY=BKDCTGPMZY&amp;VAR:QUERY=RkZfUlRfU0ZfVE9UX0dST1NTKFFUUiwtMTkp&amp;WINDOW=FIRST_POPUP&amp;HEIGHT=450&amp;WIDTH=450&amp;START_MA","XIMIZED=FALSE&amp;VAR:CALENDAR=US&amp;VAR:SYMBOL=AEO&amp;VAR:INDEX=0"}</definedName>
    <definedName name="_2521__FDSAUDITLINK__" hidden="1">{"fdsup://directions/FAT Viewer?action=UPDATE&amp;creator=factset&amp;DYN_ARGS=TRUE&amp;DOC_NAME=FAT:FQL_AUDITING_CLIENT_TEMPLATE.FAT&amp;display_string=Audit&amp;VAR:KEY=VABGPMHULC&amp;VAR:QUERY=RkZfUlRfU0ZfVE9UX0dST1NTKFFUUiwtMjAp&amp;WINDOW=FIRST_POPUP&amp;HEIGHT=450&amp;WIDTH=450&amp;START_MA","XIMIZED=FALSE&amp;VAR:CALENDAR=US&amp;VAR:SYMBOL=TLB&amp;VAR:INDEX=0"}</definedName>
    <definedName name="_2522__FDSAUDITLINK__" hidden="1">{"fdsup://Directions/FactSet Auditing Viewer?action=AUDIT_VALUE&amp;DB=129&amp;ID1=03611510&amp;VALUEID=13040&amp;SDATE=200501&amp;PERIODTYPE=QTR_STD&amp;window=popup_no_bar&amp;width=385&amp;height=120&amp;START_MAXIMIZED=FALSE&amp;creator=factset&amp;display_string=Audit"}</definedName>
    <definedName name="_2523__FDSAUDITLINK__" hidden="1">{"fdsup://directions/FAT Viewer?action=UPDATE&amp;creator=factset&amp;DYN_ARGS=TRUE&amp;DOC_NAME=FAT:FQL_AUDITING_CLIENT_TEMPLATE.FAT&amp;display_string=Audit&amp;VAR:KEY=VMROTQVYPS&amp;VAR:QUERY=RkZfUlRfU0ZfVE9UX0dST1NTKFFUUiwtMjAp&amp;WINDOW=FIRST_POPUP&amp;HEIGHT=450&amp;WIDTH=450&amp;START_MA","XIMIZED=FALSE&amp;VAR:CALENDAR=US&amp;VAR:SYMBOL=AEO&amp;VAR:INDEX=0"}</definedName>
    <definedName name="_2524__FDSAUDITLINK__" hidden="1">{"fdsup://Directions/FactSet Auditing Viewer?action=AUDIT_VALUE&amp;DB=129&amp;ID1=16890510&amp;VALUEID=13040&amp;SDATE=200602&amp;PERIODTYPE=QTR_STD&amp;window=popup_no_bar&amp;width=385&amp;height=120&amp;START_MAXIMIZED=FALSE&amp;creator=factset&amp;display_string=Audit"}</definedName>
    <definedName name="_2525__FDSAUDITLINK__" hidden="1">{"fdsup://Directions/FactSet Auditing Viewer?action=AUDIT_VALUE&amp;DB=129&amp;ID1=16890510&amp;VALUEID=13040&amp;SDATE=200601&amp;PERIODTYPE=QTR_STD&amp;window=popup_no_bar&amp;width=385&amp;height=120&amp;START_MAXIMIZED=FALSE&amp;creator=factset&amp;display_string=Audit"}</definedName>
    <definedName name="_2526__FDSAUDITLINK__" hidden="1">{"fdsup://Directions/FactSet Auditing Viewer?action=AUDIT_VALUE&amp;DB=129&amp;ID1=16890510&amp;VALUEID=13040&amp;SDATE=200603&amp;PERIODTYPE=QTR_STD&amp;window=popup_no_bar&amp;width=385&amp;height=120&amp;START_MAXIMIZED=FALSE&amp;creator=factset&amp;display_string=Audit"}</definedName>
    <definedName name="_2527__FDSAUDITLINK__" hidden="1">{"fdsup://Directions/FactSet Auditing Viewer?action=AUDIT_VALUE&amp;DB=129&amp;ID1=16890510&amp;VALUEID=13040&amp;SDATE=200702&amp;PERIODTYPE=QTR_STD&amp;window=popup_no_bar&amp;width=385&amp;height=120&amp;START_MAXIMIZED=FALSE&amp;creator=factset&amp;display_string=Audit"}</definedName>
    <definedName name="_2528__FDSAUDITLINK__" hidden="1">{"fdsup://Directions/FactSet Auditing Viewer?action=AUDIT_VALUE&amp;DB=129&amp;ID1=16890510&amp;VALUEID=13040&amp;SDATE=200701&amp;PERIODTYPE=QTR_STD&amp;window=popup_no_bar&amp;width=385&amp;height=120&amp;START_MAXIMIZED=FALSE&amp;creator=factset&amp;display_string=Audit"}</definedName>
    <definedName name="_2529__FDSAUDITLINK__" hidden="1">{"fdsup://Directions/FactSet Auditing Viewer?action=AUDIT_VALUE&amp;DB=129&amp;ID1=16890510&amp;VALUEID=13040&amp;SDATE=200703&amp;PERIODTYPE=QTR_STD&amp;window=popup_no_bar&amp;width=385&amp;height=120&amp;START_MAXIMIZED=FALSE&amp;creator=factset&amp;display_string=Audit"}</definedName>
    <definedName name="_253__FDSAUDITLINK__" hidden="1">{"fdsup://Directions/FactSet Auditing Viewer?action=AUDIT_VALUE&amp;DB=129&amp;ID1=87416110&amp;VALUEID=01001&amp;SDATE=200701&amp;PERIODTYPE=QTR_STD&amp;window=popup_no_bar&amp;width=385&amp;height=120&amp;START_MAXIMIZED=FALSE&amp;creator=factset&amp;display_string=Audit"}</definedName>
    <definedName name="_2530__FDSAUDITLINK__" hidden="1">{"fdsup://Directions/FactSet Auditing Viewer?action=AUDIT_VALUE&amp;DB=129&amp;ID1=16890510&amp;VALUEID=13040&amp;SDATE=200802&amp;PERIODTYPE=QTR_STD&amp;window=popup_no_bar&amp;width=385&amp;height=120&amp;START_MAXIMIZED=FALSE&amp;creator=factset&amp;display_string=Audit"}</definedName>
    <definedName name="_2531__FDSAUDITLINK__" hidden="1">{"fdsup://Directions/FactSet Auditing Viewer?action=AUDIT_VALUE&amp;DB=129&amp;ID1=16890510&amp;VALUEID=13040&amp;SDATE=200801&amp;PERIODTYPE=QTR_STD&amp;window=popup_no_bar&amp;width=385&amp;height=120&amp;START_MAXIMIZED=FALSE&amp;creator=factset&amp;display_string=Audit"}</definedName>
    <definedName name="_2532__FDSAUDITLINK__" hidden="1">{"fdsup://Directions/FactSet Auditing Viewer?action=AUDIT_VALUE&amp;DB=129&amp;ID1=16890510&amp;VALUEID=13040&amp;SDATE=200803&amp;PERIODTYPE=QTR_STD&amp;window=popup_no_bar&amp;width=385&amp;height=120&amp;START_MAXIMIZED=FALSE&amp;creator=factset&amp;display_string=Audit"}</definedName>
    <definedName name="_2533__FDSAUDITLINK__" hidden="1">{"fdsup://Directions/FactSet Auditing Viewer?action=AUDIT_VALUE&amp;DB=129&amp;ID1=16890510&amp;VALUEID=13040&amp;SDATE=200902&amp;PERIODTYPE=QTR_STD&amp;window=popup_no_bar&amp;width=385&amp;height=120&amp;START_MAXIMIZED=FALSE&amp;creator=factset&amp;display_string=Audit"}</definedName>
    <definedName name="_2534__FDSAUDITLINK__" hidden="1">{"fdsup://Directions/FactSet Auditing Viewer?action=AUDIT_VALUE&amp;DB=129&amp;ID1=16890510&amp;VALUEID=13040&amp;SDATE=200903&amp;PERIODTYPE=QTR_STD&amp;window=popup_no_bar&amp;width=385&amp;height=120&amp;START_MAXIMIZED=FALSE&amp;creator=factset&amp;display_string=Audit"}</definedName>
    <definedName name="_2535__FDSAUDITLINK__" hidden="1">{"fdsup://Directions/FactSet Auditing Viewer?action=AUDIT_VALUE&amp;DB=129&amp;ID1=16890510&amp;VALUEID=13040&amp;SDATE=201001&amp;PERIODTYPE=QTR_STD&amp;window=popup_no_bar&amp;width=385&amp;height=120&amp;START_MAXIMIZED=FALSE&amp;creator=factset&amp;display_string=Audit"}</definedName>
    <definedName name="_2536__FDSAUDITLINK__" hidden="1">{"fdsup://Directions/FactSet Auditing Viewer?action=AUDIT_VALUE&amp;DB=129&amp;ID1=40377710&amp;VALUEID=01001&amp;SDATE=200601&amp;PERIODTYPE=QTR_STD&amp;window=popup_no_bar&amp;width=385&amp;height=120&amp;START_MAXIMIZED=FALSE&amp;creator=factset&amp;display_string=Audit"}</definedName>
    <definedName name="_2537__FDSAUDITLINK__" hidden="1">{"fdsup://Directions/FactSet Auditing Viewer?action=AUDIT_VALUE&amp;DB=129&amp;ID1=40377710&amp;VALUEID=02101&amp;SDATE=200601&amp;PERIODTYPE=QTR_STD&amp;window=popup_no_bar&amp;width=385&amp;height=120&amp;START_MAXIMIZED=FALSE&amp;creator=factset&amp;display_string=Audit"}</definedName>
    <definedName name="_2538__FDSAUDITLINK__" hidden="1">{"fdsup://Directions/FactSet Auditing Viewer?action=AUDIT_VALUE&amp;DB=129&amp;ID1=40377710&amp;VALUEID=01001&amp;SDATE=200602&amp;PERIODTYPE=QTR_STD&amp;window=popup_no_bar&amp;width=385&amp;height=120&amp;START_MAXIMIZED=FALSE&amp;creator=factset&amp;display_string=Audit"}</definedName>
    <definedName name="_2539__FDSAUDITLINK__" hidden="1">{"fdsup://Directions/FactSet Auditing Viewer?action=AUDIT_VALUE&amp;DB=129&amp;ID1=40377710&amp;VALUEID=02101&amp;SDATE=200602&amp;PERIODTYPE=QTR_STD&amp;window=popup_no_bar&amp;width=385&amp;height=120&amp;START_MAXIMIZED=FALSE&amp;creator=factset&amp;display_string=Audit"}</definedName>
    <definedName name="_254__FDSAUDITLINK__" hidden="1">{"fdsup://Directions/FactSet Auditing Viewer?action=AUDIT_VALUE&amp;DB=129&amp;ID1=53271610&amp;VALUEID=02101&amp;SDATE=200701&amp;PERIODTYPE=QTR_STD&amp;window=popup_no_bar&amp;width=385&amp;height=120&amp;START_MAXIMIZED=FALSE&amp;creator=factset&amp;display_string=Audit"}</definedName>
    <definedName name="_2540__FDSAUDITLINK__" hidden="1">{"fdsup://Directions/FactSet Auditing Viewer?action=AUDIT_VALUE&amp;DB=129&amp;ID1=40377710&amp;VALUEID=01001&amp;SDATE=200603&amp;PERIODTYPE=QTR_STD&amp;window=popup_no_bar&amp;width=385&amp;height=120&amp;START_MAXIMIZED=FALSE&amp;creator=factset&amp;display_string=Audit"}</definedName>
    <definedName name="_2541__FDSAUDITLINK__" hidden="1">{"fdsup://Directions/FactSet Auditing Viewer?action=AUDIT_VALUE&amp;DB=129&amp;ID1=40377710&amp;VALUEID=02101&amp;SDATE=200603&amp;PERIODTYPE=QTR_STD&amp;window=popup_no_bar&amp;width=385&amp;height=120&amp;START_MAXIMIZED=FALSE&amp;creator=factset&amp;display_string=Audit"}</definedName>
    <definedName name="_2542__FDSAUDITLINK__" hidden="1">{"fdsup://Directions/FactSet Auditing Viewer?action=AUDIT_VALUE&amp;DB=129&amp;ID1=40377710&amp;VALUEID=01001&amp;SDATE=200604&amp;PERIODTYPE=QTR_STD&amp;window=popup_no_bar&amp;width=385&amp;height=120&amp;START_MAXIMIZED=FALSE&amp;creator=factset&amp;display_string=Audit"}</definedName>
    <definedName name="_2543__FDSAUDITLINK__" hidden="1">{"fdsup://Directions/FactSet Auditing Viewer?action=AUDIT_VALUE&amp;DB=129&amp;ID1=40377710&amp;VALUEID=01001&amp;SDATE=200701&amp;PERIODTYPE=QTR_STD&amp;window=popup_no_bar&amp;width=385&amp;height=120&amp;START_MAXIMIZED=FALSE&amp;creator=factset&amp;display_string=Audit"}</definedName>
    <definedName name="_2544__FDSAUDITLINK__" hidden="1">{"fdsup://Directions/FactSet Auditing Viewer?action=AUDIT_VALUE&amp;DB=129&amp;ID1=40377710&amp;VALUEID=02101&amp;SDATE=200701&amp;PERIODTYPE=QTR_STD&amp;window=popup_no_bar&amp;width=385&amp;height=120&amp;START_MAXIMIZED=FALSE&amp;creator=factset&amp;display_string=Audit"}</definedName>
    <definedName name="_2545__FDSAUDITLINK__" hidden="1">{"fdsup://Directions/FactSet Auditing Viewer?action=AUDIT_VALUE&amp;DB=129&amp;ID1=40377710&amp;VALUEID=01001&amp;SDATE=200702&amp;PERIODTYPE=QTR_STD&amp;window=popup_no_bar&amp;width=385&amp;height=120&amp;START_MAXIMIZED=FALSE&amp;creator=factset&amp;display_string=Audit"}</definedName>
    <definedName name="_2546__FDSAUDITLINK__" hidden="1">{"fdsup://Directions/FactSet Auditing Viewer?action=AUDIT_VALUE&amp;DB=129&amp;ID1=40377710&amp;VALUEID=02101&amp;SDATE=200702&amp;PERIODTYPE=QTR_STD&amp;window=popup_no_bar&amp;width=385&amp;height=120&amp;START_MAXIMIZED=FALSE&amp;creator=factset&amp;display_string=Audit"}</definedName>
    <definedName name="_2547__FDSAUDITLINK__" hidden="1">{"fdsup://Directions/FactSet Auditing Viewer?action=AUDIT_VALUE&amp;DB=129&amp;ID1=40377710&amp;VALUEID=01001&amp;SDATE=200703&amp;PERIODTYPE=QTR_STD&amp;window=popup_no_bar&amp;width=385&amp;height=120&amp;START_MAXIMIZED=FALSE&amp;creator=factset&amp;display_string=Audit"}</definedName>
    <definedName name="_2548__FDSAUDITLINK__" hidden="1">{"fdsup://Directions/FactSet Auditing Viewer?action=AUDIT_VALUE&amp;DB=129&amp;ID1=40377710&amp;VALUEID=02101&amp;SDATE=200703&amp;PERIODTYPE=QTR_STD&amp;window=popup_no_bar&amp;width=385&amp;height=120&amp;START_MAXIMIZED=FALSE&amp;creator=factset&amp;display_string=Audit"}</definedName>
    <definedName name="_2549__FDSAUDITLINK__" hidden="1">{"fdsup://Directions/FactSet Auditing Viewer?action=AUDIT_VALUE&amp;DB=129&amp;ID1=40377710&amp;VALUEID=01001&amp;SDATE=200704&amp;PERIODTYPE=QTR_STD&amp;window=popup_no_bar&amp;width=385&amp;height=120&amp;START_MAXIMIZED=FALSE&amp;creator=factset&amp;display_string=Audit"}</definedName>
    <definedName name="_255__FDSAUDITLINK__" hidden="1">{"fdsup://Directions/FactSet Auditing Viewer?action=AUDIT_VALUE&amp;DB=129&amp;ID1=53271610&amp;VALUEID=01001&amp;SDATE=200701&amp;PERIODTYPE=QTR_STD&amp;window=popup_no_bar&amp;width=385&amp;height=120&amp;START_MAXIMIZED=FALSE&amp;creator=factset&amp;display_string=Audit"}</definedName>
    <definedName name="_2550__FDSAUDITLINK__" hidden="1">{"fdsup://Directions/FactSet Auditing Viewer?action=AUDIT_VALUE&amp;DB=129&amp;ID1=40377710&amp;VALUEID=01001&amp;SDATE=200801&amp;PERIODTYPE=QTR_STD&amp;window=popup_no_bar&amp;width=385&amp;height=120&amp;START_MAXIMIZED=FALSE&amp;creator=factset&amp;display_string=Audit"}</definedName>
    <definedName name="_2551__FDSAUDITLINK__" hidden="1">{"fdsup://Directions/FactSet Auditing Viewer?action=AUDIT_VALUE&amp;DB=129&amp;ID1=40377710&amp;VALUEID=02101&amp;SDATE=200801&amp;PERIODTYPE=QTR_STD&amp;window=popup_no_bar&amp;width=385&amp;height=120&amp;START_MAXIMIZED=FALSE&amp;creator=factset&amp;display_string=Audit"}</definedName>
    <definedName name="_2552__FDSAUDITLINK__" hidden="1">{"fdsup://Directions/FactSet Auditing Viewer?action=AUDIT_VALUE&amp;DB=129&amp;ID1=40377710&amp;VALUEID=01001&amp;SDATE=200802&amp;PERIODTYPE=QTR_STD&amp;window=popup_no_bar&amp;width=385&amp;height=120&amp;START_MAXIMIZED=FALSE&amp;creator=factset&amp;display_string=Audit"}</definedName>
    <definedName name="_2553__FDSAUDITLINK__" hidden="1">{"fdsup://Directions/FactSet Auditing Viewer?action=AUDIT_VALUE&amp;DB=129&amp;ID1=40377710&amp;VALUEID=02101&amp;SDATE=200802&amp;PERIODTYPE=QTR_STD&amp;window=popup_no_bar&amp;width=385&amp;height=120&amp;START_MAXIMIZED=FALSE&amp;creator=factset&amp;display_string=Audit"}</definedName>
    <definedName name="_2554__FDSAUDITLINK__" hidden="1">{"fdsup://Directions/FactSet Auditing Viewer?action=AUDIT_VALUE&amp;DB=129&amp;ID1=40377710&amp;VALUEID=01001&amp;SDATE=200803&amp;PERIODTYPE=QTR_STD&amp;window=popup_no_bar&amp;width=385&amp;height=120&amp;START_MAXIMIZED=FALSE&amp;creator=factset&amp;display_string=Audit"}</definedName>
    <definedName name="_2555__FDSAUDITLINK__" hidden="1">{"fdsup://Directions/FactSet Auditing Viewer?action=AUDIT_VALUE&amp;DB=129&amp;ID1=40377710&amp;VALUEID=02101&amp;SDATE=200803&amp;PERIODTYPE=QTR_STD&amp;window=popup_no_bar&amp;width=385&amp;height=120&amp;START_MAXIMIZED=FALSE&amp;creator=factset&amp;display_string=Audit"}</definedName>
    <definedName name="_2556__FDSAUDITLINK__" hidden="1">{"fdsup://Directions/FactSet Auditing Viewer?action=AUDIT_VALUE&amp;DB=129&amp;ID1=40377710&amp;VALUEID=01001&amp;SDATE=200804&amp;PERIODTYPE=QTR_STD&amp;window=popup_no_bar&amp;width=385&amp;height=120&amp;START_MAXIMIZED=FALSE&amp;creator=factset&amp;display_string=Audit"}</definedName>
    <definedName name="_2557__FDSAUDITLINK__" hidden="1">{"fdsup://Directions/FactSet Auditing Viewer?action=AUDIT_VALUE&amp;DB=129&amp;ID1=40377710&amp;VALUEID=01001&amp;SDATE=200901&amp;PERIODTYPE=QTR_STD&amp;window=popup_no_bar&amp;width=385&amp;height=120&amp;START_MAXIMIZED=FALSE&amp;creator=factset&amp;display_string=Audit"}</definedName>
    <definedName name="_2558__FDSAUDITLINK__" hidden="1">{"fdsup://Directions/FactSet Auditing Viewer?action=AUDIT_VALUE&amp;DB=129&amp;ID1=40377710&amp;VALUEID=02101&amp;SDATE=200901&amp;PERIODTYPE=QTR_STD&amp;window=popup_no_bar&amp;width=385&amp;height=120&amp;START_MAXIMIZED=FALSE&amp;creator=factset&amp;display_string=Audit"}</definedName>
    <definedName name="_2559__FDSAUDITLINK__" hidden="1">{"fdsup://Directions/FactSet Auditing Viewer?action=AUDIT_VALUE&amp;DB=129&amp;ID1=40377710&amp;VALUEID=01001&amp;SDATE=200902&amp;PERIODTYPE=QTR_STD&amp;window=popup_no_bar&amp;width=385&amp;height=120&amp;START_MAXIMIZED=FALSE&amp;creator=factset&amp;display_string=Audit"}</definedName>
    <definedName name="_256__FDSAUDITLINK__" hidden="1">{"fdsup://Directions/FactSet Auditing Viewer?action=AUDIT_VALUE&amp;DB=129&amp;ID1=53271610&amp;VALUEID=13040&amp;SDATE=200701&amp;PERIODTYPE=QTR_STD&amp;window=popup_no_bar&amp;width=385&amp;height=120&amp;START_MAXIMIZED=FALSE&amp;creator=factset&amp;display_string=Audit"}</definedName>
    <definedName name="_2560__FDSAUDITLINK__" hidden="1">{"fdsup://Directions/FactSet Auditing Viewer?action=AUDIT_VALUE&amp;DB=129&amp;ID1=40377710&amp;VALUEID=02101&amp;SDATE=200902&amp;PERIODTYPE=QTR_STD&amp;window=popup_no_bar&amp;width=385&amp;height=120&amp;START_MAXIMIZED=FALSE&amp;creator=factset&amp;display_string=Audit"}</definedName>
    <definedName name="_2561__FDSAUDITLINK__" hidden="1">{"fdsup://Directions/FactSet Auditing Viewer?action=AUDIT_VALUE&amp;DB=129&amp;ID1=40377710&amp;VALUEID=01001&amp;SDATE=200903&amp;PERIODTYPE=QTR_STD&amp;window=popup_no_bar&amp;width=385&amp;height=120&amp;START_MAXIMIZED=FALSE&amp;creator=factset&amp;display_string=Audit"}</definedName>
    <definedName name="_2562__FDSAUDITLINK__" hidden="1">{"fdsup://Directions/FactSet Auditing Viewer?action=AUDIT_VALUE&amp;DB=129&amp;ID1=40377710&amp;VALUEID=02101&amp;SDATE=200903&amp;PERIODTYPE=QTR_STD&amp;window=popup_no_bar&amp;width=385&amp;height=120&amp;START_MAXIMIZED=FALSE&amp;creator=factset&amp;display_string=Audit"}</definedName>
    <definedName name="_2563__FDSAUDITLINK__" hidden="1">{"fdsup://Directions/FactSet Auditing Viewer?action=AUDIT_VALUE&amp;DB=129&amp;ID1=40377710&amp;VALUEID=01001&amp;SDATE=200904&amp;PERIODTYPE=QTR_STD&amp;window=popup_no_bar&amp;width=385&amp;height=120&amp;START_MAXIMIZED=FALSE&amp;creator=factset&amp;display_string=Audit"}</definedName>
    <definedName name="_2564__FDSAUDITLINK__" hidden="1">{"fdsup://Directions/FactSet Auditing Viewer?action=AUDIT_VALUE&amp;DB=129&amp;ID1=40377710&amp;VALUEID=02101&amp;SDATE=201001&amp;PERIODTYPE=QTR_STD&amp;window=popup_no_bar&amp;width=385&amp;height=120&amp;START_MAXIMIZED=FALSE&amp;creator=factset&amp;display_string=Audit"}</definedName>
    <definedName name="_2565__FDSAUDITLINK__" hidden="1">{"fdsup://directions/FAT Viewer?action=UPDATE&amp;creator=factset&amp;DYN_ARGS=TRUE&amp;DOC_NAME=FAT:FQL_AUDITING_CLIENT_TEMPLATE.FAT&amp;display_string=Audit&amp;VAR:KEY=TIVULSDMDS&amp;VAR:QUERY=RkZfUlRfU0ZfVE9UX0dST1NTKFFUUiwtNDQp&amp;WINDOW=FIRST_POPUP&amp;HEIGHT=450&amp;WIDTH=450&amp;START_MA","XIMIZED=FALSE&amp;VAR:CALENDAR=US&amp;VAR:SYMBOL=GYMB&amp;VAR:INDEX=0"}</definedName>
    <definedName name="_2566__FDSAUDITLINK__" hidden="1">{"fdsup://directions/FAT Viewer?action=UPDATE&amp;creator=factset&amp;DYN_ARGS=TRUE&amp;DOC_NAME=FAT:FQL_AUDITING_CLIENT_TEMPLATE.FAT&amp;display_string=Audit&amp;VAR:KEY=LGPIREFUFO&amp;VAR:QUERY=RkZfUlRfU0ZfVE9UX0dST1NTKFFUUiwtNDMp&amp;WINDOW=FIRST_POPUP&amp;HEIGHT=450&amp;WIDTH=450&amp;START_MA","XIMIZED=FALSE&amp;VAR:CALENDAR=US&amp;VAR:SYMBOL=GYMB&amp;VAR:INDEX=0"}</definedName>
    <definedName name="_2567__FDSAUDITLINK__" hidden="1">{"fdsup://directions/FAT Viewer?action=UPDATE&amp;creator=factset&amp;DYN_ARGS=TRUE&amp;DOC_NAME=FAT:FQL_AUDITING_CLIENT_TEMPLATE.FAT&amp;display_string=Audit&amp;VAR:KEY=JYTABURKFY&amp;VAR:QUERY=RkZfUlRfU0ZfVE9UX0dST1NTKFFUUiwtNDIp&amp;WINDOW=FIRST_POPUP&amp;HEIGHT=450&amp;WIDTH=450&amp;START_MA","XIMIZED=FALSE&amp;VAR:CALENDAR=US&amp;VAR:SYMBOL=GYMB&amp;VAR:INDEX=0"}</definedName>
    <definedName name="_2568__FDSAUDITLINK__" hidden="1">{"fdsup://directions/FAT Viewer?action=UPDATE&amp;creator=factset&amp;DYN_ARGS=TRUE&amp;DOC_NAME=FAT:FQL_AUDITING_CLIENT_TEMPLATE.FAT&amp;display_string=Audit&amp;VAR:KEY=NQZSJEVCTC&amp;VAR:QUERY=RkZfUlRfU0ZfVE9UX0dST1NTKFFUUiwtNDEp&amp;WINDOW=FIRST_POPUP&amp;HEIGHT=450&amp;WIDTH=450&amp;START_MA","XIMIZED=FALSE&amp;VAR:CALENDAR=US&amp;VAR:SYMBOL=GYMB&amp;VAR:INDEX=0"}</definedName>
    <definedName name="_2569__FDSAUDITLINK__" hidden="1">{"fdsup://directions/FAT Viewer?action=UPDATE&amp;creator=factset&amp;DYN_ARGS=TRUE&amp;DOC_NAME=FAT:FQL_AUDITING_CLIENT_TEMPLATE.FAT&amp;display_string=Audit&amp;VAR:KEY=VAXEBONQHK&amp;VAR:QUERY=RkZfUlRfU0ZfVE9UX0dST1NTKFFUUiwtNDAp&amp;WINDOW=FIRST_POPUP&amp;HEIGHT=450&amp;WIDTH=450&amp;START_MA","XIMIZED=FALSE&amp;VAR:CALENDAR=US&amp;VAR:SYMBOL=GYMB&amp;VAR:INDEX=0"}</definedName>
    <definedName name="_257__FDSAUDITLINK__" hidden="1">{"fdsup://Directions/FactSet Auditing Viewer?action=AUDIT_VALUE&amp;DB=129&amp;ID1=46612H40&amp;VALUEID=02101&amp;SDATE=200701&amp;PERIODTYPE=QTR_STD&amp;window=popup_no_bar&amp;width=385&amp;height=120&amp;START_MAXIMIZED=FALSE&amp;creator=factset&amp;display_string=Audit"}</definedName>
    <definedName name="_2570__FDSAUDITLINK__" hidden="1">{"fdsup://directions/FAT Viewer?action=UPDATE&amp;creator=factset&amp;DYN_ARGS=TRUE&amp;DOC_NAME=FAT:FQL_AUDITING_CLIENT_TEMPLATE.FAT&amp;display_string=Audit&amp;VAR:KEY=PIHQPQTEFG&amp;VAR:QUERY=RkZfUlRfU0ZfVE9UX0dST1NTKFFUUiwtMzkp&amp;WINDOW=FIRST_POPUP&amp;HEIGHT=450&amp;WIDTH=450&amp;START_MA","XIMIZED=FALSE&amp;VAR:CALENDAR=US&amp;VAR:SYMBOL=GYMB&amp;VAR:INDEX=0"}</definedName>
    <definedName name="_2571__FDSAUDITLINK__" hidden="1">{"fdsup://directions/FAT Viewer?action=UPDATE&amp;creator=factset&amp;DYN_ARGS=TRUE&amp;DOC_NAME=FAT:FQL_AUDITING_CLIENT_TEMPLATE.FAT&amp;display_string=Audit&amp;VAR:KEY=PWPALKRENU&amp;VAR:QUERY=RkZfUlRfU0ZfVE9UX0dST1NTKFFUUiwtMzgp&amp;WINDOW=FIRST_POPUP&amp;HEIGHT=450&amp;WIDTH=450&amp;START_MA","XIMIZED=FALSE&amp;VAR:CALENDAR=US&amp;VAR:SYMBOL=GYMB&amp;VAR:INDEX=0"}</definedName>
    <definedName name="_2572__FDSAUDITLINK__" hidden="1">{"fdsup://directions/FAT Viewer?action=UPDATE&amp;creator=factset&amp;DYN_ARGS=TRUE&amp;DOC_NAME=FAT:FQL_AUDITING_CLIENT_TEMPLATE.FAT&amp;display_string=Audit&amp;VAR:KEY=FKZQDQZSLI&amp;VAR:QUERY=RkZfUlRfU0ZfVE9UX0dST1NTKFFUUiwtMzcp&amp;WINDOW=FIRST_POPUP&amp;HEIGHT=450&amp;WIDTH=450&amp;START_MA","XIMIZED=FALSE&amp;VAR:CALENDAR=US&amp;VAR:SYMBOL=GYMB&amp;VAR:INDEX=0"}</definedName>
    <definedName name="_2573__FDSAUDITLINK__" hidden="1">{"fdsup://directions/FAT Viewer?action=UPDATE&amp;creator=factset&amp;DYN_ARGS=TRUE&amp;DOC_NAME=FAT:FQL_AUDITING_CLIENT_TEMPLATE.FAT&amp;display_string=Audit&amp;VAR:KEY=HQVKRWHAXM&amp;VAR:QUERY=RkZfUlRfU0ZfVE9UX0dST1NTKFFUUiwtMzYp&amp;WINDOW=FIRST_POPUP&amp;HEIGHT=450&amp;WIDTH=450&amp;START_MA","XIMIZED=FALSE&amp;VAR:CALENDAR=US&amp;VAR:SYMBOL=GYMB&amp;VAR:INDEX=0"}</definedName>
    <definedName name="_2574__FDSAUDITLINK__" hidden="1">{"fdsup://directions/FAT Viewer?action=UPDATE&amp;creator=factset&amp;DYN_ARGS=TRUE&amp;DOC_NAME=FAT:FQL_AUDITING_CLIENT_TEMPLATE.FAT&amp;display_string=Audit&amp;VAR:KEY=FKDCROBATC&amp;VAR:QUERY=RkZfUlRfU0ZfVE9UX0dST1NTKFFUUiwtMzUp&amp;WINDOW=FIRST_POPUP&amp;HEIGHT=450&amp;WIDTH=450&amp;START_MA","XIMIZED=FALSE&amp;VAR:CALENDAR=US&amp;VAR:SYMBOL=GYMB&amp;VAR:INDEX=0"}</definedName>
    <definedName name="_2575__FDSAUDITLINK__" hidden="1">{"fdsup://directions/FAT Viewer?action=UPDATE&amp;creator=factset&amp;DYN_ARGS=TRUE&amp;DOC_NAME=FAT:FQL_AUDITING_CLIENT_TEMPLATE.FAT&amp;display_string=Audit&amp;VAR:KEY=RGXKJGXSRY&amp;VAR:QUERY=RkZfUlRfU0ZfVE9UX0dST1NTKFFUUiwtMzQp&amp;WINDOW=FIRST_POPUP&amp;HEIGHT=450&amp;WIDTH=450&amp;START_MA","XIMIZED=FALSE&amp;VAR:CALENDAR=US&amp;VAR:SYMBOL=GYMB&amp;VAR:INDEX=0"}</definedName>
    <definedName name="_2576__FDSAUDITLINK__" hidden="1">{"fdsup://directions/FAT Viewer?action=UPDATE&amp;creator=factset&amp;DYN_ARGS=TRUE&amp;DOC_NAME=FAT:FQL_AUDITING_CLIENT_TEMPLATE.FAT&amp;display_string=Audit&amp;VAR:KEY=NEDCPADABM&amp;VAR:QUERY=RkZfUlRfU0ZfVE9UX0dST1NTKFFUUiwtMzMp&amp;WINDOW=FIRST_POPUP&amp;HEIGHT=450&amp;WIDTH=450&amp;START_MA","XIMIZED=FALSE&amp;VAR:CALENDAR=US&amp;VAR:SYMBOL=GYMB&amp;VAR:INDEX=0"}</definedName>
    <definedName name="_2577__FDSAUDITLINK__" hidden="1">{"fdsup://directions/FAT Viewer?action=UPDATE&amp;creator=factset&amp;DYN_ARGS=TRUE&amp;DOC_NAME=FAT:FQL_AUDITING_CLIENT_TEMPLATE.FAT&amp;display_string=Audit&amp;VAR:KEY=LSHCBIVWFW&amp;VAR:QUERY=RkZfUlRfU0ZfVE9UX0dST1NTKFFUUiwtMzIp&amp;WINDOW=FIRST_POPUP&amp;HEIGHT=450&amp;WIDTH=450&amp;START_MA","XIMIZED=FALSE&amp;VAR:CALENDAR=US&amp;VAR:SYMBOL=GYMB&amp;VAR:INDEX=0"}</definedName>
    <definedName name="_2578__FDSAUDITLINK__" hidden="1">{"fdsup://directions/FAT Viewer?action=UPDATE&amp;creator=factset&amp;DYN_ARGS=TRUE&amp;DOC_NAME=FAT:FQL_AUDITING_CLIENT_TEMPLATE.FAT&amp;display_string=Audit&amp;VAR:KEY=RIBYZAVYBO&amp;VAR:QUERY=RkZfUlRfU0ZfVE9UX0dST1NTKFFUUiwtMzEp&amp;WINDOW=FIRST_POPUP&amp;HEIGHT=450&amp;WIDTH=450&amp;START_MA","XIMIZED=FALSE&amp;VAR:CALENDAR=US&amp;VAR:SYMBOL=GYMB&amp;VAR:INDEX=0"}</definedName>
    <definedName name="_2579__FDSAUDITLINK__" hidden="1">{"fdsup://directions/FAT Viewer?action=UPDATE&amp;creator=factset&amp;DYN_ARGS=TRUE&amp;DOC_NAME=FAT:FQL_AUDITING_CLIENT_TEMPLATE.FAT&amp;display_string=Audit&amp;VAR:KEY=DKPUNITODE&amp;VAR:QUERY=RkZfUlRfU0ZfVE9UX0dST1NTKFFUUiwtMzAp&amp;WINDOW=FIRST_POPUP&amp;HEIGHT=450&amp;WIDTH=450&amp;START_MA","XIMIZED=FALSE&amp;VAR:CALENDAR=US&amp;VAR:SYMBOL=GYMB&amp;VAR:INDEX=0"}</definedName>
    <definedName name="_258__FDSAUDITLINK__" hidden="1">{"fdsup://Directions/FactSet Auditing Viewer?action=AUDIT_VALUE&amp;DB=129&amp;ID1=46612H40&amp;VALUEID=01001&amp;SDATE=200701&amp;PERIODTYPE=QTR_STD&amp;window=popup_no_bar&amp;width=385&amp;height=120&amp;START_MAXIMIZED=FALSE&amp;creator=factset&amp;display_string=Audit"}</definedName>
    <definedName name="_2580__FDSAUDITLINK__" hidden="1">{"fdsup://directions/FAT Viewer?action=UPDATE&amp;creator=factset&amp;DYN_ARGS=TRUE&amp;DOC_NAME=FAT:FQL_AUDITING_CLIENT_TEMPLATE.FAT&amp;display_string=Audit&amp;VAR:KEY=DCZMDKFYDS&amp;VAR:QUERY=RkZfUlRfU0ZfVE9UX0dST1NTKFFUUiwtMjkp&amp;WINDOW=FIRST_POPUP&amp;HEIGHT=450&amp;WIDTH=450&amp;START_MA","XIMIZED=FALSE&amp;VAR:CALENDAR=US&amp;VAR:SYMBOL=GYMB&amp;VAR:INDEX=0"}</definedName>
    <definedName name="_2581__FDSAUDITLINK__" hidden="1">{"fdsup://directions/FAT Viewer?action=UPDATE&amp;creator=factset&amp;DYN_ARGS=TRUE&amp;DOC_NAME=FAT:FQL_AUDITING_CLIENT_TEMPLATE.FAT&amp;display_string=Audit&amp;VAR:KEY=REBEDKBEJS&amp;VAR:QUERY=RkZfUlRfU0ZfVE9UX0dST1NTKFFUUiwtMjgp&amp;WINDOW=FIRST_POPUP&amp;HEIGHT=450&amp;WIDTH=450&amp;START_MA","XIMIZED=FALSE&amp;VAR:CALENDAR=US&amp;VAR:SYMBOL=GYMB&amp;VAR:INDEX=0"}</definedName>
    <definedName name="_2582__FDSAUDITLINK__" hidden="1">{"fdsup://directions/FAT Viewer?action=UPDATE&amp;creator=factset&amp;DYN_ARGS=TRUE&amp;DOC_NAME=FAT:FQL_AUDITING_CLIENT_TEMPLATE.FAT&amp;display_string=Audit&amp;VAR:KEY=LOPKLIVKBE&amp;VAR:QUERY=RkZfUlRfU0ZfVE9UX0dST1NTKFFUUiwtMjcp&amp;WINDOW=FIRST_POPUP&amp;HEIGHT=450&amp;WIDTH=450&amp;START_MA","XIMIZED=FALSE&amp;VAR:CALENDAR=US&amp;VAR:SYMBOL=GYMB&amp;VAR:INDEX=0"}</definedName>
    <definedName name="_2583__FDSAUDITLINK__" hidden="1">{"fdsup://directions/FAT Viewer?action=UPDATE&amp;creator=factset&amp;DYN_ARGS=TRUE&amp;DOC_NAME=FAT:FQL_AUDITING_CLIENT_TEMPLATE.FAT&amp;display_string=Audit&amp;VAR:KEY=HWTMTYBQHY&amp;VAR:QUERY=RkZfUlRfU0ZfVE9UX0dST1NTKFFUUiwtMjYp&amp;WINDOW=FIRST_POPUP&amp;HEIGHT=450&amp;WIDTH=450&amp;START_MA","XIMIZED=FALSE&amp;VAR:CALENDAR=US&amp;VAR:SYMBOL=GYMB&amp;VAR:INDEX=0"}</definedName>
    <definedName name="_2584__FDSAUDITLINK__" hidden="1">{"fdsup://directions/FAT Viewer?action=UPDATE&amp;creator=factset&amp;DYN_ARGS=TRUE&amp;DOC_NAME=FAT:FQL_AUDITING_CLIENT_TEMPLATE.FAT&amp;display_string=Audit&amp;VAR:KEY=PUPOZEVABO&amp;VAR:QUERY=RkZfUlRfU0ZfVE9UX0dST1NTKFFUUiwtMjUp&amp;WINDOW=FIRST_POPUP&amp;HEIGHT=450&amp;WIDTH=450&amp;START_MA","XIMIZED=FALSE&amp;VAR:CALENDAR=US&amp;VAR:SYMBOL=GYMB&amp;VAR:INDEX=0"}</definedName>
    <definedName name="_2585__FDSAUDITLINK__" hidden="1">{"fdsup://directions/FAT Viewer?action=UPDATE&amp;creator=factset&amp;DYN_ARGS=TRUE&amp;DOC_NAME=FAT:FQL_AUDITING_CLIENT_TEMPLATE.FAT&amp;display_string=Audit&amp;VAR:KEY=DCZYDEDCZQ&amp;VAR:QUERY=RkZfUlRfU0ZfVE9UX0dST1NTKFFUUiwtMjQp&amp;WINDOW=FIRST_POPUP&amp;HEIGHT=450&amp;WIDTH=450&amp;START_MA","XIMIZED=FALSE&amp;VAR:CALENDAR=US&amp;VAR:SYMBOL=GYMB&amp;VAR:INDEX=0"}</definedName>
    <definedName name="_2586__FDSAUDITLINK__" hidden="1">{"fdsup://directions/FAT Viewer?action=UPDATE&amp;creator=factset&amp;DYN_ARGS=TRUE&amp;DOC_NAME=FAT:FQL_AUDITING_CLIENT_TEMPLATE.FAT&amp;display_string=Audit&amp;VAR:KEY=FOBGXGRATQ&amp;VAR:QUERY=RkZfUlRfU0ZfVE9UX0dST1NTKFFUUiwtMjMp&amp;WINDOW=FIRST_POPUP&amp;HEIGHT=450&amp;WIDTH=450&amp;START_MA","XIMIZED=FALSE&amp;VAR:CALENDAR=US&amp;VAR:SYMBOL=GYMB&amp;VAR:INDEX=0"}</definedName>
    <definedName name="_2587__FDSAUDITLINK__" hidden="1">{"fdsup://directions/FAT Viewer?action=UPDATE&amp;creator=factset&amp;DYN_ARGS=TRUE&amp;DOC_NAME=FAT:FQL_AUDITING_CLIENT_TEMPLATE.FAT&amp;display_string=Audit&amp;VAR:KEY=HIRWDWNUXK&amp;VAR:QUERY=RkZfUlRfU0ZfVE9UX0dST1NTKFFUUiwtMjIp&amp;WINDOW=FIRST_POPUP&amp;HEIGHT=450&amp;WIDTH=450&amp;START_MA","XIMIZED=FALSE&amp;VAR:CALENDAR=US&amp;VAR:SYMBOL=GYMB&amp;VAR:INDEX=0"}</definedName>
    <definedName name="_2588__FDSAUDITLINK__" hidden="1">{"fdsup://directions/FAT Viewer?action=UPDATE&amp;creator=factset&amp;DYN_ARGS=TRUE&amp;DOC_NAME=FAT:FQL_AUDITING_CLIENT_TEMPLATE.FAT&amp;display_string=Audit&amp;VAR:KEY=JURGFOXYHE&amp;VAR:QUERY=RkZfUlRfU0ZfVE9UX0dST1NTKFFUUiwtMjEp&amp;WINDOW=FIRST_POPUP&amp;HEIGHT=450&amp;WIDTH=450&amp;START_MA","XIMIZED=FALSE&amp;VAR:CALENDAR=US&amp;VAR:SYMBOL=GYMB&amp;VAR:INDEX=0"}</definedName>
    <definedName name="_2589__FDSAUDITLINK__" hidden="1">{"fdsup://directions/FAT Viewer?action=UPDATE&amp;creator=factset&amp;DYN_ARGS=TRUE&amp;DOC_NAME=FAT:FQL_AUDITING_CLIENT_TEMPLATE.FAT&amp;display_string=Audit&amp;VAR:KEY=DSNMNEJEJG&amp;VAR:QUERY=RkZfUlRfU0ZfVE9UX0dST1NTKFFUUiwtMjAp&amp;WINDOW=FIRST_POPUP&amp;HEIGHT=450&amp;WIDTH=450&amp;START_MA","XIMIZED=FALSE&amp;VAR:CALENDAR=US&amp;VAR:SYMBOL=GYMB&amp;VAR:INDEX=0"}</definedName>
    <definedName name="_259__FDSAUDITLINK__" hidden="1">{"fdsup://Directions/FactSet Auditing Viewer?action=AUDIT_VALUE&amp;DB=129&amp;ID1=46612H40&amp;VALUEID=13040&amp;SDATE=200701&amp;PERIODTYPE=QTR_STD&amp;window=popup_no_bar&amp;width=385&amp;height=120&amp;START_MAXIMIZED=FALSE&amp;creator=factset&amp;display_string=Audit"}</definedName>
    <definedName name="_2590__FDSAUDITLINK__" hidden="1">{"fdsup://directions/FAT Viewer?action=UPDATE&amp;creator=factset&amp;DYN_ARGS=TRUE&amp;DOC_NAME=FAT:FQL_AUDITING_CLIENT_TEMPLATE.FAT&amp;display_string=Audit&amp;VAR:KEY=PWTUNSTSTY&amp;VAR:QUERY=RkZfUlRfU0ZfVE9UX0dST1NTKFFUUiwtMTkp&amp;WINDOW=FIRST_POPUP&amp;HEIGHT=450&amp;WIDTH=450&amp;START_MA","XIMIZED=FALSE&amp;VAR:CALENDAR=US&amp;VAR:SYMBOL=GYMB&amp;VAR:INDEX=0"}</definedName>
    <definedName name="_2591__FDSAUDITLINK__" hidden="1">{"fdsup://directions/FAT Viewer?action=UPDATE&amp;creator=factset&amp;DYN_ARGS=TRUE&amp;DOC_NAME=FAT:FQL_AUDITING_CLIENT_TEMPLATE.FAT&amp;display_string=Audit&amp;VAR:KEY=ZQNKHKRKLC&amp;VAR:QUERY=RkZfUlRfU0ZfVE9UX0dST1NTKFFUUiwtMTgp&amp;WINDOW=FIRST_POPUP&amp;HEIGHT=450&amp;WIDTH=450&amp;START_MA","XIMIZED=FALSE&amp;VAR:CALENDAR=US&amp;VAR:SYMBOL=GYMB&amp;VAR:INDEX=0"}</definedName>
    <definedName name="_2592__FDSAUDITLINK__" hidden="1">{"fdsup://Directions/FactSet Auditing Viewer?action=AUDIT_VALUE&amp;DB=129&amp;ID1=40377710&amp;VALUEID=13040&amp;SDATE=200802&amp;PERIODTYPE=QTR_STD&amp;window=popup_no_bar&amp;width=385&amp;height=120&amp;START_MAXIMIZED=FALSE&amp;creator=factset&amp;display_string=Audit"}</definedName>
    <definedName name="_2593__FDSAUDITLINK__" hidden="1">{"fdsup://directions/FAT Viewer?action=UPDATE&amp;creator=factset&amp;DYN_ARGS=TRUE&amp;DOC_NAME=FAT:FQL_AUDITING_CLIENT_TEMPLATE.FAT&amp;display_string=Audit&amp;VAR:KEY=NUNSNKTEFS&amp;VAR:QUERY=RkZfUlRfU0ZfVE9UX0dST1NTKFFUUiwtNyk=&amp;WINDOW=FIRST_POPUP&amp;HEIGHT=450&amp;WIDTH=450&amp;START_MA","XIMIZED=FALSE&amp;VAR:CALENDAR=US&amp;VAR:SYMBOL=GYMB&amp;VAR:INDEX=0"}</definedName>
    <definedName name="_2594__FDSAUDITLINK__" hidden="1">{"fdsup://Directions/FactSet Auditing Viewer?action=AUDIT_VALUE&amp;DB=129&amp;ID1=40377710&amp;VALUEID=13040&amp;SDATE=200803&amp;PERIODTYPE=QTR_STD&amp;window=popup_no_bar&amp;width=385&amp;height=120&amp;START_MAXIMIZED=FALSE&amp;creator=factset&amp;display_string=Audit"}</definedName>
    <definedName name="_2595__FDSAUDITLINK__" hidden="1">{"fdsup://directions/FAT Viewer?action=UPDATE&amp;creator=factset&amp;DYN_ARGS=TRUE&amp;DOC_NAME=FAT:FQL_AUDITING_CLIENT_TEMPLATE.FAT&amp;display_string=Audit&amp;VAR:KEY=BGRGLCFUJA&amp;VAR:QUERY=RkZfUlRfU0ZfVE9UX0dST1NTKFFUUiwtNik=&amp;WINDOW=FIRST_POPUP&amp;HEIGHT=450&amp;WIDTH=450&amp;START_MA","XIMIZED=FALSE&amp;VAR:CALENDAR=US&amp;VAR:SYMBOL=GYMB&amp;VAR:INDEX=0"}</definedName>
    <definedName name="_2596__FDSAUDITLINK__" hidden="1">{"fdsup://directions/FAT Viewer?action=UPDATE&amp;creator=factset&amp;DYN_ARGS=TRUE&amp;DOC_NAME=FAT:FQL_AUDITING_CLIENT_TEMPLATE.FAT&amp;display_string=Audit&amp;VAR:KEY=FQBWFOZQXU&amp;VAR:QUERY=RkZfUlRfU0ZfVE9UX0dST1NTKFFUUiwtNSk=&amp;WINDOW=FIRST_POPUP&amp;HEIGHT=450&amp;WIDTH=450&amp;START_MA","XIMIZED=FALSE&amp;VAR:CALENDAR=US&amp;VAR:SYMBOL=GYMB&amp;VAR:INDEX=0"}</definedName>
    <definedName name="_2597__FDSAUDITLINK__" hidden="1">{"fdsup://Directions/FactSet Auditing Viewer?action=AUDIT_VALUE&amp;DB=129&amp;ID1=40377710&amp;VALUEID=13040&amp;SDATE=200901&amp;PERIODTYPE=QTR_STD&amp;window=popup_no_bar&amp;width=385&amp;height=120&amp;START_MAXIMIZED=FALSE&amp;creator=factset&amp;display_string=Audit"}</definedName>
    <definedName name="_2598__FDSAUDITLINK__" hidden="1">{"fdsup://directions/FAT Viewer?action=UPDATE&amp;creator=factset&amp;DYN_ARGS=TRUE&amp;DOC_NAME=FAT:FQL_AUDITING_CLIENT_TEMPLATE.FAT&amp;display_string=Audit&amp;VAR:KEY=JGROVCLUZW&amp;VAR:QUERY=RkZfUlRfU0ZfVE9UX0dST1NTKFFUUiwtNCk=&amp;WINDOW=FIRST_POPUP&amp;HEIGHT=450&amp;WIDTH=450&amp;START_MA","XIMIZED=FALSE&amp;VAR:CALENDAR=US&amp;VAR:SYMBOL=GYMB&amp;VAR:INDEX=0"}</definedName>
    <definedName name="_2599__FDSAUDITLINK__" hidden="1">{"fdsup://Directions/FactSet Auditing Viewer?action=AUDIT_VALUE&amp;DB=129&amp;ID1=40377710&amp;VALUEID=13040&amp;SDATE=201001&amp;PERIODTYPE=QTR_STD&amp;window=popup_no_bar&amp;width=385&amp;height=120&amp;START_MAXIMIZED=FALSE&amp;creator=factset&amp;display_string=Audit"}</definedName>
    <definedName name="_26__FDSAUDITLINK__" hidden="1">{"fdsup://Directions/FactSet Auditing Viewer?action=AUDIT_VALUE&amp;DB=129&amp;ID1=16890510&amp;VALUEID=01001&amp;SDATE=200904&amp;PERIODTYPE=QTR_STD&amp;window=popup_no_bar&amp;width=385&amp;height=120&amp;START_MAXIMIZED=FALSE&amp;creator=factset&amp;display_string=Audit"}</definedName>
    <definedName name="_260__FDSAUDITLINK__" hidden="1">{"fdsup://Directions/FactSet Auditing Viewer?action=AUDIT_VALUE&amp;DB=129&amp;ID1=36476010&amp;VALUEID=02101&amp;SDATE=200701&amp;PERIODTYPE=QTR_STD&amp;window=popup_no_bar&amp;width=385&amp;height=120&amp;START_MAXIMIZED=FALSE&amp;creator=factset&amp;display_string=Audit"}</definedName>
    <definedName name="_2600__FDSAUDITLINK__" hidden="1">{"fdsup://Directions/FactSet Auditing Viewer?action=AUDIT_VALUE&amp;DB=129&amp;ID1=40377710&amp;VALUEID=13040&amp;SDATE=200602&amp;PERIODTYPE=QTR_STD&amp;window=popup_no_bar&amp;width=385&amp;height=120&amp;START_MAXIMIZED=FALSE&amp;creator=factset&amp;display_string=Audit"}</definedName>
    <definedName name="_2601__FDSAUDITLINK__" hidden="1">{"fdsup://Directions/FactSet Auditing Viewer?action=AUDIT_VALUE&amp;DB=129&amp;ID1=40377710&amp;VALUEID=13040&amp;SDATE=200601&amp;PERIODTYPE=QTR_STD&amp;window=popup_no_bar&amp;width=385&amp;height=120&amp;START_MAXIMIZED=FALSE&amp;creator=factset&amp;display_string=Audit"}</definedName>
    <definedName name="_2602__FDSAUDITLINK__" hidden="1">{"fdsup://directions/FAT Viewer?action=UPDATE&amp;creator=factset&amp;DYN_ARGS=TRUE&amp;DOC_NAME=FAT:FQL_AUDITING_CLIENT_TEMPLATE.FAT&amp;display_string=Audit&amp;VAR:KEY=XGDODMRERE&amp;VAR:QUERY=RkZfUlRfU0ZfVE9UX0dST1NTKFFUUiwtMTcp&amp;WINDOW=FIRST_POPUP&amp;HEIGHT=450&amp;WIDTH=450&amp;START_MA","XIMIZED=FALSE&amp;VAR:CALENDAR=US&amp;VAR:SYMBOL=GYMB&amp;VAR:INDEX=0"}</definedName>
    <definedName name="_2603__FDSAUDITLINK__" hidden="1">{"fdsup://Directions/FactSet Auditing Viewer?action=AUDIT_VALUE&amp;DB=129&amp;ID1=40377710&amp;VALUEID=13040&amp;SDATE=200603&amp;PERIODTYPE=QTR_STD&amp;window=popup_no_bar&amp;width=385&amp;height=120&amp;START_MAXIMIZED=FALSE&amp;creator=factset&amp;display_string=Audit"}</definedName>
    <definedName name="_2604__FDSAUDITLINK__" hidden="1">{"fdsup://Directions/FactSet Auditing Viewer?action=AUDIT_VALUE&amp;DB=129&amp;ID1=40377710&amp;VALUEID=13040&amp;SDATE=200702&amp;PERIODTYPE=QTR_STD&amp;window=popup_no_bar&amp;width=385&amp;height=120&amp;START_MAXIMIZED=FALSE&amp;creator=factset&amp;display_string=Audit"}</definedName>
    <definedName name="_2605__FDSAUDITLINK__" hidden="1">{"fdsup://Directions/FactSet Auditing Viewer?action=AUDIT_VALUE&amp;DB=129&amp;ID1=40377710&amp;VALUEID=13040&amp;SDATE=200701&amp;PERIODTYPE=QTR_STD&amp;window=popup_no_bar&amp;width=385&amp;height=120&amp;START_MAXIMIZED=FALSE&amp;creator=factset&amp;display_string=Audit"}</definedName>
    <definedName name="_2606__FDSAUDITLINK__" hidden="1">{"fdsup://directions/FAT Viewer?action=UPDATE&amp;creator=factset&amp;DYN_ARGS=TRUE&amp;DOC_NAME=FAT:FQL_AUDITING_CLIENT_TEMPLATE.FAT&amp;display_string=Audit&amp;VAR:KEY=TCTMPMPOZI&amp;VAR:QUERY=RkZfUlRfU0ZfVE9UX0dST1NTKFFUUiwtMTMp&amp;WINDOW=FIRST_POPUP&amp;HEIGHT=450&amp;WIDTH=450&amp;START_MA","XIMIZED=FALSE&amp;VAR:CALENDAR=US&amp;VAR:SYMBOL=GYMB&amp;VAR:INDEX=0"}</definedName>
    <definedName name="_2607__FDSAUDITLINK__" hidden="1">{"fdsup://Directions/FactSet Auditing Viewer?action=AUDIT_VALUE&amp;DB=129&amp;ID1=40377710&amp;VALUEID=13040&amp;SDATE=200703&amp;PERIODTYPE=QTR_STD&amp;window=popup_no_bar&amp;width=385&amp;height=120&amp;START_MAXIMIZED=FALSE&amp;creator=factset&amp;display_string=Audit"}</definedName>
    <definedName name="_2608__FDSAUDITLINK__" hidden="1">{"fdsup://Directions/FactSet Auditing Viewer?action=AUDIT_VALUE&amp;DB=129&amp;ID1=40377710&amp;VALUEID=13040&amp;SDATE=200801&amp;PERIODTYPE=QTR_STD&amp;window=popup_no_bar&amp;width=385&amp;height=120&amp;START_MAXIMIZED=FALSE&amp;creator=factset&amp;display_string=Audit"}</definedName>
    <definedName name="_2609__FDSAUDITLINK__" hidden="1">{"fdsup://Directions/FactSet Auditing Viewer?action=AUDIT_VALUE&amp;DB=129&amp;ID1=40377710&amp;VALUEID=13040&amp;SDATE=200704&amp;PERIODTYPE=QTR_STD&amp;window=popup_no_bar&amp;width=385&amp;height=120&amp;START_MAXIMIZED=FALSE&amp;creator=factset&amp;display_string=Audit"}</definedName>
    <definedName name="_261__FDSAUDITLINK__" hidden="1">{"fdsup://Directions/FactSet Auditing Viewer?action=AUDIT_VALUE&amp;DB=129&amp;ID1=36476010&amp;VALUEID=01001&amp;SDATE=200701&amp;PERIODTYPE=QTR_STD&amp;window=popup_no_bar&amp;width=385&amp;height=120&amp;START_MAXIMIZED=FALSE&amp;creator=factset&amp;display_string=Audit"}</definedName>
    <definedName name="_2610__FDSAUDITLINK__" hidden="1">{"fdsup://directions/FAT Viewer?action=UPDATE&amp;creator=factset&amp;DYN_ARGS=TRUE&amp;DOC_NAME=FAT:FQL_AUDITING_CLIENT_TEMPLATE.FAT&amp;display_string=Audit&amp;VAR:KEY=TERAZMHAFK&amp;VAR:QUERY=RkZfUlRfU0ZfVE9UX0dST1NTKFFUUiwtOSk=&amp;WINDOW=FIRST_POPUP&amp;HEIGHT=450&amp;WIDTH=450&amp;START_MA","XIMIZED=FALSE&amp;VAR:CALENDAR=US&amp;VAR:SYMBOL=GYMB&amp;VAR:INDEX=0"}</definedName>
    <definedName name="_2611__FDSAUDITLINK__" hidden="1">{"fdsup://Directions/FactSet Auditing Viewer?action=AUDIT_VALUE&amp;DB=129&amp;ID1=40377710&amp;VALUEID=13040&amp;SDATE=200903&amp;PERIODTYPE=QTR_STD&amp;window=popup_no_bar&amp;width=385&amp;height=120&amp;START_MAXIMIZED=FALSE&amp;creator=factset&amp;display_string=Audit"}</definedName>
    <definedName name="_2612__FDSAUDITLINK__" hidden="1">{"fdsup://Directions/FactSet Auditing Viewer?action=AUDIT_VALUE&amp;DB=129&amp;ID1=40377710&amp;VALUEID=13040&amp;SDATE=200902&amp;PERIODTYPE=QTR_STD&amp;window=popup_no_bar&amp;width=385&amp;height=120&amp;START_MAXIMIZED=FALSE&amp;creator=factset&amp;display_string=Audit"}</definedName>
    <definedName name="_2613__FDSAUDITLINK__" hidden="1">{"fdsup://Directions/FactSet Auditing Viewer?action=AUDIT_VALUE&amp;DB=129&amp;ID1=58711810&amp;VALUEID=01001&amp;SDATE=200601&amp;PERIODTYPE=QTR_STD&amp;window=popup_no_bar&amp;width=385&amp;height=120&amp;START_MAXIMIZED=FALSE&amp;creator=factset&amp;display_string=Audit"}</definedName>
    <definedName name="_2614__FDSAUDITLINK__" hidden="1">{"fdsup://Directions/FactSet Auditing Viewer?action=AUDIT_VALUE&amp;DB=129&amp;ID1=58711810&amp;VALUEID=02101&amp;SDATE=200601&amp;PERIODTYPE=QTR_STD&amp;window=popup_no_bar&amp;width=385&amp;height=120&amp;START_MAXIMIZED=FALSE&amp;creator=factset&amp;display_string=Audit"}</definedName>
    <definedName name="_2615__FDSAUDITLINK__" hidden="1">{"fdsup://Directions/FactSet Auditing Viewer?action=AUDIT_VALUE&amp;DB=129&amp;ID1=58711810&amp;VALUEID=01001&amp;SDATE=200602&amp;PERIODTYPE=QTR_STD&amp;window=popup_no_bar&amp;width=385&amp;height=120&amp;START_MAXIMIZED=FALSE&amp;creator=factset&amp;display_string=Audit"}</definedName>
    <definedName name="_2616__FDSAUDITLINK__" hidden="1">{"fdsup://Directions/FactSet Auditing Viewer?action=AUDIT_VALUE&amp;DB=129&amp;ID1=58711810&amp;VALUEID=02101&amp;SDATE=200602&amp;PERIODTYPE=QTR_STD&amp;window=popup_no_bar&amp;width=385&amp;height=120&amp;START_MAXIMIZED=FALSE&amp;creator=factset&amp;display_string=Audit"}</definedName>
    <definedName name="_2617__FDSAUDITLINK__" hidden="1">{"fdsup://Directions/FactSet Auditing Viewer?action=AUDIT_VALUE&amp;DB=129&amp;ID1=58711810&amp;VALUEID=01001&amp;SDATE=200603&amp;PERIODTYPE=QTR_STD&amp;window=popup_no_bar&amp;width=385&amp;height=120&amp;START_MAXIMIZED=FALSE&amp;creator=factset&amp;display_string=Audit"}</definedName>
    <definedName name="_2618__FDSAUDITLINK__" hidden="1">{"fdsup://Directions/FactSet Auditing Viewer?action=AUDIT_VALUE&amp;DB=129&amp;ID1=58711810&amp;VALUEID=02101&amp;SDATE=200603&amp;PERIODTYPE=QTR_STD&amp;window=popup_no_bar&amp;width=385&amp;height=120&amp;START_MAXIMIZED=FALSE&amp;creator=factset&amp;display_string=Audit"}</definedName>
    <definedName name="_2619__FDSAUDITLINK__" hidden="1">{"fdsup://Directions/FactSet Auditing Viewer?action=AUDIT_VALUE&amp;DB=129&amp;ID1=58711810&amp;VALUEID=01001&amp;SDATE=200604&amp;PERIODTYPE=QTR_STD&amp;window=popup_no_bar&amp;width=385&amp;height=120&amp;START_MAXIMIZED=FALSE&amp;creator=factset&amp;display_string=Audit"}</definedName>
    <definedName name="_262__FDSAUDITLINK__" hidden="1">{"fdsup://Directions/FactSet Auditing Viewer?action=AUDIT_VALUE&amp;DB=129&amp;ID1=36476010&amp;VALUEID=13040&amp;SDATE=200701&amp;PERIODTYPE=QTR_STD&amp;window=popup_no_bar&amp;width=385&amp;height=120&amp;START_MAXIMIZED=FALSE&amp;creator=factset&amp;display_string=Audit"}</definedName>
    <definedName name="_2620__FDSAUDITLINK__" hidden="1">{"fdsup://Directions/FactSet Auditing Viewer?action=AUDIT_VALUE&amp;DB=129&amp;ID1=58711810&amp;VALUEID=01001&amp;SDATE=200701&amp;PERIODTYPE=QTR_STD&amp;window=popup_no_bar&amp;width=385&amp;height=120&amp;START_MAXIMIZED=FALSE&amp;creator=factset&amp;display_string=Audit"}</definedName>
    <definedName name="_2621__FDSAUDITLINK__" hidden="1">{"fdsup://Directions/FactSet Auditing Viewer?action=AUDIT_VALUE&amp;DB=129&amp;ID1=58711810&amp;VALUEID=02101&amp;SDATE=200701&amp;PERIODTYPE=QTR_STD&amp;window=popup_no_bar&amp;width=385&amp;height=120&amp;START_MAXIMIZED=FALSE&amp;creator=factset&amp;display_string=Audit"}</definedName>
    <definedName name="_2622__FDSAUDITLINK__" hidden="1">{"fdsup://Directions/FactSet Auditing Viewer?action=AUDIT_VALUE&amp;DB=129&amp;ID1=58711810&amp;VALUEID=01001&amp;SDATE=200702&amp;PERIODTYPE=QTR_STD&amp;window=popup_no_bar&amp;width=385&amp;height=120&amp;START_MAXIMIZED=FALSE&amp;creator=factset&amp;display_string=Audit"}</definedName>
    <definedName name="_2623__FDSAUDITLINK__" hidden="1">{"fdsup://Directions/FactSet Auditing Viewer?action=AUDIT_VALUE&amp;DB=129&amp;ID1=58711810&amp;VALUEID=02101&amp;SDATE=200702&amp;PERIODTYPE=QTR_STD&amp;window=popup_no_bar&amp;width=385&amp;height=120&amp;START_MAXIMIZED=FALSE&amp;creator=factset&amp;display_string=Audit"}</definedName>
    <definedName name="_2624__FDSAUDITLINK__" hidden="1">{"fdsup://Directions/FactSet Auditing Viewer?action=AUDIT_VALUE&amp;DB=129&amp;ID1=58711810&amp;VALUEID=01001&amp;SDATE=200703&amp;PERIODTYPE=QTR_STD&amp;window=popup_no_bar&amp;width=385&amp;height=120&amp;START_MAXIMIZED=FALSE&amp;creator=factset&amp;display_string=Audit"}</definedName>
    <definedName name="_2625__FDSAUDITLINK__" hidden="1">{"fdsup://Directions/FactSet Auditing Viewer?action=AUDIT_VALUE&amp;DB=129&amp;ID1=58711810&amp;VALUEID=02101&amp;SDATE=200703&amp;PERIODTYPE=QTR_STD&amp;window=popup_no_bar&amp;width=385&amp;height=120&amp;START_MAXIMIZED=FALSE&amp;creator=factset&amp;display_string=Audit"}</definedName>
    <definedName name="_2626__FDSAUDITLINK__" hidden="1">{"fdsup://Directions/FactSet Auditing Viewer?action=AUDIT_VALUE&amp;DB=129&amp;ID1=58711810&amp;VALUEID=01001&amp;SDATE=200704&amp;PERIODTYPE=QTR_STD&amp;window=popup_no_bar&amp;width=385&amp;height=120&amp;START_MAXIMIZED=FALSE&amp;creator=factset&amp;display_string=Audit"}</definedName>
    <definedName name="_2627__FDSAUDITLINK__" hidden="1">{"fdsup://Directions/FactSet Auditing Viewer?action=AUDIT_VALUE&amp;DB=129&amp;ID1=58711810&amp;VALUEID=01001&amp;SDATE=200801&amp;PERIODTYPE=QTR_STD&amp;window=popup_no_bar&amp;width=385&amp;height=120&amp;START_MAXIMIZED=FALSE&amp;creator=factset&amp;display_string=Audit"}</definedName>
    <definedName name="_2628__FDSAUDITLINK__" hidden="1">{"fdsup://Directions/FactSet Auditing Viewer?action=AUDIT_VALUE&amp;DB=129&amp;ID1=58711810&amp;VALUEID=02101&amp;SDATE=200801&amp;PERIODTYPE=QTR_STD&amp;window=popup_no_bar&amp;width=385&amp;height=120&amp;START_MAXIMIZED=FALSE&amp;creator=factset&amp;display_string=Audit"}</definedName>
    <definedName name="_2629__FDSAUDITLINK__" hidden="1">{"fdsup://Directions/FactSet Auditing Viewer?action=AUDIT_VALUE&amp;DB=129&amp;ID1=58711810&amp;VALUEID=01001&amp;SDATE=200802&amp;PERIODTYPE=QTR_STD&amp;window=popup_no_bar&amp;width=385&amp;height=120&amp;START_MAXIMIZED=FALSE&amp;creator=factset&amp;display_string=Audit"}</definedName>
    <definedName name="_263__FDSAUDITLINK__" hidden="1">{"fdsup://Directions/FactSet Auditing Viewer?action=AUDIT_VALUE&amp;DB=129&amp;ID1=03611510&amp;VALUEID=02101&amp;SDATE=200701&amp;PERIODTYPE=QTR_STD&amp;window=popup_no_bar&amp;width=385&amp;height=120&amp;START_MAXIMIZED=FALSE&amp;creator=factset&amp;display_string=Audit"}</definedName>
    <definedName name="_2630__FDSAUDITLINK__" hidden="1">{"fdsup://Directions/FactSet Auditing Viewer?action=AUDIT_VALUE&amp;DB=129&amp;ID1=58711810&amp;VALUEID=02101&amp;SDATE=200802&amp;PERIODTYPE=QTR_STD&amp;window=popup_no_bar&amp;width=385&amp;height=120&amp;START_MAXIMIZED=FALSE&amp;creator=factset&amp;display_string=Audit"}</definedName>
    <definedName name="_2631__FDSAUDITLINK__" hidden="1">{"fdsup://Directions/FactSet Auditing Viewer?action=AUDIT_VALUE&amp;DB=129&amp;ID1=58711810&amp;VALUEID=01001&amp;SDATE=200803&amp;PERIODTYPE=QTR_STD&amp;window=popup_no_bar&amp;width=385&amp;height=120&amp;START_MAXIMIZED=FALSE&amp;creator=factset&amp;display_string=Audit"}</definedName>
    <definedName name="_2632__FDSAUDITLINK__" hidden="1">{"fdsup://Directions/FactSet Auditing Viewer?action=AUDIT_VALUE&amp;DB=129&amp;ID1=58711810&amp;VALUEID=02101&amp;SDATE=200803&amp;PERIODTYPE=QTR_STD&amp;window=popup_no_bar&amp;width=385&amp;height=120&amp;START_MAXIMIZED=FALSE&amp;creator=factset&amp;display_string=Audit"}</definedName>
    <definedName name="_2633__FDSAUDITLINK__" hidden="1">{"fdsup://Directions/FactSet Auditing Viewer?action=AUDIT_VALUE&amp;DB=129&amp;ID1=58711810&amp;VALUEID=01001&amp;SDATE=200804&amp;PERIODTYPE=QTR_STD&amp;window=popup_no_bar&amp;width=385&amp;height=120&amp;START_MAXIMIZED=FALSE&amp;creator=factset&amp;display_string=Audit"}</definedName>
    <definedName name="_2634__FDSAUDITLINK__" hidden="1">{"fdsup://Directions/FactSet Auditing Viewer?action=AUDIT_VALUE&amp;DB=129&amp;ID1=58711810&amp;VALUEID=01001&amp;SDATE=200902&amp;PERIODTYPE=QTR_STD&amp;window=popup_no_bar&amp;width=385&amp;height=120&amp;START_MAXIMIZED=FALSE&amp;creator=factset&amp;display_string=Audit"}</definedName>
    <definedName name="_2635__FDSAUDITLINK__" hidden="1">{"fdsup://Directions/FactSet Auditing Viewer?action=AUDIT_VALUE&amp;DB=129&amp;ID1=58711810&amp;VALUEID=02101&amp;SDATE=200902&amp;PERIODTYPE=QTR_STD&amp;window=popup_no_bar&amp;width=385&amp;height=120&amp;START_MAXIMIZED=FALSE&amp;creator=factset&amp;display_string=Audit"}</definedName>
    <definedName name="_2636__FDSAUDITLINK__" hidden="1">{"fdsup://Directions/FactSet Auditing Viewer?action=AUDIT_VALUE&amp;DB=129&amp;ID1=58711810&amp;VALUEID=01001&amp;SDATE=200903&amp;PERIODTYPE=QTR_STD&amp;window=popup_no_bar&amp;width=385&amp;height=120&amp;START_MAXIMIZED=FALSE&amp;creator=factset&amp;display_string=Audit"}</definedName>
    <definedName name="_2637__FDSAUDITLINK__" hidden="1">{"fdsup://Directions/FactSet Auditing Viewer?action=AUDIT_VALUE&amp;DB=129&amp;ID1=58711810&amp;VALUEID=02101&amp;SDATE=200903&amp;PERIODTYPE=QTR_STD&amp;window=popup_no_bar&amp;width=385&amp;height=120&amp;START_MAXIMIZED=FALSE&amp;creator=factset&amp;display_string=Audit"}</definedName>
    <definedName name="_2638__FDSAUDITLINK__" hidden="1">{"fdsup://Directions/FactSet Auditing Viewer?action=AUDIT_VALUE&amp;DB=129&amp;ID1=58711810&amp;VALUEID=01001&amp;SDATE=200904&amp;PERIODTYPE=QTR_STD&amp;window=popup_no_bar&amp;width=385&amp;height=120&amp;START_MAXIMIZED=FALSE&amp;creator=factset&amp;display_string=Audit"}</definedName>
    <definedName name="_2639__FDSAUDITLINK__" hidden="1">{"fdsup://Directions/FactSet Auditing Viewer?action=AUDIT_VALUE&amp;DB=129&amp;ID1=58711810&amp;VALUEID=02101&amp;SDATE=201001&amp;PERIODTYPE=QTR_STD&amp;window=popup_no_bar&amp;width=385&amp;height=120&amp;START_MAXIMIZED=FALSE&amp;creator=factset&amp;display_string=Audit"}</definedName>
    <definedName name="_264__FDSAUDITLINK__" hidden="1">{"fdsup://Directions/FactSet Auditing Viewer?action=AUDIT_VALUE&amp;DB=129&amp;ID1=03611510&amp;VALUEID=01001&amp;SDATE=200701&amp;PERIODTYPE=QTR_STD&amp;window=popup_no_bar&amp;width=385&amp;height=120&amp;START_MAXIMIZED=FALSE&amp;creator=factset&amp;display_string=Audit"}</definedName>
    <definedName name="_2640__FDSAUDITLINK__" hidden="1">{"fdsup://directions/FAT Viewer?action=UPDATE&amp;creator=factset&amp;DYN_ARGS=TRUE&amp;DOC_NAME=FAT:FQL_AUDITING_CLIENT_TEMPLATE.FAT&amp;display_string=Audit&amp;VAR:KEY=XOLCTGDGVG&amp;VAR:QUERY=RkZfUlRfU0ZfVE9UX0dST1NTKFFUUiwtNDQp&amp;WINDOW=FIRST_POPUP&amp;HEIGHT=450&amp;WIDTH=450&amp;START_MA","XIMIZED=FALSE&amp;VAR:CALENDAR=US&amp;VAR:SYMBOL=MW&amp;VAR:INDEX=0"}</definedName>
    <definedName name="_2641__FDSAUDITLINK__" hidden="1">{"fdsup://directions/FAT Viewer?action=UPDATE&amp;creator=factset&amp;DYN_ARGS=TRUE&amp;DOC_NAME=FAT:FQL_AUDITING_CLIENT_TEMPLATE.FAT&amp;display_string=Audit&amp;VAR:KEY=LCLADYJIPS&amp;VAR:QUERY=RkZfUlRfU0ZfVE9UX0dST1NTKFFUUiwtNDMp&amp;WINDOW=FIRST_POPUP&amp;HEIGHT=450&amp;WIDTH=450&amp;START_MA","XIMIZED=FALSE&amp;VAR:CALENDAR=US&amp;VAR:SYMBOL=MW&amp;VAR:INDEX=0"}</definedName>
    <definedName name="_2642__FDSAUDITLINK__" hidden="1">{"fdsup://directions/FAT Viewer?action=UPDATE&amp;creator=factset&amp;DYN_ARGS=TRUE&amp;DOC_NAME=FAT:FQL_AUDITING_CLIENT_TEMPLATE.FAT&amp;display_string=Audit&amp;VAR:KEY=XWVCNWVOLS&amp;VAR:QUERY=RkZfUlRfU0ZfVE9UX0dST1NTKFFUUiwtNDIp&amp;WINDOW=FIRST_POPUP&amp;HEIGHT=450&amp;WIDTH=450&amp;START_MA","XIMIZED=FALSE&amp;VAR:CALENDAR=US&amp;VAR:SYMBOL=MW&amp;VAR:INDEX=0"}</definedName>
    <definedName name="_2643__FDSAUDITLINK__" hidden="1">{"fdsup://directions/FAT Viewer?action=UPDATE&amp;creator=factset&amp;DYN_ARGS=TRUE&amp;DOC_NAME=FAT:FQL_AUDITING_CLIENT_TEMPLATE.FAT&amp;display_string=Audit&amp;VAR:KEY=RQLYDYBETO&amp;VAR:QUERY=RkZfUlRfU0ZfVE9UX0dST1NTKFFUUiwtNDEp&amp;WINDOW=FIRST_POPUP&amp;HEIGHT=450&amp;WIDTH=450&amp;START_MA","XIMIZED=FALSE&amp;VAR:CALENDAR=US&amp;VAR:SYMBOL=MW&amp;VAR:INDEX=0"}</definedName>
    <definedName name="_2644__FDSAUDITLINK__" hidden="1">{"fdsup://directions/FAT Viewer?action=UPDATE&amp;creator=factset&amp;DYN_ARGS=TRUE&amp;DOC_NAME=FAT:FQL_AUDITING_CLIENT_TEMPLATE.FAT&amp;display_string=Audit&amp;VAR:KEY=NEZQTKDIVO&amp;VAR:QUERY=RkZfUlRfU0ZfVE9UX0dST1NTKFFUUiwtNDAp&amp;WINDOW=FIRST_POPUP&amp;HEIGHT=450&amp;WIDTH=450&amp;START_MA","XIMIZED=FALSE&amp;VAR:CALENDAR=US&amp;VAR:SYMBOL=MW&amp;VAR:INDEX=0"}</definedName>
    <definedName name="_2645__FDSAUDITLINK__" hidden="1">{"fdsup://directions/FAT Viewer?action=UPDATE&amp;creator=factset&amp;DYN_ARGS=TRUE&amp;DOC_NAME=FAT:FQL_AUDITING_CLIENT_TEMPLATE.FAT&amp;display_string=Audit&amp;VAR:KEY=LWNOPUVYPS&amp;VAR:QUERY=RkZfUlRfU0ZfVE9UX0dST1NTKFFUUiwtMzkp&amp;WINDOW=FIRST_POPUP&amp;HEIGHT=450&amp;WIDTH=450&amp;START_MA","XIMIZED=FALSE&amp;VAR:CALENDAR=US&amp;VAR:SYMBOL=MW&amp;VAR:INDEX=0"}</definedName>
    <definedName name="_2646__FDSAUDITLINK__" hidden="1">{"fdsup://directions/FAT Viewer?action=UPDATE&amp;creator=factset&amp;DYN_ARGS=TRUE&amp;DOC_NAME=FAT:FQL_AUDITING_CLIENT_TEMPLATE.FAT&amp;display_string=Audit&amp;VAR:KEY=ZAPGLCVOZS&amp;VAR:QUERY=RkZfUlRfU0ZfVE9UX0dST1NTKFFUUiwtMzgp&amp;WINDOW=FIRST_POPUP&amp;HEIGHT=450&amp;WIDTH=450&amp;START_MA","XIMIZED=FALSE&amp;VAR:CALENDAR=US&amp;VAR:SYMBOL=MW&amp;VAR:INDEX=0"}</definedName>
    <definedName name="_2647__FDSAUDITLINK__" hidden="1">{"fdsup://directions/FAT Viewer?action=UPDATE&amp;creator=factset&amp;DYN_ARGS=TRUE&amp;DOC_NAME=FAT:FQL_AUDITING_CLIENT_TEMPLATE.FAT&amp;display_string=Audit&amp;VAR:KEY=BQDYNQXQZQ&amp;VAR:QUERY=RkZfUlRfU0ZfVE9UX0dST1NTKFFUUiwtMzcp&amp;WINDOW=FIRST_POPUP&amp;HEIGHT=450&amp;WIDTH=450&amp;START_MA","XIMIZED=FALSE&amp;VAR:CALENDAR=US&amp;VAR:SYMBOL=MW&amp;VAR:INDEX=0"}</definedName>
    <definedName name="_2648__FDSAUDITLINK__" hidden="1">{"fdsup://directions/FAT Viewer?action=UPDATE&amp;creator=factset&amp;DYN_ARGS=TRUE&amp;DOC_NAME=FAT:FQL_AUDITING_CLIENT_TEMPLATE.FAT&amp;display_string=Audit&amp;VAR:KEY=LQRYLIVQRM&amp;VAR:QUERY=RkZfUlRfU0ZfVE9UX0dST1NTKFFUUiwtMzYp&amp;WINDOW=FIRST_POPUP&amp;HEIGHT=450&amp;WIDTH=450&amp;START_MA","XIMIZED=FALSE&amp;VAR:CALENDAR=US&amp;VAR:SYMBOL=MW&amp;VAR:INDEX=0"}</definedName>
    <definedName name="_2649__FDSAUDITLINK__" hidden="1">{"fdsup://directions/FAT Viewer?action=UPDATE&amp;creator=factset&amp;DYN_ARGS=TRUE&amp;DOC_NAME=FAT:FQL_AUDITING_CLIENT_TEMPLATE.FAT&amp;display_string=Audit&amp;VAR:KEY=BANQNYDSXS&amp;VAR:QUERY=RkZfUlRfU0ZfVE9UX0dST1NTKFFUUiwtMzUp&amp;WINDOW=FIRST_POPUP&amp;HEIGHT=450&amp;WIDTH=450&amp;START_MA","XIMIZED=FALSE&amp;VAR:CALENDAR=US&amp;VAR:SYMBOL=MW&amp;VAR:INDEX=0"}</definedName>
    <definedName name="_265__FDSAUDITLINK__" hidden="1">{"fdsup://Directions/FactSet Auditing Viewer?action=AUDIT_VALUE&amp;DB=129&amp;ID1=03611510&amp;VALUEID=13040&amp;SDATE=200701&amp;PERIODTYPE=QTR_STD&amp;window=popup_no_bar&amp;width=385&amp;height=120&amp;START_MAXIMIZED=FALSE&amp;creator=factset&amp;display_string=Audit"}</definedName>
    <definedName name="_2650__FDSAUDITLINK__" hidden="1">{"fdsup://directions/FAT Viewer?action=UPDATE&amp;creator=factset&amp;DYN_ARGS=TRUE&amp;DOC_NAME=FAT:FQL_AUDITING_CLIENT_TEMPLATE.FAT&amp;display_string=Audit&amp;VAR:KEY=HSNSXAXATY&amp;VAR:QUERY=RkZfUlRfU0ZfVE9UX0dST1NTKFFUUiwtMzQp&amp;WINDOW=FIRST_POPUP&amp;HEIGHT=450&amp;WIDTH=450&amp;START_MA","XIMIZED=FALSE&amp;VAR:CALENDAR=US&amp;VAR:SYMBOL=MW&amp;VAR:INDEX=0"}</definedName>
    <definedName name="_2651__FDSAUDITLINK__" hidden="1">{"fdsup://directions/FAT Viewer?action=UPDATE&amp;creator=factset&amp;DYN_ARGS=TRUE&amp;DOC_NAME=FAT:FQL_AUDITING_CLIENT_TEMPLATE.FAT&amp;display_string=Audit&amp;VAR:KEY=PGFANMDELU&amp;VAR:QUERY=RkZfUlRfU0ZfVE9UX0dST1NTKFFUUiwtMzMp&amp;WINDOW=FIRST_POPUP&amp;HEIGHT=450&amp;WIDTH=450&amp;START_MA","XIMIZED=FALSE&amp;VAR:CALENDAR=US&amp;VAR:SYMBOL=MW&amp;VAR:INDEX=0"}</definedName>
    <definedName name="_2652__FDSAUDITLINK__" hidden="1">{"fdsup://directions/FAT Viewer?action=UPDATE&amp;creator=factset&amp;DYN_ARGS=TRUE&amp;DOC_NAME=FAT:FQL_AUDITING_CLIENT_TEMPLATE.FAT&amp;display_string=Audit&amp;VAR:KEY=FMTMTIJOFY&amp;VAR:QUERY=RkZfUlRfU0ZfVE9UX0dST1NTKFFUUiwtMzIp&amp;WINDOW=FIRST_POPUP&amp;HEIGHT=450&amp;WIDTH=450&amp;START_MA","XIMIZED=FALSE&amp;VAR:CALENDAR=US&amp;VAR:SYMBOL=MW&amp;VAR:INDEX=0"}</definedName>
    <definedName name="_2653__FDSAUDITLINK__" hidden="1">{"fdsup://directions/FAT Viewer?action=UPDATE&amp;creator=factset&amp;DYN_ARGS=TRUE&amp;DOC_NAME=FAT:FQL_AUDITING_CLIENT_TEMPLATE.FAT&amp;display_string=Audit&amp;VAR:KEY=DIDGTQFMXG&amp;VAR:QUERY=RkZfUlRfU0ZfVE9UX0dST1NTKFFUUiwtMzEp&amp;WINDOW=FIRST_POPUP&amp;HEIGHT=450&amp;WIDTH=450&amp;START_MA","XIMIZED=FALSE&amp;VAR:CALENDAR=US&amp;VAR:SYMBOL=MW&amp;VAR:INDEX=0"}</definedName>
    <definedName name="_2654__FDSAUDITLINK__" hidden="1">{"fdsup://directions/FAT Viewer?action=UPDATE&amp;creator=factset&amp;DYN_ARGS=TRUE&amp;DOC_NAME=FAT:FQL_AUDITING_CLIENT_TEMPLATE.FAT&amp;display_string=Audit&amp;VAR:KEY=TOHEJERMXU&amp;VAR:QUERY=RkZfUlRfU0ZfVE9UX0dST1NTKFFUUiwtMzAp&amp;WINDOW=FIRST_POPUP&amp;HEIGHT=450&amp;WIDTH=450&amp;START_MA","XIMIZED=FALSE&amp;VAR:CALENDAR=US&amp;VAR:SYMBOL=MW&amp;VAR:INDEX=0"}</definedName>
    <definedName name="_2655__FDSAUDITLINK__" hidden="1">{"fdsup://directions/FAT Viewer?action=UPDATE&amp;creator=factset&amp;DYN_ARGS=TRUE&amp;DOC_NAME=FAT:FQL_AUDITING_CLIENT_TEMPLATE.FAT&amp;display_string=Audit&amp;VAR:KEY=DYHMTQXUBK&amp;VAR:QUERY=RkZfUlRfU0ZfVE9UX0dST1NTKFFUUiwtMjkp&amp;WINDOW=FIRST_POPUP&amp;HEIGHT=450&amp;WIDTH=450&amp;START_MA","XIMIZED=FALSE&amp;VAR:CALENDAR=US&amp;VAR:SYMBOL=MW&amp;VAR:INDEX=0"}</definedName>
    <definedName name="_2656__FDSAUDITLINK__" hidden="1">{"fdsup://directions/FAT Viewer?action=UPDATE&amp;creator=factset&amp;DYN_ARGS=TRUE&amp;DOC_NAME=FAT:FQL_AUDITING_CLIENT_TEMPLATE.FAT&amp;display_string=Audit&amp;VAR:KEY=FGTULCXKBM&amp;VAR:QUERY=RkZfUlRfU0ZfVE9UX0dST1NTKFFUUiwtMjgp&amp;WINDOW=FIRST_POPUP&amp;HEIGHT=450&amp;WIDTH=450&amp;START_MA","XIMIZED=FALSE&amp;VAR:CALENDAR=US&amp;VAR:SYMBOL=MW&amp;VAR:INDEX=0"}</definedName>
    <definedName name="_2657__FDSAUDITLINK__" hidden="1">{"fdsup://directions/FAT Viewer?action=UPDATE&amp;creator=factset&amp;DYN_ARGS=TRUE&amp;DOC_NAME=FAT:FQL_AUDITING_CLIENT_TEMPLATE.FAT&amp;display_string=Audit&amp;VAR:KEY=RERODQDOZG&amp;VAR:QUERY=RkZfUlRfU0ZfVE9UX0dST1NTKFFUUiwtMjcp&amp;WINDOW=FIRST_POPUP&amp;HEIGHT=450&amp;WIDTH=450&amp;START_MA","XIMIZED=FALSE&amp;VAR:CALENDAR=US&amp;VAR:SYMBOL=MW&amp;VAR:INDEX=0"}</definedName>
    <definedName name="_2658__FDSAUDITLINK__" hidden="1">{"fdsup://directions/FAT Viewer?action=UPDATE&amp;creator=factset&amp;DYN_ARGS=TRUE&amp;DOC_NAME=FAT:FQL_AUDITING_CLIENT_TEMPLATE.FAT&amp;display_string=Audit&amp;VAR:KEY=BUXULIDQNI&amp;VAR:QUERY=RkZfUlRfU0ZfVE9UX0dST1NTKFFUUiwtMjYp&amp;WINDOW=FIRST_POPUP&amp;HEIGHT=450&amp;WIDTH=450&amp;START_MA","XIMIZED=FALSE&amp;VAR:CALENDAR=US&amp;VAR:SYMBOL=MW&amp;VAR:INDEX=0"}</definedName>
    <definedName name="_2659__FDSAUDITLINK__" hidden="1">{"fdsup://directions/FAT Viewer?action=UPDATE&amp;creator=factset&amp;DYN_ARGS=TRUE&amp;DOC_NAME=FAT:FQL_AUDITING_CLIENT_TEMPLATE.FAT&amp;display_string=Audit&amp;VAR:KEY=VUVGPOJEXO&amp;VAR:QUERY=RkZfUlRfU0ZfVE9UX0dST1NTKFFUUiwtMjUp&amp;WINDOW=FIRST_POPUP&amp;HEIGHT=450&amp;WIDTH=450&amp;START_MA","XIMIZED=FALSE&amp;VAR:CALENDAR=US&amp;VAR:SYMBOL=MW&amp;VAR:INDEX=0"}</definedName>
    <definedName name="_266__FDSAUDITLINK__" hidden="1">{"fdsup://Directions/FactSet Auditing Viewer?action=AUDIT_VALUE&amp;DB=129&amp;ID1=16890510&amp;VALUEID=02101&amp;SDATE=200701&amp;PERIODTYPE=QTR_STD&amp;window=popup_no_bar&amp;width=385&amp;height=120&amp;START_MAXIMIZED=FALSE&amp;creator=factset&amp;display_string=Audit"}</definedName>
    <definedName name="_2660__FDSAUDITLINK__" hidden="1">{"fdsup://directions/FAT Viewer?action=UPDATE&amp;creator=factset&amp;DYN_ARGS=TRUE&amp;DOC_NAME=FAT:FQL_AUDITING_CLIENT_TEMPLATE.FAT&amp;display_string=Audit&amp;VAR:KEY=HAHQZOFKDO&amp;VAR:QUERY=RkZfUlRfU0ZfVE9UX0dST1NTKFFUUiwtMjQp&amp;WINDOW=FIRST_POPUP&amp;HEIGHT=450&amp;WIDTH=450&amp;START_MA","XIMIZED=FALSE&amp;VAR:CALENDAR=US&amp;VAR:SYMBOL=MW&amp;VAR:INDEX=0"}</definedName>
    <definedName name="_2661__FDSAUDITLINK__" hidden="1">{"fdsup://directions/FAT Viewer?action=UPDATE&amp;creator=factset&amp;DYN_ARGS=TRUE&amp;DOC_NAME=FAT:FQL_AUDITING_CLIENT_TEMPLATE.FAT&amp;display_string=Audit&amp;VAR:KEY=VGDWVEVYDO&amp;VAR:QUERY=RkZfUlRfU0ZfVE9UX0dST1NTKFFUUiwtMjMp&amp;WINDOW=FIRST_POPUP&amp;HEIGHT=450&amp;WIDTH=450&amp;START_MA","XIMIZED=FALSE&amp;VAR:CALENDAR=US&amp;VAR:SYMBOL=MW&amp;VAR:INDEX=0"}</definedName>
    <definedName name="_2662__FDSAUDITLINK__" hidden="1">{"fdsup://directions/FAT Viewer?action=UPDATE&amp;creator=factset&amp;DYN_ARGS=TRUE&amp;DOC_NAME=FAT:FQL_AUDITING_CLIENT_TEMPLATE.FAT&amp;display_string=Audit&amp;VAR:KEY=XKFGJGNSBQ&amp;VAR:QUERY=RkZfUlRfU0ZfVE9UX0dST1NTKFFUUiwtMjIp&amp;WINDOW=FIRST_POPUP&amp;HEIGHT=450&amp;WIDTH=450&amp;START_MA","XIMIZED=FALSE&amp;VAR:CALENDAR=US&amp;VAR:SYMBOL=MW&amp;VAR:INDEX=0"}</definedName>
    <definedName name="_2663__FDSAUDITLINK__" hidden="1">{"fdsup://directions/FAT Viewer?action=UPDATE&amp;creator=factset&amp;DYN_ARGS=TRUE&amp;DOC_NAME=FAT:FQL_AUDITING_CLIENT_TEMPLATE.FAT&amp;display_string=Audit&amp;VAR:KEY=VGTKVQRMDE&amp;VAR:QUERY=RkZfUlRfU0ZfVE9UX0dST1NTKFFUUiwtMjEp&amp;WINDOW=FIRST_POPUP&amp;HEIGHT=450&amp;WIDTH=450&amp;START_MA","XIMIZED=FALSE&amp;VAR:CALENDAR=US&amp;VAR:SYMBOL=MW&amp;VAR:INDEX=0"}</definedName>
    <definedName name="_2664__FDSAUDITLINK__" hidden="1">{"fdsup://directions/FAT Viewer?action=UPDATE&amp;creator=factset&amp;DYN_ARGS=TRUE&amp;DOC_NAME=FAT:FQL_AUDITING_CLIENT_TEMPLATE.FAT&amp;display_string=Audit&amp;VAR:KEY=HATCRWXIPY&amp;VAR:QUERY=RkZfUlRfU0ZfVE9UX0dST1NTKFFUUiwtMjAp&amp;WINDOW=FIRST_POPUP&amp;HEIGHT=450&amp;WIDTH=450&amp;START_MA","XIMIZED=FALSE&amp;VAR:CALENDAR=US&amp;VAR:SYMBOL=MW&amp;VAR:INDEX=0"}</definedName>
    <definedName name="_2665__FDSAUDITLINK__" hidden="1">{"fdsup://directions/FAT Viewer?action=UPDATE&amp;creator=factset&amp;DYN_ARGS=TRUE&amp;DOC_NAME=FAT:FQL_AUDITING_CLIENT_TEMPLATE.FAT&amp;display_string=Audit&amp;VAR:KEY=LSDEZKHSLO&amp;VAR:QUERY=RkZfUlRfU0ZfVE9UX0dST1NTKFFUUiwtMTkp&amp;WINDOW=FIRST_POPUP&amp;HEIGHT=450&amp;WIDTH=450&amp;START_MA","XIMIZED=FALSE&amp;VAR:CALENDAR=US&amp;VAR:SYMBOL=MW&amp;VAR:INDEX=0"}</definedName>
    <definedName name="_2666__FDSAUDITLINK__" hidden="1">{"fdsup://directions/FAT Viewer?action=UPDATE&amp;creator=factset&amp;DYN_ARGS=TRUE&amp;DOC_NAME=FAT:FQL_AUDITING_CLIENT_TEMPLATE.FAT&amp;display_string=Audit&amp;VAR:KEY=PGHYZMZMNW&amp;VAR:QUERY=RkZfUlRfU0ZfVE9UX0dST1NTKFFUUiwtMTgp&amp;WINDOW=FIRST_POPUP&amp;HEIGHT=450&amp;WIDTH=450&amp;START_MA","XIMIZED=FALSE&amp;VAR:CALENDAR=US&amp;VAR:SYMBOL=MW&amp;VAR:INDEX=0"}</definedName>
    <definedName name="_2667__FDSAUDITLINK__" hidden="1">{"fdsup://Directions/FactSet Auditing Viewer?action=AUDIT_VALUE&amp;DB=129&amp;ID1=58711810&amp;VALUEID=13040&amp;SDATE=200702&amp;PERIODTYPE=QTR_STD&amp;window=popup_no_bar&amp;width=385&amp;height=120&amp;START_MAXIMIZED=FALSE&amp;creator=factset&amp;display_string=Audit"}</definedName>
    <definedName name="_2668__FDSAUDITLINK__" hidden="1">{"fdsup://Directions/FactSet Auditing Viewer?action=AUDIT_VALUE&amp;DB=129&amp;ID1=58711810&amp;VALUEID=13040&amp;SDATE=200701&amp;PERIODTYPE=QTR_STD&amp;window=popup_no_bar&amp;width=385&amp;height=120&amp;START_MAXIMIZED=FALSE&amp;creator=factset&amp;display_string=Audit"}</definedName>
    <definedName name="_2669__FDSAUDITLINK__" hidden="1">{"fdsup://Directions/FactSet Auditing Viewer?action=AUDIT_VALUE&amp;DB=129&amp;ID1=58711810&amp;VALUEID=13040&amp;SDATE=200703&amp;PERIODTYPE=QTR_STD&amp;window=popup_no_bar&amp;width=385&amp;height=120&amp;START_MAXIMIZED=FALSE&amp;creator=factset&amp;display_string=Audit"}</definedName>
    <definedName name="_267__FDSAUDITLINK__" hidden="1">{"fdsup://Directions/FactSet Auditing Viewer?action=AUDIT_VALUE&amp;DB=129&amp;ID1=16890510&amp;VALUEID=01001&amp;SDATE=200701&amp;PERIODTYPE=QTR_STD&amp;window=popup_no_bar&amp;width=385&amp;height=120&amp;START_MAXIMIZED=FALSE&amp;creator=factset&amp;display_string=Audit"}</definedName>
    <definedName name="_2670__FDSAUDITLINK__" hidden="1">{"fdsup://Directions/FactSet Auditing Viewer?action=AUDIT_VALUE&amp;DB=129&amp;ID1=58711810&amp;VALUEID=13040&amp;SDATE=200802&amp;PERIODTYPE=QTR_STD&amp;window=popup_no_bar&amp;width=385&amp;height=120&amp;START_MAXIMIZED=FALSE&amp;creator=factset&amp;display_string=Audit"}</definedName>
    <definedName name="_2671__FDSAUDITLINK__" hidden="1">{"fdsup://Directions/FactSet Auditing Viewer?action=AUDIT_VALUE&amp;DB=129&amp;ID1=58711810&amp;VALUEID=13040&amp;SDATE=200801&amp;PERIODTYPE=QTR_STD&amp;window=popup_no_bar&amp;width=385&amp;height=120&amp;START_MAXIMIZED=FALSE&amp;creator=factset&amp;display_string=Audit"}</definedName>
    <definedName name="_2672__FDSAUDITLINK__" hidden="1">{"fdsup://directions/FAT Viewer?action=UPDATE&amp;creator=factset&amp;DYN_ARGS=TRUE&amp;DOC_NAME=FAT:FQL_AUDITING_CLIENT_TEMPLATE.FAT&amp;display_string=Audit&amp;VAR:KEY=LIFEZIXONO&amp;VAR:QUERY=RkZfUlRfU0ZfVE9UX0dST1NTKFFUUiwtOSk=&amp;WINDOW=FIRST_POPUP&amp;HEIGHT=450&amp;WIDTH=450&amp;START_MA","XIMIZED=FALSE&amp;VAR:CALENDAR=US&amp;VAR:SYMBOL=MW&amp;VAR:INDEX=0"}</definedName>
    <definedName name="_2673__FDSAUDITLINK__" hidden="1">{"fdsup://Directions/FactSet Auditing Viewer?action=AUDIT_VALUE&amp;DB=129&amp;ID1=58711810&amp;VALUEID=13040&amp;SDATE=200803&amp;PERIODTYPE=QTR_STD&amp;window=popup_no_bar&amp;width=385&amp;height=120&amp;START_MAXIMIZED=FALSE&amp;creator=factset&amp;display_string=Audit"}</definedName>
    <definedName name="_2674__FDSAUDITLINK__" hidden="1">{"fdsup://Directions/FactSet Auditing Viewer?action=AUDIT_VALUE&amp;DB=129&amp;ID1=58711810&amp;VALUEID=13040&amp;SDATE=200902&amp;PERIODTYPE=QTR_STD&amp;window=popup_no_bar&amp;width=385&amp;height=120&amp;START_MAXIMIZED=FALSE&amp;creator=factset&amp;display_string=Audit"}</definedName>
    <definedName name="_2675__FDSAUDITLINK__" hidden="1">{"fdsup://directions/FAT Viewer?action=UPDATE&amp;creator=factset&amp;DYN_ARGS=TRUE&amp;DOC_NAME=FAT:FQL_AUDITING_CLIENT_TEMPLATE.FAT&amp;display_string=Audit&amp;VAR:KEY=JOTIDWFUPO&amp;VAR:QUERY=RkZfUlRfU0ZfVE9UX0dST1NTKFFUUiwtNSk=&amp;WINDOW=FIRST_POPUP&amp;HEIGHT=450&amp;WIDTH=450&amp;START_MA","XIMIZED=FALSE&amp;VAR:CALENDAR=US&amp;VAR:SYMBOL=MW&amp;VAR:INDEX=0"}</definedName>
    <definedName name="_2676__FDSAUDITLINK__" hidden="1">{"fdsup://Directions/FactSet Auditing Viewer?action=AUDIT_VALUE&amp;DB=129&amp;ID1=58711810&amp;VALUEID=13040&amp;SDATE=200903&amp;PERIODTYPE=QTR_STD&amp;window=popup_no_bar&amp;width=385&amp;height=120&amp;START_MAXIMIZED=FALSE&amp;creator=factset&amp;display_string=Audit"}</definedName>
    <definedName name="_2677__FDSAUDITLINK__" hidden="1">{"fdsup://Directions/FactSet Auditing Viewer?action=AUDIT_VALUE&amp;DB=129&amp;ID1=58711810&amp;VALUEID=13040&amp;SDATE=200602&amp;PERIODTYPE=QTR_STD&amp;window=popup_no_bar&amp;width=385&amp;height=120&amp;START_MAXIMIZED=FALSE&amp;creator=factset&amp;display_string=Audit"}</definedName>
    <definedName name="_2678__FDSAUDITLINK__" hidden="1">{"fdsup://Directions/FactSet Auditing Viewer?action=AUDIT_VALUE&amp;DB=129&amp;ID1=58711810&amp;VALUEID=13040&amp;SDATE=200601&amp;PERIODTYPE=QTR_STD&amp;window=popup_no_bar&amp;width=385&amp;height=120&amp;START_MAXIMIZED=FALSE&amp;creator=factset&amp;display_string=Audit"}</definedName>
    <definedName name="_2679__FDSAUDITLINK__" hidden="1">{"fdsup://directions/FAT Viewer?action=UPDATE&amp;creator=factset&amp;DYN_ARGS=TRUE&amp;DOC_NAME=FAT:FQL_AUDITING_CLIENT_TEMPLATE.FAT&amp;display_string=Audit&amp;VAR:KEY=NIHCFUBCLC&amp;VAR:QUERY=RkZfUlRfU0ZfVE9UX0dST1NTKFFUUiwtMTcp&amp;WINDOW=FIRST_POPUP&amp;HEIGHT=450&amp;WIDTH=450&amp;START_MA","XIMIZED=FALSE&amp;VAR:CALENDAR=US&amp;VAR:SYMBOL=MW&amp;VAR:INDEX=0"}</definedName>
    <definedName name="_268__FDSAUDITLINK__" hidden="1">{"fdsup://Directions/FactSet Auditing Viewer?action=AUDIT_VALUE&amp;DB=129&amp;ID1=91704710&amp;VALUEID=02101&amp;SDATE=200701&amp;PERIODTYPE=QTR_STD&amp;window=popup_no_bar&amp;width=385&amp;height=120&amp;START_MAXIMIZED=FALSE&amp;creator=factset&amp;display_string=Audit"}</definedName>
    <definedName name="_2680__FDSAUDITLINK__" hidden="1">{"fdsup://Directions/FactSet Auditing Viewer?action=AUDIT_VALUE&amp;DB=129&amp;ID1=58711810&amp;VALUEID=13040&amp;SDATE=200603&amp;PERIODTYPE=QTR_STD&amp;window=popup_no_bar&amp;width=385&amp;height=120&amp;START_MAXIMIZED=FALSE&amp;creator=factset&amp;display_string=Audit"}</definedName>
    <definedName name="_2681__FDSAUDITLINK__" hidden="1">{"fdsup://directions/FAT Viewer?action=UPDATE&amp;creator=factset&amp;DYN_ARGS=TRUE&amp;DOC_NAME=FAT:FQL_AUDITING_CLIENT_TEMPLATE.FAT&amp;display_string=Audit&amp;VAR:KEY=HGNWDSTIVA&amp;VAR:QUERY=RkZfUlRfU0ZfVE9UX0dST1NTKFFUUiwtMTMp&amp;WINDOW=FIRST_POPUP&amp;HEIGHT=450&amp;WIDTH=450&amp;START_MA","XIMIZED=FALSE&amp;VAR:CALENDAR=US&amp;VAR:SYMBOL=MW&amp;VAR:INDEX=0"}</definedName>
    <definedName name="_2682__FDSAUDITLINK__" hidden="1">{"fdsup://Directions/FactSet Auditing Viewer?action=AUDIT_VALUE&amp;DB=129&amp;ID1=58711810&amp;VALUEID=13040&amp;SDATE=201001&amp;PERIODTYPE=QTR_STD&amp;window=popup_no_bar&amp;width=385&amp;height=120&amp;START_MAXIMIZED=FALSE&amp;creator=factset&amp;display_string=Audit"}</definedName>
    <definedName name="_2683__FDSAUDITLINK__" hidden="1">{"fdsup://Directions/FactSet Auditing Viewer?action=AUDIT_VALUE&amp;DB=129&amp;ID1=58711810&amp;VALUEID=13040&amp;SDATE=200904&amp;PERIODTYPE=QTR_STD&amp;window=popup_no_bar&amp;width=385&amp;height=120&amp;START_MAXIMIZED=FALSE&amp;creator=factset&amp;display_string=Audit"}</definedName>
    <definedName name="_2684__FDSAUDITLINK__" hidden="1">{"fdsup://directions/FAT Viewer?action=UPDATE&amp;creator=factset&amp;DYN_ARGS=TRUE&amp;DOC_NAME=FAT:FQL_AUDITING_CLIENT_TEMPLATE.FAT&amp;display_string=Audit&amp;VAR:KEY=NAVAPYPWTC&amp;VAR:QUERY=RkZfUlRfU0ZfVE9UX0dST1NTKFFUUiwtMSk=&amp;WINDOW=FIRST_POPUP&amp;HEIGHT=450&amp;WIDTH=450&amp;START_MA","XIMIZED=FALSE&amp;VAR:CALENDAR=US&amp;VAR:SYMBOL=MW&amp;VAR:INDEX=0"}</definedName>
    <definedName name="_2685__FDSAUDITLINK__" hidden="1">{"fdsup://Directions/FactSet Auditing Viewer?action=AUDIT_VALUE&amp;DB=129&amp;ID1=87416110&amp;VALUEID=01001&amp;SDATE=201001&amp;PERIODTYPE=QTR_STD&amp;window=popup_no_bar&amp;width=385&amp;height=120&amp;START_MAXIMIZED=FALSE&amp;creator=factset&amp;display_string=Audit"}</definedName>
    <definedName name="_2686__FDSAUDITLINK__" hidden="1">{"fdsup://Directions/FactSet Auditing Viewer?action=AUDIT_VALUE&amp;DB=129&amp;ID1=58711810&amp;VALUEID=01001&amp;SDATE=201001&amp;PERIODTYPE=QTR_STD&amp;window=popup_no_bar&amp;width=385&amp;height=120&amp;START_MAXIMIZED=FALSE&amp;creator=factset&amp;display_string=Audit"}</definedName>
    <definedName name="_2687__FDSAUDITLINK__" hidden="1">{"fdsup://Directions/FactSet Auditing Viewer?action=AUDIT_VALUE&amp;DB=129&amp;ID1=53271610&amp;VALUEID=01001&amp;SDATE=201001&amp;PERIODTYPE=QTR_STD&amp;window=popup_no_bar&amp;width=385&amp;height=120&amp;START_MAXIMIZED=FALSE&amp;creator=factset&amp;display_string=Audit"}</definedName>
    <definedName name="_2688__FDSAUDITLINK__" hidden="1">{"fdsup://Directions/FactSet Auditing Viewer?action=AUDIT_VALUE&amp;DB=129&amp;ID1=46612H40&amp;VALUEID=01001&amp;SDATE=201001&amp;PERIODTYPE=QTR_STD&amp;window=popup_no_bar&amp;width=385&amp;height=120&amp;START_MAXIMIZED=FALSE&amp;creator=factset&amp;display_string=Audit"}</definedName>
    <definedName name="_2689__FDSAUDITLINK__" hidden="1">{"fdsup://Directions/FactSet Auditing Viewer?action=AUDIT_VALUE&amp;DB=129&amp;ID1=36476010&amp;VALUEID=01001&amp;SDATE=201001&amp;PERIODTYPE=QTR_STD&amp;window=popup_no_bar&amp;width=385&amp;height=120&amp;START_MAXIMIZED=FALSE&amp;creator=factset&amp;display_string=Audit"}</definedName>
    <definedName name="_269__FDSAUDITLINK__" hidden="1">{"fdsup://Directions/FactSet Auditing Viewer?action=AUDIT_VALUE&amp;DB=129&amp;ID1=91704710&amp;VALUEID=01001&amp;SDATE=200701&amp;PERIODTYPE=QTR_STD&amp;window=popup_no_bar&amp;width=385&amp;height=120&amp;START_MAXIMIZED=FALSE&amp;creator=factset&amp;display_string=Audit"}</definedName>
    <definedName name="_2690__FDSAUDITLINK__" hidden="1">{"fdsup://Directions/FactSet Auditing Viewer?action=AUDIT_VALUE&amp;DB=129&amp;ID1=03611510&amp;VALUEID=01001&amp;SDATE=201001&amp;PERIODTYPE=QTR_STD&amp;window=popup_no_bar&amp;width=385&amp;height=120&amp;START_MAXIMIZED=FALSE&amp;creator=factset&amp;display_string=Audit"}</definedName>
    <definedName name="_2691__FDSAUDITLINK__" hidden="1">{"fdsup://Directions/FactSet Auditing Viewer?action=AUDIT_VALUE&amp;DB=129&amp;ID1=40377710&amp;VALUEID=01001&amp;SDATE=201001&amp;PERIODTYPE=QTR_STD&amp;window=popup_no_bar&amp;width=385&amp;height=120&amp;START_MAXIMIZED=FALSE&amp;creator=factset&amp;display_string=Audit"}</definedName>
    <definedName name="_2692__FDSAUDITLINK__" hidden="1">{"fdsup://Directions/FactSet Auditing Viewer?action=AUDIT_VALUE&amp;DB=129&amp;ID1=16890510&amp;VALUEID=01001&amp;SDATE=201001&amp;PERIODTYPE=QTR_STD&amp;window=popup_no_bar&amp;width=385&amp;height=120&amp;START_MAXIMIZED=FALSE&amp;creator=factset&amp;display_string=Audit"}</definedName>
    <definedName name="_2693__FDSAUDITLINK__" hidden="1">{"fdsup://Directions/FactSet Auditing Viewer?action=AUDIT_VALUE&amp;DB=129&amp;ID1=91704710&amp;VALUEID=01001&amp;SDATE=201001&amp;PERIODTYPE=QTR_STD&amp;window=popup_no_bar&amp;width=385&amp;height=120&amp;START_MAXIMIZED=FALSE&amp;creator=factset&amp;display_string=Audit"}</definedName>
    <definedName name="_2694__FDSAUDITLINK__" hidden="1">{"fdsup://Directions/FactSet Auditing Viewer?action=AUDIT_VALUE&amp;DB=129&amp;ID1=02553E10&amp;VALUEID=01001&amp;SDATE=201001&amp;PERIODTYPE=QTR_STD&amp;window=popup_no_bar&amp;width=385&amp;height=120&amp;START_MAXIMIZED=FALSE&amp;creator=factset&amp;display_string=Audit"}</definedName>
    <definedName name="_2695__FDSAUDITLINK__" hidden="1">{"fdsup://Directions/FactSet Auditing Viewer?action=AUDIT_VALUE&amp;DB=129&amp;ID1=00786510&amp;VALUEID=01001&amp;SDATE=201001&amp;PERIODTYPE=QTR_STD&amp;window=popup_no_bar&amp;width=385&amp;height=120&amp;START_MAXIMIZED=FALSE&amp;creator=factset&amp;display_string=Audit"}</definedName>
    <definedName name="_2696__FDSAUDITLINK__" hidden="1">{"fdsup://Directions/FactSet Auditing Viewer?action=AUDIT_VALUE&amp;DB=129&amp;ID1=00289620&amp;VALUEID=01001&amp;SDATE=201001&amp;PERIODTYPE=QTR_STD&amp;window=popup_no_bar&amp;width=385&amp;height=120&amp;START_MAXIMIZED=FALSE&amp;creator=factset&amp;display_string=Audit"}</definedName>
    <definedName name="_2697__FDSAUDITLINK__" hidden="1">{"fdsup://Directions/FactSet Auditing Viewer?action=AUDIT_VALUE&amp;DB=129&amp;ID1=26157010&amp;VALUEID=13040&amp;SDATE=200602&amp;PERIODTYPE=QTR_STD&amp;window=popup_no_bar&amp;width=385&amp;height=120&amp;START_MAXIMIZED=FALSE&amp;creator=factset&amp;display_string=Audit"}</definedName>
    <definedName name="_2698__FDSAUDITLINK__" hidden="1">{"fdsup://Directions/FactSet Auditing Viewer?action=AUDIT_VALUE&amp;DB=129&amp;ID1=26157010&amp;VALUEID=01001&amp;SDATE=200602&amp;PERIODTYPE=QTR_STD&amp;window=popup_no_bar&amp;width=385&amp;height=120&amp;START_MAXIMIZED=FALSE&amp;creator=factset&amp;display_string=Audit"}</definedName>
    <definedName name="_2699__FDSAUDITLINK__" hidden="1">{"fdsup://Directions/FactSet Auditing Viewer?action=AUDIT_VALUE&amp;DB=129&amp;ID1=26157010&amp;VALUEID=02101&amp;SDATE=200602&amp;PERIODTYPE=QTR_STD&amp;window=popup_no_bar&amp;width=385&amp;height=120&amp;START_MAXIMIZED=FALSE&amp;creator=factset&amp;display_string=Audit"}</definedName>
    <definedName name="_27__FDSAUDITLINK__" hidden="1">{"fdsup://Directions/FactSet Auditing Viewer?action=AUDIT_VALUE&amp;DB=129&amp;ID1=91704710&amp;VALUEID=01001&amp;SDATE=200904&amp;PERIODTYPE=QTR_STD&amp;window=popup_no_bar&amp;width=385&amp;height=120&amp;START_MAXIMIZED=FALSE&amp;creator=factset&amp;display_string=Audit"}</definedName>
    <definedName name="_270__FDSAUDITLINK__" hidden="1">{"fdsup://Directions/FactSet Auditing Viewer?action=AUDIT_VALUE&amp;DB=129&amp;ID1=91704710&amp;VALUEID=13040&amp;SDATE=200701&amp;PERIODTYPE=QTR_STD&amp;window=popup_no_bar&amp;width=385&amp;height=120&amp;START_MAXIMIZED=FALSE&amp;creator=factset&amp;display_string=Audit"}</definedName>
    <definedName name="_2700__FDSAUDITLINK__" hidden="1">{"fdsup://Directions/FactSet Auditing Viewer?action=AUDIT_VALUE&amp;DB=129&amp;ID1=26157010&amp;VALUEID=13040&amp;SDATE=200603&amp;PERIODTYPE=QTR_STD&amp;window=popup_no_bar&amp;width=385&amp;height=120&amp;START_MAXIMIZED=FALSE&amp;creator=factset&amp;display_string=Audit"}</definedName>
    <definedName name="_2701__FDSAUDITLINK__" hidden="1">{"fdsup://Directions/FactSet Auditing Viewer?action=AUDIT_VALUE&amp;DB=129&amp;ID1=26157010&amp;VALUEID=01001&amp;SDATE=200603&amp;PERIODTYPE=QTR_STD&amp;window=popup_no_bar&amp;width=385&amp;height=120&amp;START_MAXIMIZED=FALSE&amp;creator=factset&amp;display_string=Audit"}</definedName>
    <definedName name="_2702__FDSAUDITLINK__" hidden="1">{"fdsup://Directions/FactSet Auditing Viewer?action=AUDIT_VALUE&amp;DB=129&amp;ID1=26157010&amp;VALUEID=02101&amp;SDATE=200603&amp;PERIODTYPE=QTR_STD&amp;window=popup_no_bar&amp;width=385&amp;height=120&amp;START_MAXIMIZED=FALSE&amp;creator=factset&amp;display_string=Audit"}</definedName>
    <definedName name="_2703__FDSAUDITLINK__" hidden="1">{"fdsup://Directions/FactSet Auditing Viewer?action=AUDIT_VALUE&amp;DB=129&amp;ID1=26157010&amp;VALUEID=13040&amp;SDATE=200701&amp;PERIODTYPE=QTR_STD&amp;window=popup_no_bar&amp;width=385&amp;height=120&amp;START_MAXIMIZED=FALSE&amp;creator=factset&amp;display_string=Audit"}</definedName>
    <definedName name="_2704__FDSAUDITLINK__" hidden="1">{"fdsup://Directions/FactSet Auditing Viewer?action=AUDIT_VALUE&amp;DB=129&amp;ID1=26157010&amp;VALUEID=01001&amp;SDATE=200701&amp;PERIODTYPE=QTR_STD&amp;window=popup_no_bar&amp;width=385&amp;height=120&amp;START_MAXIMIZED=FALSE&amp;creator=factset&amp;display_string=Audit"}</definedName>
    <definedName name="_2705__FDSAUDITLINK__" hidden="1">{"fdsup://Directions/FactSet Auditing Viewer?action=AUDIT_VALUE&amp;DB=129&amp;ID1=26157010&amp;VALUEID=02101&amp;SDATE=200701&amp;PERIODTYPE=QTR_STD&amp;window=popup_no_bar&amp;width=385&amp;height=120&amp;START_MAXIMIZED=FALSE&amp;creator=factset&amp;display_string=Audit"}</definedName>
    <definedName name="_2706__FDSAUDITLINK__" hidden="1">{"fdsup://Directions/FactSet Auditing Viewer?action=AUDIT_VALUE&amp;DB=129&amp;ID1=26157010&amp;VALUEID=13040&amp;SDATE=200702&amp;PERIODTYPE=QTR_STD&amp;window=popup_no_bar&amp;width=385&amp;height=120&amp;START_MAXIMIZED=FALSE&amp;creator=factset&amp;display_string=Audit"}</definedName>
    <definedName name="_2707__FDSAUDITLINK__" hidden="1">{"fdsup://Directions/FactSet Auditing Viewer?action=AUDIT_VALUE&amp;DB=129&amp;ID1=26157010&amp;VALUEID=01001&amp;SDATE=200702&amp;PERIODTYPE=QTR_STD&amp;window=popup_no_bar&amp;width=385&amp;height=120&amp;START_MAXIMIZED=FALSE&amp;creator=factset&amp;display_string=Audit"}</definedName>
    <definedName name="_2708__FDSAUDITLINK__" hidden="1">{"fdsup://Directions/FactSet Auditing Viewer?action=AUDIT_VALUE&amp;DB=129&amp;ID1=26157010&amp;VALUEID=02101&amp;SDATE=200702&amp;PERIODTYPE=QTR_STD&amp;window=popup_no_bar&amp;width=385&amp;height=120&amp;START_MAXIMIZED=FALSE&amp;creator=factset&amp;display_string=Audit"}</definedName>
    <definedName name="_2709__FDSAUDITLINK__" hidden="1">{"fdsup://Directions/FactSet Auditing Viewer?action=AUDIT_VALUE&amp;DB=129&amp;ID1=26157010&amp;VALUEID=13040&amp;SDATE=200703&amp;PERIODTYPE=QTR_STD&amp;window=popup_no_bar&amp;width=385&amp;height=120&amp;START_MAXIMIZED=FALSE&amp;creator=factset&amp;display_string=Audit"}</definedName>
    <definedName name="_271__FDSAUDITLINK__" hidden="1">{"fdsup://Directions/FactSet Auditing Viewer?action=AUDIT_VALUE&amp;DB=129&amp;ID1=02553E10&amp;VALUEID=02101&amp;SDATE=200701&amp;PERIODTYPE=QTR_STD&amp;window=popup_no_bar&amp;width=385&amp;height=120&amp;START_MAXIMIZED=FALSE&amp;creator=factset&amp;display_string=Audit"}</definedName>
    <definedName name="_2710__FDSAUDITLINK__" hidden="1">{"fdsup://Directions/FactSet Auditing Viewer?action=AUDIT_VALUE&amp;DB=129&amp;ID1=26157010&amp;VALUEID=01001&amp;SDATE=200703&amp;PERIODTYPE=QTR_STD&amp;window=popup_no_bar&amp;width=385&amp;height=120&amp;START_MAXIMIZED=FALSE&amp;creator=factset&amp;display_string=Audit"}</definedName>
    <definedName name="_2711__FDSAUDITLINK__" hidden="1">{"fdsup://Directions/FactSet Auditing Viewer?action=AUDIT_VALUE&amp;DB=129&amp;ID1=26157010&amp;VALUEID=02101&amp;SDATE=200703&amp;PERIODTYPE=QTR_STD&amp;window=popup_no_bar&amp;width=385&amp;height=120&amp;START_MAXIMIZED=FALSE&amp;creator=factset&amp;display_string=Audit"}</definedName>
    <definedName name="_2712__FDSAUDITLINK__" hidden="1">{"fdsup://Directions/FactSet Auditing Viewer?action=AUDIT_VALUE&amp;DB=129&amp;ID1=26157010&amp;VALUEID=01001&amp;SDATE=200704&amp;PERIODTYPE=QTR_STD&amp;window=popup_no_bar&amp;width=385&amp;height=120&amp;START_MAXIMIZED=FALSE&amp;creator=factset&amp;display_string=Audit"}</definedName>
    <definedName name="_2713__FDSAUDITLINK__" hidden="1">{"fdsup://Directions/FactSet Auditing Viewer?action=AUDIT_VALUE&amp;DB=129&amp;ID1=26157010&amp;VALUEID=13040&amp;SDATE=200801&amp;PERIODTYPE=QTR_STD&amp;window=popup_no_bar&amp;width=385&amp;height=120&amp;START_MAXIMIZED=FALSE&amp;creator=factset&amp;display_string=Audit"}</definedName>
    <definedName name="_2714__FDSAUDITLINK__" hidden="1">{"fdsup://Directions/FactSet Auditing Viewer?action=AUDIT_VALUE&amp;DB=129&amp;ID1=26157010&amp;VALUEID=01001&amp;SDATE=200801&amp;PERIODTYPE=QTR_STD&amp;window=popup_no_bar&amp;width=385&amp;height=120&amp;START_MAXIMIZED=FALSE&amp;creator=factset&amp;display_string=Audit"}</definedName>
    <definedName name="_2715__FDSAUDITLINK__" hidden="1">{"fdsup://Directions/FactSet Auditing Viewer?action=AUDIT_VALUE&amp;DB=129&amp;ID1=26157010&amp;VALUEID=02101&amp;SDATE=200801&amp;PERIODTYPE=QTR_STD&amp;window=popup_no_bar&amp;width=385&amp;height=120&amp;START_MAXIMIZED=FALSE&amp;creator=factset&amp;display_string=Audit"}</definedName>
    <definedName name="_2716__FDSAUDITLINK__" hidden="1">{"fdsup://Directions/FactSet Auditing Viewer?action=AUDIT_VALUE&amp;DB=129&amp;ID1=26157010&amp;VALUEID=01001&amp;SDATE=200802&amp;PERIODTYPE=QTR_STD&amp;window=popup_no_bar&amp;width=385&amp;height=120&amp;START_MAXIMIZED=FALSE&amp;creator=factset&amp;display_string=Audit"}</definedName>
    <definedName name="_2717__FDSAUDITLINK__" hidden="1">{"fdsup://Directions/FactSet Auditing Viewer?action=AUDIT_VALUE&amp;DB=129&amp;ID1=26157010&amp;VALUEID=02101&amp;SDATE=200802&amp;PERIODTYPE=QTR_STD&amp;window=popup_no_bar&amp;width=385&amp;height=120&amp;START_MAXIMIZED=FALSE&amp;creator=factset&amp;display_string=Audit"}</definedName>
    <definedName name="_2718__FDSAUDITLINK__" hidden="1">{"fdsup://Directions/FactSet Auditing Viewer?action=AUDIT_VALUE&amp;DB=129&amp;ID1=26157010&amp;VALUEID=13040&amp;SDATE=200803&amp;PERIODTYPE=QTR_STD&amp;window=popup_no_bar&amp;width=385&amp;height=120&amp;START_MAXIMIZED=FALSE&amp;creator=factset&amp;display_string=Audit"}</definedName>
    <definedName name="_2719__FDSAUDITLINK__" hidden="1">{"fdsup://Directions/FactSet Auditing Viewer?action=AUDIT_VALUE&amp;DB=129&amp;ID1=26157010&amp;VALUEID=01001&amp;SDATE=200803&amp;PERIODTYPE=QTR_STD&amp;window=popup_no_bar&amp;width=385&amp;height=120&amp;START_MAXIMIZED=FALSE&amp;creator=factset&amp;display_string=Audit"}</definedName>
    <definedName name="_272__FDSAUDITLINK__" hidden="1">{"fdsup://Directions/FactSet Auditing Viewer?action=AUDIT_VALUE&amp;DB=129&amp;ID1=02553E10&amp;VALUEID=01001&amp;SDATE=200701&amp;PERIODTYPE=QTR_STD&amp;window=popup_no_bar&amp;width=385&amp;height=120&amp;START_MAXIMIZED=FALSE&amp;creator=factset&amp;display_string=Audit"}</definedName>
    <definedName name="_2720__FDSAUDITLINK__" hidden="1">{"fdsup://Directions/FactSet Auditing Viewer?action=AUDIT_VALUE&amp;DB=129&amp;ID1=26157010&amp;VALUEID=02101&amp;SDATE=200803&amp;PERIODTYPE=QTR_STD&amp;window=popup_no_bar&amp;width=385&amp;height=120&amp;START_MAXIMIZED=FALSE&amp;creator=factset&amp;display_string=Audit"}</definedName>
    <definedName name="_2721__FDSAUDITLINK__" hidden="1">{"fdsup://Directions/FactSet Auditing Viewer?action=AUDIT_VALUE&amp;DB=129&amp;ID1=26157010&amp;VALUEID=13040&amp;SDATE=200901&amp;PERIODTYPE=QTR_STD&amp;window=popup_no_bar&amp;width=385&amp;height=120&amp;START_MAXIMIZED=FALSE&amp;creator=factset&amp;display_string=Audit"}</definedName>
    <definedName name="_2722__FDSAUDITLINK__" hidden="1">{"fdsup://Directions/FactSet Auditing Viewer?action=AUDIT_VALUE&amp;DB=129&amp;ID1=26157010&amp;VALUEID=01001&amp;SDATE=200901&amp;PERIODTYPE=QTR_STD&amp;window=popup_no_bar&amp;width=385&amp;height=120&amp;START_MAXIMIZED=FALSE&amp;creator=factset&amp;display_string=Audit"}</definedName>
    <definedName name="_2723__FDSAUDITLINK__" hidden="1">{"fdsup://Directions/FactSet Auditing Viewer?action=AUDIT_VALUE&amp;DB=129&amp;ID1=26157010&amp;VALUEID=02101&amp;SDATE=200901&amp;PERIODTYPE=QTR_STD&amp;window=popup_no_bar&amp;width=385&amp;height=120&amp;START_MAXIMIZED=FALSE&amp;creator=factset&amp;display_string=Audit"}</definedName>
    <definedName name="_2724__FDSAUDITLINK__" hidden="1">{"fdsup://Directions/FactSet Auditing Viewer?action=AUDIT_VALUE&amp;DB=129&amp;ID1=26157010&amp;VALUEID=13040&amp;SDATE=200902&amp;PERIODTYPE=QTR_STD&amp;window=popup_no_bar&amp;width=385&amp;height=120&amp;START_MAXIMIZED=FALSE&amp;creator=factset&amp;display_string=Audit"}</definedName>
    <definedName name="_2725__FDSAUDITLINK__" hidden="1">{"fdsup://Directions/FactSet Auditing Viewer?action=AUDIT_VALUE&amp;DB=129&amp;ID1=26157010&amp;VALUEID=01001&amp;SDATE=200902&amp;PERIODTYPE=QTR_STD&amp;window=popup_no_bar&amp;width=385&amp;height=120&amp;START_MAXIMIZED=FALSE&amp;creator=factset&amp;display_string=Audit"}</definedName>
    <definedName name="_2726__FDSAUDITLINK__" hidden="1">{"fdsup://Directions/FactSet Auditing Viewer?action=AUDIT_VALUE&amp;DB=129&amp;ID1=26157010&amp;VALUEID=02101&amp;SDATE=200902&amp;PERIODTYPE=QTR_STD&amp;window=popup_no_bar&amp;width=385&amp;height=120&amp;START_MAXIMIZED=FALSE&amp;creator=factset&amp;display_string=Audit"}</definedName>
    <definedName name="_2727__FDSAUDITLINK__" hidden="1">{"fdsup://Directions/FactSet Auditing Viewer?action=AUDIT_VALUE&amp;DB=129&amp;ID1=26157010&amp;VALUEID=01001&amp;SDATE=200904&amp;PERIODTYPE=QTR_STD&amp;window=popup_no_bar&amp;width=385&amp;height=120&amp;START_MAXIMIZED=FALSE&amp;creator=factset&amp;display_string=Audit"}</definedName>
    <definedName name="_2728__FDSAUDITLINK__" hidden="1">{"fdsup://Directions/FactSet Auditing Viewer?action=AUDIT_VALUE&amp;DB=129&amp;ID1=26157010&amp;VALUEID=13040&amp;SDATE=201001&amp;PERIODTYPE=QTR_STD&amp;window=popup_no_bar&amp;width=385&amp;height=120&amp;START_MAXIMIZED=FALSE&amp;creator=factset&amp;display_string=Audit"}</definedName>
    <definedName name="_2729__FDSAUDITLINK__" hidden="1">{"fdsup://Directions/FactSet Auditing Viewer?action=AUDIT_VALUE&amp;DB=129&amp;ID1=26157010&amp;VALUEID=01001&amp;SDATE=201001&amp;PERIODTYPE=QTR_STD&amp;window=popup_no_bar&amp;width=385&amp;height=120&amp;START_MAXIMIZED=FALSE&amp;creator=factset&amp;display_string=Audit"}</definedName>
    <definedName name="_273__FDSAUDITLINK__" hidden="1">{"fdsup://Directions/FactSet Auditing Viewer?action=AUDIT_VALUE&amp;DB=129&amp;ID1=02553E10&amp;VALUEID=13040&amp;SDATE=200701&amp;PERIODTYPE=QTR_STD&amp;window=popup_no_bar&amp;width=385&amp;height=120&amp;START_MAXIMIZED=FALSE&amp;creator=factset&amp;display_string=Audit"}</definedName>
    <definedName name="_2730__FDSAUDITLINK__" hidden="1">{"fdsup://Directions/FactSet Auditing Viewer?action=AUDIT_VALUE&amp;DB=129&amp;ID1=26157010&amp;VALUEID=02101&amp;SDATE=201001&amp;PERIODTYPE=QTR_STD&amp;window=popup_no_bar&amp;width=385&amp;height=120&amp;START_MAXIMIZED=FALSE&amp;creator=factset&amp;display_string=Audit"}</definedName>
    <definedName name="_2731__FDSAUDITLINK__" hidden="1">{"fdsup://Directions/FactSet Auditing Viewer?action=AUDIT_VALUE&amp;DB=129&amp;ID1=26157010&amp;VALUEID=01001&amp;SDATE=201002&amp;PERIODTYPE=QTR_STD&amp;window=popup_no_bar&amp;width=385&amp;height=120&amp;START_MAXIMIZED=FALSE&amp;creator=factset&amp;display_string=Audit"}</definedName>
    <definedName name="_2732__FDSAUDITLINK__" hidden="1">{"fdsup://Directions/FactSet Auditing Viewer?action=AUDIT_VALUE&amp;DB=129&amp;ID1=26157010&amp;VALUEID=02101&amp;SDATE=201002&amp;PERIODTYPE=QTR_STD&amp;window=popup_no_bar&amp;width=385&amp;height=120&amp;START_MAXIMIZED=FALSE&amp;creator=factset&amp;display_string=Audit"}</definedName>
    <definedName name="_2733__FDSAUDITLINK__" hidden="1">{"fdsup://Directions/FactSet Auditing Viewer?action=AUDIT_VALUE&amp;DB=129&amp;ID1=26157010&amp;VALUEID=13040&amp;SDATE=201003&amp;PERIODTYPE=QTR_STD&amp;window=popup_no_bar&amp;width=385&amp;height=120&amp;START_MAXIMIZED=FALSE&amp;creator=factset&amp;display_string=Audit"}</definedName>
    <definedName name="_2734__FDSAUDITLINK__" hidden="1">{"fdsup://Directions/FactSet Auditing Viewer?action=AUDIT_VALUE&amp;DB=129&amp;ID1=26157010&amp;VALUEID=01001&amp;SDATE=201003&amp;PERIODTYPE=QTR_STD&amp;window=popup_no_bar&amp;width=385&amp;height=120&amp;START_MAXIMIZED=FALSE&amp;creator=factset&amp;display_string=Audit"}</definedName>
    <definedName name="_2735__FDSAUDITLINK__" hidden="1">{"fdsup://Directions/FactSet Auditing Viewer?action=AUDIT_VALUE&amp;DB=129&amp;ID1=26157010&amp;VALUEID=02101&amp;SDATE=201003&amp;PERIODTYPE=QTR_STD&amp;window=popup_no_bar&amp;width=385&amp;height=120&amp;START_MAXIMIZED=FALSE&amp;creator=factset&amp;display_string=Audit"}</definedName>
    <definedName name="_2736__FDSAUDITLINK__" hidden="1">{"fdsup://directions/FAT Viewer?action=UPDATE&amp;creator=factset&amp;DYN_ARGS=TRUE&amp;DOC_NAME=FAT:FQL_AUDITING_CLIENT_TEMPLATE.FAT&amp;display_string=Audit&amp;VAR:KEY=TMTSRWJYFA&amp;VAR:QUERY=RkZfUlRfU0ZfVE9UX0dST1NTKFFUUiwtNDQp&amp;WINDOW=FIRST_POPUP&amp;HEIGHT=450&amp;WIDTH=450&amp;START_MA","XIMIZED=FALSE&amp;VAR:CALENDAR=US&amp;VAR:SYMBOL=DBRN&amp;VAR:INDEX=0"}</definedName>
    <definedName name="_2737__FDSAUDITLINK__" hidden="1">{"fdsup://directions/FAT Viewer?action=UPDATE&amp;creator=factset&amp;DYN_ARGS=TRUE&amp;DOC_NAME=FAT:FQL_AUDITING_CLIENT_TEMPLATE.FAT&amp;display_string=Audit&amp;VAR:KEY=ZGPAREJEDG&amp;VAR:QUERY=RkZfUlRfU0ZfVE9UX0dST1NTKFFUUiwtNDMp&amp;WINDOW=FIRST_POPUP&amp;HEIGHT=450&amp;WIDTH=450&amp;START_MA","XIMIZED=FALSE&amp;VAR:CALENDAR=US&amp;VAR:SYMBOL=DBRN&amp;VAR:INDEX=0"}</definedName>
    <definedName name="_2738__FDSAUDITLINK__" hidden="1">{"fdsup://directions/FAT Viewer?action=UPDATE&amp;creator=factset&amp;DYN_ARGS=TRUE&amp;DOC_NAME=FAT:FQL_AUDITING_CLIENT_TEMPLATE.FAT&amp;display_string=Audit&amp;VAR:KEY=VOXSREHORM&amp;VAR:QUERY=RkZfUlRfU0ZfVE9UX0dST1NTKFFUUiwtNDIp&amp;WINDOW=FIRST_POPUP&amp;HEIGHT=450&amp;WIDTH=450&amp;START_MA","XIMIZED=FALSE&amp;VAR:CALENDAR=US&amp;VAR:SYMBOL=DBRN&amp;VAR:INDEX=0"}</definedName>
    <definedName name="_2739__FDSAUDITLINK__" hidden="1">{"fdsup://directions/FAT Viewer?action=UPDATE&amp;creator=factset&amp;DYN_ARGS=TRUE&amp;DOC_NAME=FAT:FQL_AUDITING_CLIENT_TEMPLATE.FAT&amp;display_string=Audit&amp;VAR:KEY=VWNGJWDSNC&amp;VAR:QUERY=RkZfUlRfU0ZfVE9UX0dST1NTKFFUUiwtNDEp&amp;WINDOW=FIRST_POPUP&amp;HEIGHT=450&amp;WIDTH=450&amp;START_MA","XIMIZED=FALSE&amp;VAR:CALENDAR=US&amp;VAR:SYMBOL=DBRN&amp;VAR:INDEX=0"}</definedName>
    <definedName name="_274__FDSAUDITLINK__" hidden="1">{"fdsup://Directions/FactSet Auditing Viewer?action=AUDIT_VALUE&amp;DB=129&amp;ID1=00786510&amp;VALUEID=02101&amp;SDATE=200701&amp;PERIODTYPE=QTR_STD&amp;window=popup_no_bar&amp;width=385&amp;height=120&amp;START_MAXIMIZED=FALSE&amp;creator=factset&amp;display_string=Audit"}</definedName>
    <definedName name="_2740__FDSAUDITLINK__" hidden="1">{"fdsup://directions/FAT Viewer?action=UPDATE&amp;creator=factset&amp;DYN_ARGS=TRUE&amp;DOC_NAME=FAT:FQL_AUDITING_CLIENT_TEMPLATE.FAT&amp;display_string=Audit&amp;VAR:KEY=JGJWPYNKXE&amp;VAR:QUERY=RkZfUlRfU0ZfVE9UX0dST1NTKFFUUiwtNDAp&amp;WINDOW=FIRST_POPUP&amp;HEIGHT=450&amp;WIDTH=450&amp;START_MA","XIMIZED=FALSE&amp;VAR:CALENDAR=US&amp;VAR:SYMBOL=DBRN&amp;VAR:INDEX=0"}</definedName>
    <definedName name="_2741__FDSAUDITLINK__" hidden="1">{"fdsup://directions/FAT Viewer?action=UPDATE&amp;creator=factset&amp;DYN_ARGS=TRUE&amp;DOC_NAME=FAT:FQL_AUDITING_CLIENT_TEMPLATE.FAT&amp;display_string=Audit&amp;VAR:KEY=DCROFUZQNW&amp;VAR:QUERY=RkZfUlRfU0ZfVE9UX0dST1NTKFFUUiwtMzkp&amp;WINDOW=FIRST_POPUP&amp;HEIGHT=450&amp;WIDTH=450&amp;START_MA","XIMIZED=FALSE&amp;VAR:CALENDAR=US&amp;VAR:SYMBOL=DBRN&amp;VAR:INDEX=0"}</definedName>
    <definedName name="_2742__FDSAUDITLINK__" hidden="1">{"fdsup://directions/FAT Viewer?action=UPDATE&amp;creator=factset&amp;DYN_ARGS=TRUE&amp;DOC_NAME=FAT:FQL_AUDITING_CLIENT_TEMPLATE.FAT&amp;display_string=Audit&amp;VAR:KEY=NGTSNGJMPW&amp;VAR:QUERY=RkZfUlRfU0ZfVE9UX0dST1NTKFFUUiwtMzgp&amp;WINDOW=FIRST_POPUP&amp;HEIGHT=450&amp;WIDTH=450&amp;START_MA","XIMIZED=FALSE&amp;VAR:CALENDAR=US&amp;VAR:SYMBOL=DBRN&amp;VAR:INDEX=0"}</definedName>
    <definedName name="_2743__FDSAUDITLINK__" hidden="1">{"fdsup://directions/FAT Viewer?action=UPDATE&amp;creator=factset&amp;DYN_ARGS=TRUE&amp;DOC_NAME=FAT:FQL_AUDITING_CLIENT_TEMPLATE.FAT&amp;display_string=Audit&amp;VAR:KEY=LYVOVQVWJK&amp;VAR:QUERY=RkZfUlRfU0ZfVE9UX0dST1NTKFFUUiwtMzcp&amp;WINDOW=FIRST_POPUP&amp;HEIGHT=450&amp;WIDTH=450&amp;START_MA","XIMIZED=FALSE&amp;VAR:CALENDAR=US&amp;VAR:SYMBOL=DBRN&amp;VAR:INDEX=0"}</definedName>
    <definedName name="_2744__FDSAUDITLINK__" hidden="1">{"fdsup://directions/FAT Viewer?action=UPDATE&amp;creator=factset&amp;DYN_ARGS=TRUE&amp;DOC_NAME=FAT:FQL_AUDITING_CLIENT_TEMPLATE.FAT&amp;display_string=Audit&amp;VAR:KEY=NGTGVKJKLU&amp;VAR:QUERY=RkZfUlRfU0ZfVE9UX0dST1NTKFFUUiwtMzYp&amp;WINDOW=FIRST_POPUP&amp;HEIGHT=450&amp;WIDTH=450&amp;START_MA","XIMIZED=FALSE&amp;VAR:CALENDAR=US&amp;VAR:SYMBOL=DBRN&amp;VAR:INDEX=0"}</definedName>
    <definedName name="_2745__FDSAUDITLINK__" hidden="1">{"fdsup://directions/FAT Viewer?action=UPDATE&amp;creator=factset&amp;DYN_ARGS=TRUE&amp;DOC_NAME=FAT:FQL_AUDITING_CLIENT_TEMPLATE.FAT&amp;display_string=Audit&amp;VAR:KEY=RUPKHALQHU&amp;VAR:QUERY=RkZfUlRfU0ZfVE9UX0dST1NTKFFUUiwtMzUp&amp;WINDOW=FIRST_POPUP&amp;HEIGHT=450&amp;WIDTH=450&amp;START_MA","XIMIZED=FALSE&amp;VAR:CALENDAR=US&amp;VAR:SYMBOL=DBRN&amp;VAR:INDEX=0"}</definedName>
    <definedName name="_2746__FDSAUDITLINK__" hidden="1">{"fdsup://directions/FAT Viewer?action=UPDATE&amp;creator=factset&amp;DYN_ARGS=TRUE&amp;DOC_NAME=FAT:FQL_AUDITING_CLIENT_TEMPLATE.FAT&amp;display_string=Audit&amp;VAR:KEY=NKVOJYFWZI&amp;VAR:QUERY=RkZfUlRfU0ZfVE9UX0dST1NTKFFUUiwtMzQp&amp;WINDOW=FIRST_POPUP&amp;HEIGHT=450&amp;WIDTH=450&amp;START_MA","XIMIZED=FALSE&amp;VAR:CALENDAR=US&amp;VAR:SYMBOL=DBRN&amp;VAR:INDEX=0"}</definedName>
    <definedName name="_2747__FDSAUDITLINK__" hidden="1">{"fdsup://directions/FAT Viewer?action=UPDATE&amp;creator=factset&amp;DYN_ARGS=TRUE&amp;DOC_NAME=FAT:FQL_AUDITING_CLIENT_TEMPLATE.FAT&amp;display_string=Audit&amp;VAR:KEY=XCPADWPADE&amp;VAR:QUERY=RkZfUlRfU0ZfVE9UX0dST1NTKFFUUiwtMzMp&amp;WINDOW=FIRST_POPUP&amp;HEIGHT=450&amp;WIDTH=450&amp;START_MA","XIMIZED=FALSE&amp;VAR:CALENDAR=US&amp;VAR:SYMBOL=DBRN&amp;VAR:INDEX=0"}</definedName>
    <definedName name="_2748__FDSAUDITLINK__" hidden="1">{"fdsup://directions/FAT Viewer?action=UPDATE&amp;creator=factset&amp;DYN_ARGS=TRUE&amp;DOC_NAME=FAT:FQL_AUDITING_CLIENT_TEMPLATE.FAT&amp;display_string=Audit&amp;VAR:KEY=RKTCJUHCJM&amp;VAR:QUERY=RkZfUlRfU0ZfVE9UX0dST1NTKFFUUiwtMzIp&amp;WINDOW=FIRST_POPUP&amp;HEIGHT=450&amp;WIDTH=450&amp;START_MA","XIMIZED=FALSE&amp;VAR:CALENDAR=US&amp;VAR:SYMBOL=DBRN&amp;VAR:INDEX=0"}</definedName>
    <definedName name="_2749__FDSAUDITLINK__" hidden="1">{"fdsup://directions/FAT Viewer?action=UPDATE&amp;creator=factset&amp;DYN_ARGS=TRUE&amp;DOC_NAME=FAT:FQL_AUDITING_CLIENT_TEMPLATE.FAT&amp;display_string=Audit&amp;VAR:KEY=VQBUBCVANQ&amp;VAR:QUERY=RkZfUlRfU0ZfVE9UX0dST1NTKFFUUiwtMzEp&amp;WINDOW=FIRST_POPUP&amp;HEIGHT=450&amp;WIDTH=450&amp;START_MA","XIMIZED=FALSE&amp;VAR:CALENDAR=US&amp;VAR:SYMBOL=DBRN&amp;VAR:INDEX=0"}</definedName>
    <definedName name="_275__FDSAUDITLINK__" hidden="1">{"fdsup://Directions/FactSet Auditing Viewer?action=AUDIT_VALUE&amp;DB=129&amp;ID1=00786510&amp;VALUEID=01001&amp;SDATE=200701&amp;PERIODTYPE=QTR_STD&amp;window=popup_no_bar&amp;width=385&amp;height=120&amp;START_MAXIMIZED=FALSE&amp;creator=factset&amp;display_string=Audit"}</definedName>
    <definedName name="_2750__FDSAUDITLINK__" hidden="1">{"fdsup://directions/FAT Viewer?action=UPDATE&amp;creator=factset&amp;DYN_ARGS=TRUE&amp;DOC_NAME=FAT:FQL_AUDITING_CLIENT_TEMPLATE.FAT&amp;display_string=Audit&amp;VAR:KEY=LIBWRWZOFE&amp;VAR:QUERY=RkZfUlRfU0ZfVE9UX0dST1NTKFFUUiwtMzAp&amp;WINDOW=FIRST_POPUP&amp;HEIGHT=450&amp;WIDTH=450&amp;START_MA","XIMIZED=FALSE&amp;VAR:CALENDAR=US&amp;VAR:SYMBOL=DBRN&amp;VAR:INDEX=0"}</definedName>
    <definedName name="_2751__FDSAUDITLINK__" hidden="1">{"fdsup://directions/FAT Viewer?action=UPDATE&amp;creator=factset&amp;DYN_ARGS=TRUE&amp;DOC_NAME=FAT:FQL_AUDITING_CLIENT_TEMPLATE.FAT&amp;display_string=Audit&amp;VAR:KEY=HMDIRANAZM&amp;VAR:QUERY=RkZfUlRfU0ZfVE9UX0dST1NTKFFUUiwtMjkp&amp;WINDOW=FIRST_POPUP&amp;HEIGHT=450&amp;WIDTH=450&amp;START_MA","XIMIZED=FALSE&amp;VAR:CALENDAR=US&amp;VAR:SYMBOL=DBRN&amp;VAR:INDEX=0"}</definedName>
    <definedName name="_2752__FDSAUDITLINK__" hidden="1">{"fdsup://directions/FAT Viewer?action=UPDATE&amp;creator=factset&amp;DYN_ARGS=TRUE&amp;DOC_NAME=FAT:FQL_AUDITING_CLIENT_TEMPLATE.FAT&amp;display_string=Audit&amp;VAR:KEY=BUPMXCPCFM&amp;VAR:QUERY=RkZfUlRfU0ZfVE9UX0dST1NTKFFUUiwtMjgp&amp;WINDOW=FIRST_POPUP&amp;HEIGHT=450&amp;WIDTH=450&amp;START_MA","XIMIZED=FALSE&amp;VAR:CALENDAR=US&amp;VAR:SYMBOL=DBRN&amp;VAR:INDEX=0"}</definedName>
    <definedName name="_2753__FDSAUDITLINK__" hidden="1">{"fdsup://directions/FAT Viewer?action=UPDATE&amp;creator=factset&amp;DYN_ARGS=TRUE&amp;DOC_NAME=FAT:FQL_AUDITING_CLIENT_TEMPLATE.FAT&amp;display_string=Audit&amp;VAR:KEY=ZEJGTYHGNY&amp;VAR:QUERY=RkZfUlRfU0ZfVE9UX0dST1NTKFFUUiwtMjcp&amp;WINDOW=FIRST_POPUP&amp;HEIGHT=450&amp;WIDTH=450&amp;START_MA","XIMIZED=FALSE&amp;VAR:CALENDAR=US&amp;VAR:SYMBOL=DBRN&amp;VAR:INDEX=0"}</definedName>
    <definedName name="_2754__FDSAUDITLINK__" hidden="1">{"fdsup://directions/FAT Viewer?action=UPDATE&amp;creator=factset&amp;DYN_ARGS=TRUE&amp;DOC_NAME=FAT:FQL_AUDITING_CLIENT_TEMPLATE.FAT&amp;display_string=Audit&amp;VAR:KEY=ZMXYXARSHK&amp;VAR:QUERY=RkZfUlRfU0ZfVE9UX0dST1NTKFFUUiwtMjYp&amp;WINDOW=FIRST_POPUP&amp;HEIGHT=450&amp;WIDTH=450&amp;START_MA","XIMIZED=FALSE&amp;VAR:CALENDAR=US&amp;VAR:SYMBOL=DBRN&amp;VAR:INDEX=0"}</definedName>
    <definedName name="_2755__FDSAUDITLINK__" hidden="1">{"fdsup://directions/FAT Viewer?action=UPDATE&amp;creator=factset&amp;DYN_ARGS=TRUE&amp;DOC_NAME=FAT:FQL_AUDITING_CLIENT_TEMPLATE.FAT&amp;display_string=Audit&amp;VAR:KEY=ZGDMXCXMLA&amp;VAR:QUERY=RkZfUlRfU0ZfVE9UX0dST1NTKFFUUiwtMjUp&amp;WINDOW=FIRST_POPUP&amp;HEIGHT=450&amp;WIDTH=450&amp;START_MA","XIMIZED=FALSE&amp;VAR:CALENDAR=US&amp;VAR:SYMBOL=DBRN&amp;VAR:INDEX=0"}</definedName>
    <definedName name="_2756__FDSAUDITLINK__" hidden="1">{"fdsup://directions/FAT Viewer?action=UPDATE&amp;creator=factset&amp;DYN_ARGS=TRUE&amp;DOC_NAME=FAT:FQL_AUDITING_CLIENT_TEMPLATE.FAT&amp;display_string=Audit&amp;VAR:KEY=RAPUZEXQDA&amp;VAR:QUERY=RkZfUlRfU0ZfVE9UX0dST1NTKFFUUiwtMjQp&amp;WINDOW=FIRST_POPUP&amp;HEIGHT=450&amp;WIDTH=450&amp;START_MA","XIMIZED=FALSE&amp;VAR:CALENDAR=US&amp;VAR:SYMBOL=DBRN&amp;VAR:INDEX=0"}</definedName>
    <definedName name="_2757__FDSAUDITLINK__" hidden="1">{"fdsup://directions/FAT Viewer?action=UPDATE&amp;creator=factset&amp;DYN_ARGS=TRUE&amp;DOC_NAME=FAT:FQL_AUDITING_CLIENT_TEMPLATE.FAT&amp;display_string=Audit&amp;VAR:KEY=FUPMROVYPW&amp;VAR:QUERY=RkZfUlRfU0ZfVE9UX0dST1NTKFFUUiwtMjMp&amp;WINDOW=FIRST_POPUP&amp;HEIGHT=450&amp;WIDTH=450&amp;START_MA","XIMIZED=FALSE&amp;VAR:CALENDAR=US&amp;VAR:SYMBOL=DBRN&amp;VAR:INDEX=0"}</definedName>
    <definedName name="_2758__FDSAUDITLINK__" hidden="1">{"fdsup://directions/FAT Viewer?action=UPDATE&amp;creator=factset&amp;DYN_ARGS=TRUE&amp;DOC_NAME=FAT:FQL_AUDITING_CLIENT_TEMPLATE.FAT&amp;display_string=Audit&amp;VAR:KEY=PCHYVEJMZO&amp;VAR:QUERY=RkZfUlRfU0ZfVE9UX0dST1NTKFFUUiwtMjIp&amp;WINDOW=FIRST_POPUP&amp;HEIGHT=450&amp;WIDTH=450&amp;START_MA","XIMIZED=FALSE&amp;VAR:CALENDAR=US&amp;VAR:SYMBOL=DBRN&amp;VAR:INDEX=0"}</definedName>
    <definedName name="_2759__FDSAUDITLINK__" hidden="1">{"fdsup://directions/FAT Viewer?action=UPDATE&amp;creator=factset&amp;DYN_ARGS=TRUE&amp;DOC_NAME=FAT:FQL_AUDITING_CLIENT_TEMPLATE.FAT&amp;display_string=Audit&amp;VAR:KEY=PEBSFAHQFE&amp;VAR:QUERY=RkZfUlRfU0ZfVE9UX0dST1NTKFFUUiwtMjEp&amp;WINDOW=FIRST_POPUP&amp;HEIGHT=450&amp;WIDTH=450&amp;START_MA","XIMIZED=FALSE&amp;VAR:CALENDAR=US&amp;VAR:SYMBOL=DBRN&amp;VAR:INDEX=0"}</definedName>
    <definedName name="_276__FDSAUDITLINK__" hidden="1">{"fdsup://Directions/FactSet Auditing Viewer?action=AUDIT_VALUE&amp;DB=129&amp;ID1=00786510&amp;VALUEID=13040&amp;SDATE=200701&amp;PERIODTYPE=QTR_STD&amp;window=popup_no_bar&amp;width=385&amp;height=120&amp;START_MAXIMIZED=FALSE&amp;creator=factset&amp;display_string=Audit"}</definedName>
    <definedName name="_2760__FDSAUDITLINK__" hidden="1">{"fdsup://directions/FAT Viewer?action=UPDATE&amp;creator=factset&amp;DYN_ARGS=TRUE&amp;DOC_NAME=FAT:FQL_AUDITING_CLIENT_TEMPLATE.FAT&amp;display_string=Audit&amp;VAR:KEY=XAHOVYTITS&amp;VAR:QUERY=RkZfUlRfU0ZfVE9UX0dST1NTKFFUUiwtMjAp&amp;WINDOW=FIRST_POPUP&amp;HEIGHT=450&amp;WIDTH=450&amp;START_MA","XIMIZED=FALSE&amp;VAR:CALENDAR=US&amp;VAR:SYMBOL=DBRN&amp;VAR:INDEX=0"}</definedName>
    <definedName name="_2761__FDSAUDITLINK__" hidden="1">{"fdsup://directions/FAT Viewer?action=UPDATE&amp;creator=factset&amp;DYN_ARGS=TRUE&amp;DOC_NAME=FAT:FQL_AUDITING_CLIENT_TEMPLATE.FAT&amp;display_string=Audit&amp;VAR:KEY=PCZURWLAJY&amp;VAR:QUERY=RkZfUlRfU0ZfVE9UX0dST1NTKFFUUiwtMTkp&amp;WINDOW=FIRST_POPUP&amp;HEIGHT=450&amp;WIDTH=450&amp;START_MA","XIMIZED=FALSE&amp;VAR:CALENDAR=US&amp;VAR:SYMBOL=DBRN&amp;VAR:INDEX=0"}</definedName>
    <definedName name="_2762__FDSAUDITLINK__" hidden="1">{"fdsup://directions/FAT Viewer?action=UPDATE&amp;creator=factset&amp;DYN_ARGS=TRUE&amp;DOC_NAME=FAT:FQL_AUDITING_CLIENT_TEMPLATE.FAT&amp;display_string=Audit&amp;VAR:KEY=PWNQRKFAJI&amp;VAR:QUERY=RkZfUlRfU0ZfVE9UX0dST1NTKFFUUiwtMTgp&amp;WINDOW=FIRST_POPUP&amp;HEIGHT=450&amp;WIDTH=450&amp;START_MA","XIMIZED=FALSE&amp;VAR:CALENDAR=US&amp;VAR:SYMBOL=DBRN&amp;VAR:INDEX=0"}</definedName>
    <definedName name="_2763__FDSAUDITLINK__" hidden="1">{"fdsup://directions/FAT Viewer?action=UPDATE&amp;creator=factset&amp;DYN_ARGS=TRUE&amp;DOC_NAME=FAT:FQL_AUDITING_CLIENT_TEMPLATE.FAT&amp;display_string=Audit&amp;VAR:KEY=VEJSFSLURG&amp;VAR:QUERY=RkZfUlRfU0ZfVE9UX0dST1NTKFFUUiwtMTcp&amp;WINDOW=FIRST_POPUP&amp;HEIGHT=450&amp;WIDTH=450&amp;START_MA","XIMIZED=FALSE&amp;VAR:CALENDAR=US&amp;VAR:SYMBOL=DBRN&amp;VAR:INDEX=0"}</definedName>
    <definedName name="_2764__FDSAUDITLINK__" hidden="1">{"fdsup://directions/FAT Viewer?action=UPDATE&amp;creator=factset&amp;DYN_ARGS=TRUE&amp;DOC_NAME=FAT:FQL_AUDITING_CLIENT_TEMPLATE.FAT&amp;display_string=Audit&amp;VAR:KEY=VMZSFOTIPO&amp;VAR:QUERY=RkZfUlRfU0ZfVE9UX0dST1NTKFFUUiwtMTYp&amp;WINDOW=FIRST_POPUP&amp;HEIGHT=450&amp;WIDTH=450&amp;START_MA","XIMIZED=FALSE&amp;VAR:CALENDAR=US&amp;VAR:SYMBOL=DBRN&amp;VAR:INDEX=0"}</definedName>
    <definedName name="_2765__FDSAUDITLINK__" hidden="1">{"fdsup://directions/FAT Viewer?action=UPDATE&amp;creator=factset&amp;DYN_ARGS=TRUE&amp;DOC_NAME=FAT:FQL_AUDITING_CLIENT_TEMPLATE.FAT&amp;display_string=Audit&amp;VAR:KEY=NYTEXIPWHK&amp;VAR:QUERY=RkZfUlRfU0ZfVE9UX0dST1NTKFFUUiwtMTUp&amp;WINDOW=FIRST_POPUP&amp;HEIGHT=450&amp;WIDTH=450&amp;START_MA","XIMIZED=FALSE&amp;VAR:CALENDAR=US&amp;VAR:SYMBOL=DBRN&amp;VAR:INDEX=0"}</definedName>
    <definedName name="_2766__FDSAUDITLINK__" hidden="1">{"fdsup://directions/FAT Viewer?action=UPDATE&amp;creator=factset&amp;DYN_ARGS=TRUE&amp;DOC_NAME=FAT:FQL_AUDITING_CLIENT_TEMPLATE.FAT&amp;display_string=Audit&amp;VAR:KEY=DSVMZSVMZO&amp;VAR:QUERY=RkZfUlRfU0ZfVE9UX0dST1NTKFFUUiwtMTQp&amp;WINDOW=FIRST_POPUP&amp;HEIGHT=450&amp;WIDTH=450&amp;START_MA","XIMIZED=FALSE&amp;VAR:CALENDAR=US&amp;VAR:SYMBOL=DBRN&amp;VAR:INDEX=0"}</definedName>
    <definedName name="_2767__FDSAUDITLINK__" hidden="1">{"fdsup://directions/FAT Viewer?action=UPDATE&amp;creator=factset&amp;DYN_ARGS=TRUE&amp;DOC_NAME=FAT:FQL_AUDITING_CLIENT_TEMPLATE.FAT&amp;display_string=Audit&amp;VAR:KEY=VQXSJSNKJG&amp;VAR:QUERY=RkZfUlRfU0ZfVE9UX0dST1NTKFFUUiwtMTMp&amp;WINDOW=FIRST_POPUP&amp;HEIGHT=450&amp;WIDTH=450&amp;START_MA","XIMIZED=FALSE&amp;VAR:CALENDAR=US&amp;VAR:SYMBOL=DBRN&amp;VAR:INDEX=0"}</definedName>
    <definedName name="_2768__FDSAUDITLINK__" hidden="1">{"fdsup://directions/FAT Viewer?action=UPDATE&amp;creator=factset&amp;DYN_ARGS=TRUE&amp;DOC_NAME=FAT:FQL_AUDITING_CLIENT_TEMPLATE.FAT&amp;display_string=Audit&amp;VAR:KEY=PUFCXIVAXG&amp;VAR:QUERY=RkZfUlRfU0ZfVE9UX0dST1NTKFFUUiwtMTIp&amp;WINDOW=FIRST_POPUP&amp;HEIGHT=450&amp;WIDTH=450&amp;START_MA","XIMIZED=FALSE&amp;VAR:CALENDAR=US&amp;VAR:SYMBOL=DBRN&amp;VAR:INDEX=0"}</definedName>
    <definedName name="_2769__FDSAUDITLINK__" hidden="1">{"fdsup://directions/FAT Viewer?action=UPDATE&amp;creator=factset&amp;DYN_ARGS=TRUE&amp;DOC_NAME=FAT:FQL_AUDITING_CLIENT_TEMPLATE.FAT&amp;display_string=Audit&amp;VAR:KEY=DUPETUHELY&amp;VAR:QUERY=RkZfUlRfU0ZfVE9UX0dST1NTKFFUUiwtMTEp&amp;WINDOW=FIRST_POPUP&amp;HEIGHT=450&amp;WIDTH=450&amp;START_MA","XIMIZED=FALSE&amp;VAR:CALENDAR=US&amp;VAR:SYMBOL=DBRN&amp;VAR:INDEX=0"}</definedName>
    <definedName name="_277__FDSAUDITLINK__" hidden="1">{"fdsup://Directions/FactSet Auditing Viewer?action=AUDIT_VALUE&amp;DB=129&amp;ID1=00289620&amp;VALUEID=02101&amp;SDATE=200701&amp;PERIODTYPE=QTR_STD&amp;window=popup_no_bar&amp;width=385&amp;height=120&amp;START_MAXIMIZED=FALSE&amp;creator=factset&amp;display_string=Audit"}</definedName>
    <definedName name="_2770__FDSAUDITLINK__" hidden="1">{"fdsup://directions/FAT Viewer?action=UPDATE&amp;creator=factset&amp;DYN_ARGS=TRUE&amp;DOC_NAME=FAT:FQL_AUDITING_CLIENT_TEMPLATE.FAT&amp;display_string=Audit&amp;VAR:KEY=NSVOPELSHM&amp;VAR:QUERY=RkZfUlRfU0ZfVE9UX0dST1NTKFFUUiwtMTAp&amp;WINDOW=FIRST_POPUP&amp;HEIGHT=450&amp;WIDTH=450&amp;START_MA","XIMIZED=FALSE&amp;VAR:CALENDAR=US&amp;VAR:SYMBOL=DBRN&amp;VAR:INDEX=0"}</definedName>
    <definedName name="_2771__FDSAUDITLINK__" hidden="1">{"fdsup://directions/FAT Viewer?action=UPDATE&amp;creator=factset&amp;DYN_ARGS=TRUE&amp;DOC_NAME=FAT:FQL_AUDITING_CLIENT_TEMPLATE.FAT&amp;display_string=Audit&amp;VAR:KEY=LUJMZERCNC&amp;VAR:QUERY=RkZfUlRfU0ZfVE9UX0dST1NTKFFUUiwtOSk=&amp;WINDOW=FIRST_POPUP&amp;HEIGHT=450&amp;WIDTH=450&amp;START_MA","XIMIZED=FALSE&amp;VAR:CALENDAR=US&amp;VAR:SYMBOL=DBRN&amp;VAR:INDEX=0"}</definedName>
    <definedName name="_2772__FDSAUDITLINK__" hidden="1">{"fdsup://directions/FAT Viewer?action=UPDATE&amp;creator=factset&amp;DYN_ARGS=TRUE&amp;DOC_NAME=FAT:FQL_AUDITING_CLIENT_TEMPLATE.FAT&amp;display_string=Audit&amp;VAR:KEY=TMDOHSFIJW&amp;VAR:QUERY=RkZfUlRfU0ZfVE9UX0dST1NTKFFUUiwtOCk=&amp;WINDOW=FIRST_POPUP&amp;HEIGHT=450&amp;WIDTH=450&amp;START_MA","XIMIZED=FALSE&amp;VAR:CALENDAR=US&amp;VAR:SYMBOL=DBRN&amp;VAR:INDEX=0"}</definedName>
    <definedName name="_2773__FDSAUDITLINK__" hidden="1">{"fdsup://directions/FAT Viewer?action=UPDATE&amp;creator=factset&amp;DYN_ARGS=TRUE&amp;DOC_NAME=FAT:FQL_AUDITING_CLIENT_TEMPLATE.FAT&amp;display_string=Audit&amp;VAR:KEY=HYDSPKZIXU&amp;VAR:QUERY=RkZfUlRfU0ZfVE9UX0dST1NTKFFUUiwtNyk=&amp;WINDOW=FIRST_POPUP&amp;HEIGHT=450&amp;WIDTH=450&amp;START_MA","XIMIZED=FALSE&amp;VAR:CALENDAR=US&amp;VAR:SYMBOL=DBRN&amp;VAR:INDEX=0"}</definedName>
    <definedName name="_2774__FDSAUDITLINK__" hidden="1">{"fdsup://directions/FAT Viewer?action=UPDATE&amp;creator=factset&amp;DYN_ARGS=TRUE&amp;DOC_NAME=FAT:FQL_AUDITING_CLIENT_TEMPLATE.FAT&amp;display_string=Audit&amp;VAR:KEY=DUDYFUJIHE&amp;VAR:QUERY=RkZfUlRfU0ZfVE9UX0dST1NTKFFUUiwtNik=&amp;WINDOW=FIRST_POPUP&amp;HEIGHT=450&amp;WIDTH=450&amp;START_MA","XIMIZED=FALSE&amp;VAR:CALENDAR=US&amp;VAR:SYMBOL=DBRN&amp;VAR:INDEX=0"}</definedName>
    <definedName name="_2775__FDSAUDITLINK__" hidden="1">{"fdsup://directions/FAT Viewer?action=UPDATE&amp;creator=factset&amp;DYN_ARGS=TRUE&amp;DOC_NAME=FAT:FQL_AUDITING_CLIENT_TEMPLATE.FAT&amp;display_string=Audit&amp;VAR:KEY=BMXMBQZYBW&amp;VAR:QUERY=RkZfUlRfU0ZfVE9UX0dST1NTKFFUUiwtNSk=&amp;WINDOW=FIRST_POPUP&amp;HEIGHT=450&amp;WIDTH=450&amp;START_MA","XIMIZED=FALSE&amp;VAR:CALENDAR=US&amp;VAR:SYMBOL=DBRN&amp;VAR:INDEX=0"}</definedName>
    <definedName name="_2776__FDSAUDITLINK__" hidden="1">{"fdsup://directions/FAT Viewer?action=UPDATE&amp;creator=factset&amp;DYN_ARGS=TRUE&amp;DOC_NAME=FAT:FQL_AUDITING_CLIENT_TEMPLATE.FAT&amp;display_string=Audit&amp;VAR:KEY=FMXGVCLQVA&amp;VAR:QUERY=RkZfUlRfU0ZfVE9UX0dST1NTKFFUUiwtNCk=&amp;WINDOW=FIRST_POPUP&amp;HEIGHT=450&amp;WIDTH=450&amp;START_MA","XIMIZED=FALSE&amp;VAR:CALENDAR=US&amp;VAR:SYMBOL=DBRN&amp;VAR:INDEX=0"}</definedName>
    <definedName name="_2777__FDSAUDITLINK__" hidden="1">{"fdsup://directions/FAT Viewer?action=UPDATE&amp;creator=factset&amp;DYN_ARGS=TRUE&amp;DOC_NAME=FAT:FQL_AUDITING_CLIENT_TEMPLATE.FAT&amp;display_string=Audit&amp;VAR:KEY=JKNULCRGRS&amp;VAR:QUERY=RkZfUlRfU0ZfVE9UX0dST1NTKFFUUiwtMyk=&amp;WINDOW=FIRST_POPUP&amp;HEIGHT=450&amp;WIDTH=450&amp;START_MA","XIMIZED=FALSE&amp;VAR:CALENDAR=US&amp;VAR:SYMBOL=DBRN&amp;VAR:INDEX=0"}</definedName>
    <definedName name="_2778__FDSAUDITLINK__" hidden="1">{"fdsup://directions/FAT Viewer?action=UPDATE&amp;creator=factset&amp;DYN_ARGS=TRUE&amp;DOC_NAME=FAT:FQL_AUDITING_CLIENT_TEMPLATE.FAT&amp;display_string=Audit&amp;VAR:KEY=TIRMXCDUPO&amp;VAR:QUERY=RkZfUlRfU0ZfVE9UX0dST1NTKFFUUiwtMik=&amp;WINDOW=FIRST_POPUP&amp;HEIGHT=450&amp;WIDTH=450&amp;START_MA","XIMIZED=FALSE&amp;VAR:CALENDAR=US&amp;VAR:SYMBOL=DBRN&amp;VAR:INDEX=0"}</definedName>
    <definedName name="_2779__FDSAUDITLINK__" hidden="1">{"fdsup://directions/FAT Viewer?action=UPDATE&amp;creator=factset&amp;DYN_ARGS=TRUE&amp;DOC_NAME=FAT:FQL_AUDITING_CLIENT_TEMPLATE.FAT&amp;display_string=Audit&amp;VAR:KEY=XMFIZGVCXS&amp;VAR:QUERY=RkZfUlRfU0ZfVE9UX0dST1NTKFFUUiwtMSk=&amp;WINDOW=FIRST_POPUP&amp;HEIGHT=450&amp;WIDTH=450&amp;START_MA","XIMIZED=FALSE&amp;VAR:CALENDAR=US&amp;VAR:SYMBOL=DBRN&amp;VAR:INDEX=0"}</definedName>
    <definedName name="_278__FDSAUDITLINK__" hidden="1">{"fdsup://Directions/FactSet Auditing Viewer?action=AUDIT_VALUE&amp;DB=129&amp;ID1=00289620&amp;VALUEID=01001&amp;SDATE=200701&amp;PERIODTYPE=QTR_STD&amp;window=popup_no_bar&amp;width=385&amp;height=120&amp;START_MAXIMIZED=FALSE&amp;creator=factset&amp;display_string=Audit"}</definedName>
    <definedName name="_2780__FDSAUDITLINK__" hidden="1">{"fdsup://directions/FAT Viewer?action=UPDATE&amp;creator=factset&amp;DYN_ARGS=TRUE&amp;DOC_NAME=FAT:FQL_AUDITING_CLIENT_TEMPLATE.FAT&amp;display_string=Audit&amp;VAR:KEY=FCXIFIFAHG&amp;VAR:QUERY=RkZfUlRfU0ZfVE9UX0dST1NTKFFUUiwwKQ==&amp;WINDOW=FIRST_POPUP&amp;HEIGHT=450&amp;WIDTH=450&amp;START_MA","XIMIZED=FALSE&amp;VAR:CALENDAR=US&amp;VAR:SYMBOL=DBRN&amp;VAR:INDEX=0"}</definedName>
    <definedName name="_2781__FDSAUDITLINK__" hidden="1">{"fdsup://directions/FAT Viewer?action=UPDATE&amp;creator=factset&amp;DYN_ARGS=TRUE&amp;DOC_NAME=FAT:FQL_AUDITING_CLIENT_TEMPLATE.FAT&amp;display_string=Audit&amp;VAR:KEY=FCXIFIFAHG&amp;VAR:QUERY=RkZfUlRfU0ZfVE9UX0dST1NTKFFUUiwwKQ==&amp;WINDOW=FIRST_POPUP&amp;HEIGHT=450&amp;WIDTH=450&amp;START_MA","XIMIZED=FALSE&amp;VAR:CALENDAR=US&amp;VAR:SYMBOL=DBRN&amp;VAR:INDEX=0"}</definedName>
    <definedName name="_2782__FDSAUDITLINK__" hidden="1">{"fdsup://directions/FAT Viewer?action=UPDATE&amp;creator=factset&amp;DYN_ARGS=TRUE&amp;DOC_NAME=FAT:FQL_AUDITING_CLIENT_TEMPLATE.FAT&amp;display_string=Audit&amp;VAR:KEY=XMFIZGVCXS&amp;VAR:QUERY=RkZfUlRfU0ZfVE9UX0dST1NTKFFUUiwtMSk=&amp;WINDOW=FIRST_POPUP&amp;HEIGHT=450&amp;WIDTH=450&amp;START_MA","XIMIZED=FALSE&amp;VAR:CALENDAR=US&amp;VAR:SYMBOL=DBRN&amp;VAR:INDEX=0"}</definedName>
    <definedName name="_2783__FDSAUDITLINK__" hidden="1">{"fdsup://directions/FAT Viewer?action=UPDATE&amp;creator=factset&amp;DYN_ARGS=TRUE&amp;DOC_NAME=FAT:FQL_AUDITING_CLIENT_TEMPLATE.FAT&amp;display_string=Audit&amp;VAR:KEY=TIRMXCDUPO&amp;VAR:QUERY=RkZfUlRfU0ZfVE9UX0dST1NTKFFUUiwtMik=&amp;WINDOW=FIRST_POPUP&amp;HEIGHT=450&amp;WIDTH=450&amp;START_MA","XIMIZED=FALSE&amp;VAR:CALENDAR=US&amp;VAR:SYMBOL=DBRN&amp;VAR:INDEX=0"}</definedName>
    <definedName name="_279__FDSAUDITLINK__" hidden="1">{"fdsup://Directions/FactSet Auditing Viewer?action=AUDIT_VALUE&amp;DB=129&amp;ID1=00289620&amp;VALUEID=13040&amp;SDATE=200701&amp;PERIODTYPE=QTR_STD&amp;window=popup_no_bar&amp;width=385&amp;height=120&amp;START_MAXIMIZED=FALSE&amp;creator=factset&amp;display_string=Audit"}</definedName>
    <definedName name="_28__FDSAUDITLINK__" hidden="1">{"fdsup://Directions/FactSet Auditing Viewer?action=AUDIT_VALUE&amp;DB=129&amp;ID1=02553E10&amp;VALUEID=01001&amp;SDATE=200904&amp;PERIODTYPE=QTR_STD&amp;window=popup_no_bar&amp;width=385&amp;height=120&amp;START_MAXIMIZED=FALSE&amp;creator=factset&amp;display_string=Audit"}</definedName>
    <definedName name="_280__FDSAUDITLINK__" hidden="1">{"fdsup://Directions/FactSet Auditing Viewer?action=AUDIT_VALUE&amp;DB=129&amp;ID1=87416110&amp;VALUEID=01001&amp;SDATE=200604&amp;PERIODTYPE=QTR_STD&amp;window=popup_no_bar&amp;width=385&amp;height=120&amp;START_MAXIMIZED=FALSE&amp;creator=factset&amp;display_string=Audit"}</definedName>
    <definedName name="_281__FDSAUDITLINK__" hidden="1">{"fdsup://Directions/FactSet Auditing Viewer?action=AUDIT_VALUE&amp;DB=129&amp;ID1=46612H40&amp;VALUEID=01001&amp;SDATE=200604&amp;PERIODTYPE=QTR_STD&amp;window=popup_no_bar&amp;width=385&amp;height=120&amp;START_MAXIMIZED=FALSE&amp;creator=factset&amp;display_string=Audit"}</definedName>
    <definedName name="_282__FDSAUDITLINK__" hidden="1">{"fdsup://Directions/FactSet Auditing Viewer?action=AUDIT_VALUE&amp;DB=129&amp;ID1=36476010&amp;VALUEID=01001&amp;SDATE=200604&amp;PERIODTYPE=QTR_STD&amp;window=popup_no_bar&amp;width=385&amp;height=120&amp;START_MAXIMIZED=FALSE&amp;creator=factset&amp;display_string=Audit"}</definedName>
    <definedName name="_283__FDSAUDITLINK__" hidden="1">{"fdsup://Directions/FactSet Auditing Viewer?action=AUDIT_VALUE&amp;DB=129&amp;ID1=03611510&amp;VALUEID=01001&amp;SDATE=200604&amp;PERIODTYPE=QTR_STD&amp;window=popup_no_bar&amp;width=385&amp;height=120&amp;START_MAXIMIZED=FALSE&amp;creator=factset&amp;display_string=Audit"}</definedName>
    <definedName name="_284__FDSAUDITLINK__" hidden="1">{"fdsup://Directions/FactSet Auditing Viewer?action=AUDIT_VALUE&amp;DB=129&amp;ID1=16890510&amp;VALUEID=01001&amp;SDATE=200604&amp;PERIODTYPE=QTR_STD&amp;window=popup_no_bar&amp;width=385&amp;height=120&amp;START_MAXIMIZED=FALSE&amp;creator=factset&amp;display_string=Audit"}</definedName>
    <definedName name="_285__FDSAUDITLINK__" hidden="1">{"fdsup://directions/FAT Viewer?action=UPDATE&amp;creator=factset&amp;DYN_ARGS=TRUE&amp;DOC_NAME=FAT:FQL_AUDITING_CLIENT_TEMPLATE.FAT&amp;display_string=Audit&amp;VAR:KEY=BONMBKFGLQ&amp;VAR:QUERY=RkZfUlRfU0ZfVE9UX0dST1NTKFFUUiwtMTMp&amp;WINDOW=FIRST_POPUP&amp;HEIGHT=450&amp;WIDTH=450&amp;START_MA","XIMIZED=FALSE&amp;VAR:CALENDAR=US&amp;VAR:SYMBOL=AEO&amp;VAR:INDEX=0"}</definedName>
    <definedName name="_286__FDSAUDITLINK__" hidden="1">{"fdsup://Directions/FactSet Auditing Viewer?action=AUDIT_VALUE&amp;DB=129&amp;ID1=00786510&amp;VALUEID=01001&amp;SDATE=200604&amp;PERIODTYPE=QTR_STD&amp;window=popup_no_bar&amp;width=385&amp;height=120&amp;START_MAXIMIZED=FALSE&amp;creator=factset&amp;display_string=Audit"}</definedName>
    <definedName name="_287__FDSAUDITLINK__" hidden="1">{"fdsup://Directions/FactSet Auditing Viewer?action=AUDIT_VALUE&amp;DB=129&amp;ID1=87416110&amp;VALUEID=02101&amp;SDATE=200603&amp;PERIODTYPE=QTR_STD&amp;window=popup_no_bar&amp;width=385&amp;height=120&amp;START_MAXIMIZED=FALSE&amp;creator=factset&amp;display_string=Audit"}</definedName>
    <definedName name="_288__FDSAUDITLINK__" hidden="1">{"fdsup://Directions/FactSet Auditing Viewer?action=AUDIT_VALUE&amp;DB=129&amp;ID1=87416110&amp;VALUEID=01001&amp;SDATE=200603&amp;PERIODTYPE=QTR_STD&amp;window=popup_no_bar&amp;width=385&amp;height=120&amp;START_MAXIMIZED=FALSE&amp;creator=factset&amp;display_string=Audit"}</definedName>
    <definedName name="_289__FDSAUDITLINK__" hidden="1">{"fdsup://Directions/FactSet Auditing Viewer?action=AUDIT_VALUE&amp;DB=129&amp;ID1=53271610&amp;VALUEID=02101&amp;SDATE=200603&amp;PERIODTYPE=QTR_STD&amp;window=popup_no_bar&amp;width=385&amp;height=120&amp;START_MAXIMIZED=FALSE&amp;creator=factset&amp;display_string=Audit"}</definedName>
    <definedName name="_29__FDSAUDITLINK__" hidden="1">{"fdsup://Directions/FactSet Auditing Viewer?action=AUDIT_VALUE&amp;DB=129&amp;ID1=00786510&amp;VALUEID=01001&amp;SDATE=200904&amp;PERIODTYPE=QTR_STD&amp;window=popup_no_bar&amp;width=385&amp;height=120&amp;START_MAXIMIZED=FALSE&amp;creator=factset&amp;display_string=Audit"}</definedName>
    <definedName name="_290__FDSAUDITLINK__" hidden="1">{"fdsup://Directions/FactSet Auditing Viewer?action=AUDIT_VALUE&amp;DB=129&amp;ID1=53271610&amp;VALUEID=01001&amp;SDATE=200603&amp;PERIODTYPE=QTR_STD&amp;window=popup_no_bar&amp;width=385&amp;height=120&amp;START_MAXIMIZED=FALSE&amp;creator=factset&amp;display_string=Audit"}</definedName>
    <definedName name="_291__FDSAUDITLINK__" hidden="1">{"fdsup://Directions/FactSet Auditing Viewer?action=AUDIT_VALUE&amp;DB=129&amp;ID1=53271610&amp;VALUEID=13040&amp;SDATE=200603&amp;PERIODTYPE=QTR_STD&amp;window=popup_no_bar&amp;width=385&amp;height=120&amp;START_MAXIMIZED=FALSE&amp;creator=factset&amp;display_string=Audit"}</definedName>
    <definedName name="_292__FDSAUDITLINK__" hidden="1">{"fdsup://Directions/FactSet Auditing Viewer?action=AUDIT_VALUE&amp;DB=129&amp;ID1=46612H40&amp;VALUEID=02101&amp;SDATE=200603&amp;PERIODTYPE=QTR_STD&amp;window=popup_no_bar&amp;width=385&amp;height=120&amp;START_MAXIMIZED=FALSE&amp;creator=factset&amp;display_string=Audit"}</definedName>
    <definedName name="_293__FDSAUDITLINK__" hidden="1">{"fdsup://Directions/FactSet Auditing Viewer?action=AUDIT_VALUE&amp;DB=129&amp;ID1=46612H40&amp;VALUEID=01001&amp;SDATE=200603&amp;PERIODTYPE=QTR_STD&amp;window=popup_no_bar&amp;width=385&amp;height=120&amp;START_MAXIMIZED=FALSE&amp;creator=factset&amp;display_string=Audit"}</definedName>
    <definedName name="_294__FDSAUDITLINK__" hidden="1">{"fdsup://Directions/FactSet Auditing Viewer?action=AUDIT_VALUE&amp;DB=129&amp;ID1=46612H40&amp;VALUEID=13040&amp;SDATE=200603&amp;PERIODTYPE=QTR_STD&amp;window=popup_no_bar&amp;width=385&amp;height=120&amp;START_MAXIMIZED=FALSE&amp;creator=factset&amp;display_string=Audit"}</definedName>
    <definedName name="_295__FDSAUDITLINK__" hidden="1">{"fdsup://Directions/FactSet Auditing Viewer?action=AUDIT_VALUE&amp;DB=129&amp;ID1=36476010&amp;VALUEID=02101&amp;SDATE=200603&amp;PERIODTYPE=QTR_STD&amp;window=popup_no_bar&amp;width=385&amp;height=120&amp;START_MAXIMIZED=FALSE&amp;creator=factset&amp;display_string=Audit"}</definedName>
    <definedName name="_296__FDSAUDITLINK__" hidden="1">{"fdsup://Directions/FactSet Auditing Viewer?action=AUDIT_VALUE&amp;DB=129&amp;ID1=36476010&amp;VALUEID=01001&amp;SDATE=200603&amp;PERIODTYPE=QTR_STD&amp;window=popup_no_bar&amp;width=385&amp;height=120&amp;START_MAXIMIZED=FALSE&amp;creator=factset&amp;display_string=Audit"}</definedName>
    <definedName name="_297__FDSAUDITLINK__" hidden="1">{"fdsup://Directions/FactSet Auditing Viewer?action=AUDIT_VALUE&amp;DB=129&amp;ID1=36476010&amp;VALUEID=13040&amp;SDATE=200603&amp;PERIODTYPE=QTR_STD&amp;window=popup_no_bar&amp;width=385&amp;height=120&amp;START_MAXIMIZED=FALSE&amp;creator=factset&amp;display_string=Audit"}</definedName>
    <definedName name="_298__FDSAUDITLINK__" hidden="1">{"fdsup://Directions/FactSet Auditing Viewer?action=AUDIT_VALUE&amp;DB=129&amp;ID1=03611510&amp;VALUEID=02101&amp;SDATE=200603&amp;PERIODTYPE=QTR_STD&amp;window=popup_no_bar&amp;width=385&amp;height=120&amp;START_MAXIMIZED=FALSE&amp;creator=factset&amp;display_string=Audit"}</definedName>
    <definedName name="_299__FDSAUDITLINK__" hidden="1">{"fdsup://Directions/FactSet Auditing Viewer?action=AUDIT_VALUE&amp;DB=129&amp;ID1=03611510&amp;VALUEID=01001&amp;SDATE=200603&amp;PERIODTYPE=QTR_STD&amp;window=popup_no_bar&amp;width=385&amp;height=120&amp;START_MAXIMIZED=FALSE&amp;creator=factset&amp;display_string=Audit"}</definedName>
    <definedName name="_3__FDSAUDITLINK__" hidden="1">{"fdsup://directions/FAT Viewer?action=UPDATE&amp;creator=factset&amp;DYN_ARGS=TRUE&amp;DOC_NAME=FAT:FQL_AUDITING_CLIENT_TEMPLATE.FAT&amp;display_string=Audit&amp;VAR:KEY=FSTUHMJIBA&amp;VAR:QUERY=RkZfUlRfU0ZfVE9UX0dST1NTKFFUUiwwKQ==&amp;WINDOW=FIRST_POPUP&amp;HEIGHT=450&amp;WIDTH=450&amp;START_MA","XIMIZED=FALSE&amp;VAR:CALENDAR=US&amp;VAR:SYMBOL=TLB&amp;VAR:INDEX=0"}</definedName>
    <definedName name="_30__FDSAUDITLINK__" hidden="1">{"fdsup://Directions/FactSet Auditing Viewer?action=AUDIT_VALUE&amp;DB=129&amp;ID1=87416110&amp;VALUEID=02101&amp;SDATE=200903&amp;PERIODTYPE=QTR_STD&amp;window=popup_no_bar&amp;width=385&amp;height=120&amp;START_MAXIMIZED=FALSE&amp;creator=factset&amp;display_string=Audit"}</definedName>
    <definedName name="_300__FDSAUDITLINK__" hidden="1">{"fdsup://Directions/FactSet Auditing Viewer?action=AUDIT_VALUE&amp;DB=129&amp;ID1=03611510&amp;VALUEID=13040&amp;SDATE=200603&amp;PERIODTYPE=QTR_STD&amp;window=popup_no_bar&amp;width=385&amp;height=120&amp;START_MAXIMIZED=FALSE&amp;creator=factset&amp;display_string=Audit"}</definedName>
    <definedName name="_301__FDSAUDITLINK__" hidden="1">{"fdsup://Directions/FactSet Auditing Viewer?action=AUDIT_VALUE&amp;DB=129&amp;ID1=16890510&amp;VALUEID=02101&amp;SDATE=200603&amp;PERIODTYPE=QTR_STD&amp;window=popup_no_bar&amp;width=385&amp;height=120&amp;START_MAXIMIZED=FALSE&amp;creator=factset&amp;display_string=Audit"}</definedName>
    <definedName name="_302__FDSAUDITLINK__" hidden="1">{"fdsup://Directions/FactSet Auditing Viewer?action=AUDIT_VALUE&amp;DB=129&amp;ID1=16890510&amp;VALUEID=01001&amp;SDATE=200603&amp;PERIODTYPE=QTR_STD&amp;window=popup_no_bar&amp;width=385&amp;height=120&amp;START_MAXIMIZED=FALSE&amp;creator=factset&amp;display_string=Audit"}</definedName>
    <definedName name="_303__FDSAUDITLINK__" hidden="1">{"fdsup://Directions/FactSet Auditing Viewer?action=AUDIT_VALUE&amp;DB=129&amp;ID1=91704710&amp;VALUEID=02101&amp;SDATE=200603&amp;PERIODTYPE=QTR_STD&amp;window=popup_no_bar&amp;width=385&amp;height=120&amp;START_MAXIMIZED=FALSE&amp;creator=factset&amp;display_string=Audit"}</definedName>
    <definedName name="_304__FDSAUDITLINK__" hidden="1">{"fdsup://Directions/FactSet Auditing Viewer?action=AUDIT_VALUE&amp;DB=129&amp;ID1=91704710&amp;VALUEID=01001&amp;SDATE=200603&amp;PERIODTYPE=QTR_STD&amp;window=popup_no_bar&amp;width=385&amp;height=120&amp;START_MAXIMIZED=FALSE&amp;creator=factset&amp;display_string=Audit"}</definedName>
    <definedName name="_305__FDSAUDITLINK__" hidden="1">{"fdsup://Directions/FactSet Auditing Viewer?action=AUDIT_VALUE&amp;DB=129&amp;ID1=91704710&amp;VALUEID=13040&amp;SDATE=200603&amp;PERIODTYPE=QTR_STD&amp;window=popup_no_bar&amp;width=385&amp;height=120&amp;START_MAXIMIZED=FALSE&amp;creator=factset&amp;display_string=Audit"}</definedName>
    <definedName name="_306__FDSAUDITLINK__" hidden="1">{"fdsup://directions/FAT Viewer?action=UPDATE&amp;creator=factset&amp;DYN_ARGS=TRUE&amp;DOC_NAME=FAT:FQL_AUDITING_CLIENT_TEMPLATE.FAT&amp;display_string=Audit&amp;VAR:KEY=NGXYHSLMBY&amp;VAR:QUERY=RkZfUlRfU0ZfVE9UX0dST1NTKFFUUiwtMTQp&amp;WINDOW=FIRST_POPUP&amp;HEIGHT=450&amp;WIDTH=450&amp;START_MA","XIMIZED=FALSE&amp;VAR:CALENDAR=US&amp;VAR:SYMBOL=AEO&amp;VAR:INDEX=0"}</definedName>
    <definedName name="_307__FDSAUDITLINK__" hidden="1">{"fdsup://Directions/FactSet Auditing Viewer?action=AUDIT_VALUE&amp;DB=129&amp;ID1=00786510&amp;VALUEID=02101&amp;SDATE=200603&amp;PERIODTYPE=QTR_STD&amp;window=popup_no_bar&amp;width=385&amp;height=120&amp;START_MAXIMIZED=FALSE&amp;creator=factset&amp;display_string=Audit"}</definedName>
    <definedName name="_308__FDSAUDITLINK__" hidden="1">{"fdsup://Directions/FactSet Auditing Viewer?action=AUDIT_VALUE&amp;DB=129&amp;ID1=00786510&amp;VALUEID=01001&amp;SDATE=200603&amp;PERIODTYPE=QTR_STD&amp;window=popup_no_bar&amp;width=385&amp;height=120&amp;START_MAXIMIZED=FALSE&amp;creator=factset&amp;display_string=Audit"}</definedName>
    <definedName name="_309__FDSAUDITLINK__" hidden="1">{"fdsup://Directions/FactSet Auditing Viewer?action=AUDIT_VALUE&amp;DB=129&amp;ID1=00786510&amp;VALUEID=13040&amp;SDATE=200603&amp;PERIODTYPE=QTR_STD&amp;window=popup_no_bar&amp;width=385&amp;height=120&amp;START_MAXIMIZED=FALSE&amp;creator=factset&amp;display_string=Audit"}</definedName>
    <definedName name="_31__FDSAUDITLINK__" hidden="1">{"fdsup://Directions/FactSet Auditing Viewer?action=AUDIT_VALUE&amp;DB=129&amp;ID1=87416110&amp;VALUEID=01001&amp;SDATE=200903&amp;PERIODTYPE=QTR_STD&amp;window=popup_no_bar&amp;width=385&amp;height=120&amp;START_MAXIMIZED=FALSE&amp;creator=factset&amp;display_string=Audit"}</definedName>
    <definedName name="_310__FDSAUDITLINK__" hidden="1">{"fdsup://Directions/FactSet Auditing Viewer?action=AUDIT_VALUE&amp;DB=129&amp;ID1=00289620&amp;VALUEID=02101&amp;SDATE=200603&amp;PERIODTYPE=QTR_STD&amp;window=popup_no_bar&amp;width=385&amp;height=120&amp;START_MAXIMIZED=FALSE&amp;creator=factset&amp;display_string=Audit"}</definedName>
    <definedName name="_311__FDSAUDITLINK__" hidden="1">{"fdsup://Directions/FactSet Auditing Viewer?action=AUDIT_VALUE&amp;DB=129&amp;ID1=00289620&amp;VALUEID=01001&amp;SDATE=200603&amp;PERIODTYPE=QTR_STD&amp;window=popup_no_bar&amp;width=385&amp;height=120&amp;START_MAXIMIZED=FALSE&amp;creator=factset&amp;display_string=Audit"}</definedName>
    <definedName name="_312__FDSAUDITLINK__" hidden="1">{"fdsup://Directions/FactSet Auditing Viewer?action=AUDIT_VALUE&amp;DB=129&amp;ID1=00289620&amp;VALUEID=13040&amp;SDATE=200603&amp;PERIODTYPE=QTR_STD&amp;window=popup_no_bar&amp;width=385&amp;height=120&amp;START_MAXIMIZED=FALSE&amp;creator=factset&amp;display_string=Audit"}</definedName>
    <definedName name="_313__FDSAUDITLINK__" hidden="1">{"fdsup://Directions/FactSet Auditing Viewer?action=AUDIT_VALUE&amp;DB=129&amp;ID1=87416110&amp;VALUEID=02101&amp;SDATE=200602&amp;PERIODTYPE=QTR_STD&amp;window=popup_no_bar&amp;width=385&amp;height=120&amp;START_MAXIMIZED=FALSE&amp;creator=factset&amp;display_string=Audit"}</definedName>
    <definedName name="_314__FDSAUDITLINK__" hidden="1">{"fdsup://Directions/FactSet Auditing Viewer?action=AUDIT_VALUE&amp;DB=129&amp;ID1=87416110&amp;VALUEID=01001&amp;SDATE=200602&amp;PERIODTYPE=QTR_STD&amp;window=popup_no_bar&amp;width=385&amp;height=120&amp;START_MAXIMIZED=FALSE&amp;creator=factset&amp;display_string=Audit"}</definedName>
    <definedName name="_315__FDSAUDITLINK__" hidden="1">{"fdsup://Directions/FactSet Auditing Viewer?action=AUDIT_VALUE&amp;DB=129&amp;ID1=53271610&amp;VALUEID=02101&amp;SDATE=200602&amp;PERIODTYPE=QTR_STD&amp;window=popup_no_bar&amp;width=385&amp;height=120&amp;START_MAXIMIZED=FALSE&amp;creator=factset&amp;display_string=Audit"}</definedName>
    <definedName name="_316__FDSAUDITLINK__" hidden="1">{"fdsup://Directions/FactSet Auditing Viewer?action=AUDIT_VALUE&amp;DB=129&amp;ID1=53271610&amp;VALUEID=01001&amp;SDATE=200602&amp;PERIODTYPE=QTR_STD&amp;window=popup_no_bar&amp;width=385&amp;height=120&amp;START_MAXIMIZED=FALSE&amp;creator=factset&amp;display_string=Audit"}</definedName>
    <definedName name="_317__FDSAUDITLINK__" hidden="1">{"fdsup://Directions/FactSet Auditing Viewer?action=AUDIT_VALUE&amp;DB=129&amp;ID1=53271610&amp;VALUEID=13040&amp;SDATE=200602&amp;PERIODTYPE=QTR_STD&amp;window=popup_no_bar&amp;width=385&amp;height=120&amp;START_MAXIMIZED=FALSE&amp;creator=factset&amp;display_string=Audit"}</definedName>
    <definedName name="_318__FDSAUDITLINK__" hidden="1">{"fdsup://Directions/FactSet Auditing Viewer?action=AUDIT_VALUE&amp;DB=129&amp;ID1=46612H40&amp;VALUEID=02101&amp;SDATE=200602&amp;PERIODTYPE=QTR_STD&amp;window=popup_no_bar&amp;width=385&amp;height=120&amp;START_MAXIMIZED=FALSE&amp;creator=factset&amp;display_string=Audit"}</definedName>
    <definedName name="_319__FDSAUDITLINK__" hidden="1">{"fdsup://Directions/FactSet Auditing Viewer?action=AUDIT_VALUE&amp;DB=129&amp;ID1=46612H40&amp;VALUEID=01001&amp;SDATE=200602&amp;PERIODTYPE=QTR_STD&amp;window=popup_no_bar&amp;width=385&amp;height=120&amp;START_MAXIMIZED=FALSE&amp;creator=factset&amp;display_string=Audit"}</definedName>
    <definedName name="_32__FDSAUDITLINK__" hidden="1">{"fdsup://Directions/FactSet Auditing Viewer?action=AUDIT_VALUE&amp;DB=129&amp;ID1=87416110&amp;VALUEID=13040&amp;SDATE=200903&amp;PERIODTYPE=QTR_STD&amp;window=popup_no_bar&amp;width=385&amp;height=120&amp;START_MAXIMIZED=FALSE&amp;creator=factset&amp;display_string=Audit"}</definedName>
    <definedName name="_320__FDSAUDITLINK__" hidden="1">{"fdsup://Directions/FactSet Auditing Viewer?action=AUDIT_VALUE&amp;DB=129&amp;ID1=46612H40&amp;VALUEID=13040&amp;SDATE=200602&amp;PERIODTYPE=QTR_STD&amp;window=popup_no_bar&amp;width=385&amp;height=120&amp;START_MAXIMIZED=FALSE&amp;creator=factset&amp;display_string=Audit"}</definedName>
    <definedName name="_321__FDSAUDITLINK__" hidden="1">{"fdsup://Directions/FactSet Auditing Viewer?action=AUDIT_VALUE&amp;DB=129&amp;ID1=36476010&amp;VALUEID=02101&amp;SDATE=200602&amp;PERIODTYPE=QTR_STD&amp;window=popup_no_bar&amp;width=385&amp;height=120&amp;START_MAXIMIZED=FALSE&amp;creator=factset&amp;display_string=Audit"}</definedName>
    <definedName name="_322__FDSAUDITLINK__" hidden="1">{"fdsup://Directions/FactSet Auditing Viewer?action=AUDIT_VALUE&amp;DB=129&amp;ID1=36476010&amp;VALUEID=01001&amp;SDATE=200602&amp;PERIODTYPE=QTR_STD&amp;window=popup_no_bar&amp;width=385&amp;height=120&amp;START_MAXIMIZED=FALSE&amp;creator=factset&amp;display_string=Audit"}</definedName>
    <definedName name="_323__FDSAUDITLINK__" hidden="1">{"fdsup://Directions/FactSet Auditing Viewer?action=AUDIT_VALUE&amp;DB=129&amp;ID1=36476010&amp;VALUEID=13040&amp;SDATE=200602&amp;PERIODTYPE=QTR_STD&amp;window=popup_no_bar&amp;width=385&amp;height=120&amp;START_MAXIMIZED=FALSE&amp;creator=factset&amp;display_string=Audit"}</definedName>
    <definedName name="_324__FDSAUDITLINK__" hidden="1">{"fdsup://Directions/FactSet Auditing Viewer?action=AUDIT_VALUE&amp;DB=129&amp;ID1=03611510&amp;VALUEID=02101&amp;SDATE=200602&amp;PERIODTYPE=QTR_STD&amp;window=popup_no_bar&amp;width=385&amp;height=120&amp;START_MAXIMIZED=FALSE&amp;creator=factset&amp;display_string=Audit"}</definedName>
    <definedName name="_325__FDSAUDITLINK__" hidden="1">{"fdsup://Directions/FactSet Auditing Viewer?action=AUDIT_VALUE&amp;DB=129&amp;ID1=03611510&amp;VALUEID=01001&amp;SDATE=200602&amp;PERIODTYPE=QTR_STD&amp;window=popup_no_bar&amp;width=385&amp;height=120&amp;START_MAXIMIZED=FALSE&amp;creator=factset&amp;display_string=Audit"}</definedName>
    <definedName name="_326__FDSAUDITLINK__" hidden="1">{"fdsup://Directions/FactSet Auditing Viewer?action=AUDIT_VALUE&amp;DB=129&amp;ID1=03611510&amp;VALUEID=13040&amp;SDATE=200602&amp;PERIODTYPE=QTR_STD&amp;window=popup_no_bar&amp;width=385&amp;height=120&amp;START_MAXIMIZED=FALSE&amp;creator=factset&amp;display_string=Audit"}</definedName>
    <definedName name="_327__FDSAUDITLINK__" hidden="1">{"fdsup://Directions/FactSet Auditing Viewer?action=AUDIT_VALUE&amp;DB=129&amp;ID1=16890510&amp;VALUEID=02101&amp;SDATE=200602&amp;PERIODTYPE=QTR_STD&amp;window=popup_no_bar&amp;width=385&amp;height=120&amp;START_MAXIMIZED=FALSE&amp;creator=factset&amp;display_string=Audit"}</definedName>
    <definedName name="_328__FDSAUDITLINK__" hidden="1">{"fdsup://Directions/FactSet Auditing Viewer?action=AUDIT_VALUE&amp;DB=129&amp;ID1=16890510&amp;VALUEID=01001&amp;SDATE=200602&amp;PERIODTYPE=QTR_STD&amp;window=popup_no_bar&amp;width=385&amp;height=120&amp;START_MAXIMIZED=FALSE&amp;creator=factset&amp;display_string=Audit"}</definedName>
    <definedName name="_329__FDSAUDITLINK__" hidden="1">{"fdsup://Directions/FactSet Auditing Viewer?action=AUDIT_VALUE&amp;DB=129&amp;ID1=91704710&amp;VALUEID=02101&amp;SDATE=200602&amp;PERIODTYPE=QTR_STD&amp;window=popup_no_bar&amp;width=385&amp;height=120&amp;START_MAXIMIZED=FALSE&amp;creator=factset&amp;display_string=Audit"}</definedName>
    <definedName name="_33__FDSAUDITLINK__" hidden="1">{"fdsup://directions/FAT Viewer?action=UPDATE&amp;creator=factset&amp;DYN_ARGS=TRUE&amp;DOC_NAME=FAT:FQL_AUDITING_CLIENT_TEMPLATE.FAT&amp;display_string=Audit&amp;VAR:KEY=XAZODYBEXK&amp;VAR:QUERY=RkZfUlRfU0ZfVE9UX0dST1NTKFFUUiwtMik=&amp;WINDOW=FIRST_POPUP&amp;HEIGHT=450&amp;WIDTH=450&amp;START_MA","XIMIZED=FALSE&amp;VAR:CALENDAR=US&amp;VAR:SYMBOL=TLB&amp;VAR:INDEX=0"}</definedName>
    <definedName name="_330__FDSAUDITLINK__" hidden="1">{"fdsup://Directions/FactSet Auditing Viewer?action=AUDIT_VALUE&amp;DB=129&amp;ID1=91704710&amp;VALUEID=01001&amp;SDATE=200602&amp;PERIODTYPE=QTR_STD&amp;window=popup_no_bar&amp;width=385&amp;height=120&amp;START_MAXIMIZED=FALSE&amp;creator=factset&amp;display_string=Audit"}</definedName>
    <definedName name="_331__FDSAUDITLINK__" hidden="1">{"fdsup://Directions/FactSet Auditing Viewer?action=AUDIT_VALUE&amp;DB=129&amp;ID1=91704710&amp;VALUEID=13040&amp;SDATE=200602&amp;PERIODTYPE=QTR_STD&amp;window=popup_no_bar&amp;width=385&amp;height=120&amp;START_MAXIMIZED=FALSE&amp;creator=factset&amp;display_string=Audit"}</definedName>
    <definedName name="_332__FDSAUDITLINK__" hidden="1">{"fdsup://directions/FAT Viewer?action=UPDATE&amp;creator=factset&amp;DYN_ARGS=TRUE&amp;DOC_NAME=FAT:FQL_AUDITING_CLIENT_TEMPLATE.FAT&amp;display_string=Audit&amp;VAR:KEY=VUNQJUHWBQ&amp;VAR:QUERY=RkZfUlRfU0ZfVE9UX0dST1NTKFFUUiwtMTUp&amp;WINDOW=FIRST_POPUP&amp;HEIGHT=450&amp;WIDTH=450&amp;START_MA","XIMIZED=FALSE&amp;VAR:CALENDAR=US&amp;VAR:SYMBOL=AEO&amp;VAR:INDEX=0"}</definedName>
    <definedName name="_333__FDSAUDITLINK__" hidden="1">{"fdsup://Directions/FactSet Auditing Viewer?action=AUDIT_VALUE&amp;DB=129&amp;ID1=00786510&amp;VALUEID=02101&amp;SDATE=200602&amp;PERIODTYPE=QTR_STD&amp;window=popup_no_bar&amp;width=385&amp;height=120&amp;START_MAXIMIZED=FALSE&amp;creator=factset&amp;display_string=Audit"}</definedName>
    <definedName name="_334__FDSAUDITLINK__" hidden="1">{"fdsup://Directions/FactSet Auditing Viewer?action=AUDIT_VALUE&amp;DB=129&amp;ID1=00786510&amp;VALUEID=01001&amp;SDATE=200602&amp;PERIODTYPE=QTR_STD&amp;window=popup_no_bar&amp;width=385&amp;height=120&amp;START_MAXIMIZED=FALSE&amp;creator=factset&amp;display_string=Audit"}</definedName>
    <definedName name="_335__FDSAUDITLINK__" hidden="1">{"fdsup://Directions/FactSet Auditing Viewer?action=AUDIT_VALUE&amp;DB=129&amp;ID1=00786510&amp;VALUEID=13040&amp;SDATE=200602&amp;PERIODTYPE=QTR_STD&amp;window=popup_no_bar&amp;width=385&amp;height=120&amp;START_MAXIMIZED=FALSE&amp;creator=factset&amp;display_string=Audit"}</definedName>
    <definedName name="_336__FDSAUDITLINK__" hidden="1">{"fdsup://Directions/FactSet Auditing Viewer?action=AUDIT_VALUE&amp;DB=129&amp;ID1=00289620&amp;VALUEID=02101&amp;SDATE=200602&amp;PERIODTYPE=QTR_STD&amp;window=popup_no_bar&amp;width=385&amp;height=120&amp;START_MAXIMIZED=FALSE&amp;creator=factset&amp;display_string=Audit"}</definedName>
    <definedName name="_337__FDSAUDITLINK__" hidden="1">{"fdsup://Directions/FactSet Auditing Viewer?action=AUDIT_VALUE&amp;DB=129&amp;ID1=00289620&amp;VALUEID=01001&amp;SDATE=200602&amp;PERIODTYPE=QTR_STD&amp;window=popup_no_bar&amp;width=385&amp;height=120&amp;START_MAXIMIZED=FALSE&amp;creator=factset&amp;display_string=Audit"}</definedName>
    <definedName name="_338__FDSAUDITLINK__" hidden="1">{"fdsup://Directions/FactSet Auditing Viewer?action=AUDIT_VALUE&amp;DB=129&amp;ID1=00289620&amp;VALUEID=13040&amp;SDATE=200602&amp;PERIODTYPE=QTR_STD&amp;window=popup_no_bar&amp;width=385&amp;height=120&amp;START_MAXIMIZED=FALSE&amp;creator=factset&amp;display_string=Audit"}</definedName>
    <definedName name="_339__FDSAUDITLINK__" hidden="1">{"fdsup://Directions/FactSet Auditing Viewer?action=AUDIT_VALUE&amp;DB=129&amp;ID1=87416110&amp;VALUEID=02101&amp;SDATE=200601&amp;PERIODTYPE=QTR_STD&amp;window=popup_no_bar&amp;width=385&amp;height=120&amp;START_MAXIMIZED=FALSE&amp;creator=factset&amp;display_string=Audit"}</definedName>
    <definedName name="_34__FDSAUDITLINK__" hidden="1">{"fdsup://Directions/FactSet Auditing Viewer?action=AUDIT_VALUE&amp;DB=129&amp;ID1=53271610&amp;VALUEID=02101&amp;SDATE=200903&amp;PERIODTYPE=QTR_STD&amp;window=popup_no_bar&amp;width=385&amp;height=120&amp;START_MAXIMIZED=FALSE&amp;creator=factset&amp;display_string=Audit"}</definedName>
    <definedName name="_340__FDSAUDITLINK__" hidden="1">{"fdsup://Directions/FactSet Auditing Viewer?action=AUDIT_VALUE&amp;DB=129&amp;ID1=87416110&amp;VALUEID=01001&amp;SDATE=200601&amp;PERIODTYPE=QTR_STD&amp;window=popup_no_bar&amp;width=385&amp;height=120&amp;START_MAXIMIZED=FALSE&amp;creator=factset&amp;display_string=Audit"}</definedName>
    <definedName name="_341__FDSAUDITLINK__" hidden="1">{"fdsup://Directions/FactSet Auditing Viewer?action=AUDIT_VALUE&amp;DB=129&amp;ID1=87416110&amp;VALUEID=13040&amp;SDATE=200601&amp;PERIODTYPE=QTR_STD&amp;window=popup_no_bar&amp;width=385&amp;height=120&amp;START_MAXIMIZED=FALSE&amp;creator=factset&amp;display_string=Audit"}</definedName>
    <definedName name="_342__FDSAUDITLINK__" hidden="1">{"fdsup://directions/FAT Viewer?action=UPDATE&amp;creator=factset&amp;DYN_ARGS=TRUE&amp;DOC_NAME=FAT:FQL_AUDITING_CLIENT_TEMPLATE.FAT&amp;display_string=Audit&amp;VAR:KEY=NUZUBWRSBA&amp;VAR:QUERY=RkZfUlRfU0ZfVE9UX0dST1NTKFFUUiwtMTYp&amp;WINDOW=FIRST_POPUP&amp;HEIGHT=450&amp;WIDTH=450&amp;START_MA","XIMIZED=FALSE&amp;VAR:CALENDAR=US&amp;VAR:SYMBOL=TLB&amp;VAR:INDEX=0"}</definedName>
    <definedName name="_343__FDSAUDITLINK__" hidden="1">{"fdsup://Directions/FactSet Auditing Viewer?action=AUDIT_VALUE&amp;DB=129&amp;ID1=53271610&amp;VALUEID=02101&amp;SDATE=200601&amp;PERIODTYPE=QTR_STD&amp;window=popup_no_bar&amp;width=385&amp;height=120&amp;START_MAXIMIZED=FALSE&amp;creator=factset&amp;display_string=Audit"}</definedName>
    <definedName name="_344__FDSAUDITLINK__" hidden="1">{"fdsup://Directions/FactSet Auditing Viewer?action=AUDIT_VALUE&amp;DB=129&amp;ID1=53271610&amp;VALUEID=01001&amp;SDATE=200601&amp;PERIODTYPE=QTR_STD&amp;window=popup_no_bar&amp;width=385&amp;height=120&amp;START_MAXIMIZED=FALSE&amp;creator=factset&amp;display_string=Audit"}</definedName>
    <definedName name="_345__FDSAUDITLINK__" hidden="1">{"fdsup://Directions/FactSet Auditing Viewer?action=AUDIT_VALUE&amp;DB=129&amp;ID1=53271610&amp;VALUEID=13040&amp;SDATE=200601&amp;PERIODTYPE=QTR_STD&amp;window=popup_no_bar&amp;width=385&amp;height=120&amp;START_MAXIMIZED=FALSE&amp;creator=factset&amp;display_string=Audit"}</definedName>
    <definedName name="_346__FDSAUDITLINK__" hidden="1">{"fdsup://Directions/FactSet Auditing Viewer?action=AUDIT_VALUE&amp;DB=129&amp;ID1=46612H40&amp;VALUEID=02101&amp;SDATE=200601&amp;PERIODTYPE=QTR_STD&amp;window=popup_no_bar&amp;width=385&amp;height=120&amp;START_MAXIMIZED=FALSE&amp;creator=factset&amp;display_string=Audit"}</definedName>
    <definedName name="_347__FDSAUDITLINK__" hidden="1">{"fdsup://Directions/FactSet Auditing Viewer?action=AUDIT_VALUE&amp;DB=129&amp;ID1=46612H40&amp;VALUEID=01001&amp;SDATE=200601&amp;PERIODTYPE=QTR_STD&amp;window=popup_no_bar&amp;width=385&amp;height=120&amp;START_MAXIMIZED=FALSE&amp;creator=factset&amp;display_string=Audit"}</definedName>
    <definedName name="_348__FDSAUDITLINK__" hidden="1">{"fdsup://Directions/FactSet Auditing Viewer?action=AUDIT_VALUE&amp;DB=129&amp;ID1=46612H40&amp;VALUEID=13040&amp;SDATE=200601&amp;PERIODTYPE=QTR_STD&amp;window=popup_no_bar&amp;width=385&amp;height=120&amp;START_MAXIMIZED=FALSE&amp;creator=factset&amp;display_string=Audit"}</definedName>
    <definedName name="_349__FDSAUDITLINK__" hidden="1">{"fdsup://Directions/FactSet Auditing Viewer?action=AUDIT_VALUE&amp;DB=129&amp;ID1=36476010&amp;VALUEID=02101&amp;SDATE=200601&amp;PERIODTYPE=QTR_STD&amp;window=popup_no_bar&amp;width=385&amp;height=120&amp;START_MAXIMIZED=FALSE&amp;creator=factset&amp;display_string=Audit"}</definedName>
    <definedName name="_35__FDSAUDITLINK__" hidden="1">{"fdsup://Directions/FactSet Auditing Viewer?action=AUDIT_VALUE&amp;DB=129&amp;ID1=53271610&amp;VALUEID=01001&amp;SDATE=200903&amp;PERIODTYPE=QTR_STD&amp;window=popup_no_bar&amp;width=385&amp;height=120&amp;START_MAXIMIZED=FALSE&amp;creator=factset&amp;display_string=Audit"}</definedName>
    <definedName name="_350__FDSAUDITLINK__" hidden="1">{"fdsup://Directions/FactSet Auditing Viewer?action=AUDIT_VALUE&amp;DB=129&amp;ID1=36476010&amp;VALUEID=01001&amp;SDATE=200601&amp;PERIODTYPE=QTR_STD&amp;window=popup_no_bar&amp;width=385&amp;height=120&amp;START_MAXIMIZED=FALSE&amp;creator=factset&amp;display_string=Audit"}</definedName>
    <definedName name="_351__FDSAUDITLINK__" hidden="1">{"fdsup://Directions/FactSet Auditing Viewer?action=AUDIT_VALUE&amp;DB=129&amp;ID1=36476010&amp;VALUEID=13040&amp;SDATE=200601&amp;PERIODTYPE=QTR_STD&amp;window=popup_no_bar&amp;width=385&amp;height=120&amp;START_MAXIMIZED=FALSE&amp;creator=factset&amp;display_string=Audit"}</definedName>
    <definedName name="_352__FDSAUDITLINK__" hidden="1">{"fdsup://Directions/FactSet Auditing Viewer?action=AUDIT_VALUE&amp;DB=129&amp;ID1=03611510&amp;VALUEID=02101&amp;SDATE=200601&amp;PERIODTYPE=QTR_STD&amp;window=popup_no_bar&amp;width=385&amp;height=120&amp;START_MAXIMIZED=FALSE&amp;creator=factset&amp;display_string=Audit"}</definedName>
    <definedName name="_353__FDSAUDITLINK__" hidden="1">{"fdsup://Directions/FactSet Auditing Viewer?action=AUDIT_VALUE&amp;DB=129&amp;ID1=03611510&amp;VALUEID=13040&amp;SDATE=200601&amp;PERIODTYPE=QTR_STD&amp;window=popup_no_bar&amp;width=385&amp;height=120&amp;START_MAXIMIZED=FALSE&amp;creator=factset&amp;display_string=Audit"}</definedName>
    <definedName name="_354__FDSAUDITLINK__" hidden="1">{"fdsup://Directions/FactSet Auditing Viewer?action=AUDIT_VALUE&amp;DB=129&amp;ID1=16890510&amp;VALUEID=02101&amp;SDATE=200601&amp;PERIODTYPE=QTR_STD&amp;window=popup_no_bar&amp;width=385&amp;height=120&amp;START_MAXIMIZED=FALSE&amp;creator=factset&amp;display_string=Audit"}</definedName>
    <definedName name="_355__FDSAUDITLINK__" hidden="1">{"fdsup://Directions/FactSet Auditing Viewer?action=AUDIT_VALUE&amp;DB=129&amp;ID1=16890510&amp;VALUEID=01001&amp;SDATE=200601&amp;PERIODTYPE=QTR_STD&amp;window=popup_no_bar&amp;width=385&amp;height=120&amp;START_MAXIMIZED=FALSE&amp;creator=factset&amp;display_string=Audit"}</definedName>
    <definedName name="_356__FDSAUDITLINK__" hidden="1">{"fdsup://Directions/FactSet Auditing Viewer?action=AUDIT_VALUE&amp;DB=129&amp;ID1=91704710&amp;VALUEID=02101&amp;SDATE=200601&amp;PERIODTYPE=QTR_STD&amp;window=popup_no_bar&amp;width=385&amp;height=120&amp;START_MAXIMIZED=FALSE&amp;creator=factset&amp;display_string=Audit"}</definedName>
    <definedName name="_357__FDSAUDITLINK__" hidden="1">{"fdsup://Directions/FactSet Auditing Viewer?action=AUDIT_VALUE&amp;DB=129&amp;ID1=91704710&amp;VALUEID=01001&amp;SDATE=200601&amp;PERIODTYPE=QTR_STD&amp;window=popup_no_bar&amp;width=385&amp;height=120&amp;START_MAXIMIZED=FALSE&amp;creator=factset&amp;display_string=Audit"}</definedName>
    <definedName name="_358__FDSAUDITLINK__" hidden="1">{"fdsup://Directions/FactSet Auditing Viewer?action=AUDIT_VALUE&amp;DB=129&amp;ID1=91704710&amp;VALUEID=13040&amp;SDATE=200601&amp;PERIODTYPE=QTR_STD&amp;window=popup_no_bar&amp;width=385&amp;height=120&amp;START_MAXIMIZED=FALSE&amp;creator=factset&amp;display_string=Audit"}</definedName>
    <definedName name="_359__FDSAUDITLINK__" hidden="1">{"fdsup://Directions/FactSet Auditing Viewer?action=AUDIT_VALUE&amp;DB=129&amp;ID1=02553E10&amp;VALUEID=02101&amp;SDATE=200601&amp;PERIODTYPE=QTR_STD&amp;window=popup_no_bar&amp;width=385&amp;height=120&amp;START_MAXIMIZED=FALSE&amp;creator=factset&amp;display_string=Audit"}</definedName>
    <definedName name="_36__FDSAUDITLINK__" hidden="1">{"fdsup://Directions/FactSet Auditing Viewer?action=AUDIT_VALUE&amp;DB=129&amp;ID1=53271610&amp;VALUEID=13040&amp;SDATE=200903&amp;PERIODTYPE=QTR_STD&amp;window=popup_no_bar&amp;width=385&amp;height=120&amp;START_MAXIMIZED=FALSE&amp;creator=factset&amp;display_string=Audit"}</definedName>
    <definedName name="_360__FDSAUDITLINK__" hidden="1">{"fdsup://Directions/FactSet Auditing Viewer?action=AUDIT_VALUE&amp;DB=129&amp;ID1=02553E10&amp;VALUEID=01001&amp;SDATE=200601&amp;PERIODTYPE=QTR_STD&amp;window=popup_no_bar&amp;width=385&amp;height=120&amp;START_MAXIMIZED=FALSE&amp;creator=factset&amp;display_string=Audit"}</definedName>
    <definedName name="_361__FDSAUDITLINK__" hidden="1">{"fdsup://Directions/FactSet Auditing Viewer?action=AUDIT_VALUE&amp;DB=129&amp;ID1=02553E10&amp;VALUEID=13040&amp;SDATE=200601&amp;PERIODTYPE=QTR_STD&amp;window=popup_no_bar&amp;width=385&amp;height=120&amp;START_MAXIMIZED=FALSE&amp;creator=factset&amp;display_string=Audit"}</definedName>
    <definedName name="_362__FDSAUDITLINK__" hidden="1">{"fdsup://directions/FAT Viewer?action=UPDATE&amp;creator=factset&amp;DYN_ARGS=TRUE&amp;DOC_NAME=FAT:FQL_AUDITING_CLIENT_TEMPLATE.FAT&amp;display_string=Audit&amp;VAR:KEY=RUROHMBELS&amp;VAR:QUERY=RkZfUlRfU0ZfVE9UX0dST1NTKFFUUiwtMTYp&amp;WINDOW=FIRST_POPUP&amp;HEIGHT=450&amp;WIDTH=450&amp;START_MA","XIMIZED=FALSE&amp;VAR:CALENDAR=US&amp;VAR:SYMBOL=AEO&amp;VAR:INDEX=0"}</definedName>
    <definedName name="_363__FDSAUDITLINK__" hidden="1">{"fdsup://Directions/FactSet Auditing Viewer?action=AUDIT_VALUE&amp;DB=129&amp;ID1=00786510&amp;VALUEID=02101&amp;SDATE=200601&amp;PERIODTYPE=QTR_STD&amp;window=popup_no_bar&amp;width=385&amp;height=120&amp;START_MAXIMIZED=FALSE&amp;creator=factset&amp;display_string=Audit"}</definedName>
    <definedName name="_364__FDSAUDITLINK__" hidden="1">{"fdsup://Directions/FactSet Auditing Viewer?action=AUDIT_VALUE&amp;DB=129&amp;ID1=00786510&amp;VALUEID=01001&amp;SDATE=200601&amp;PERIODTYPE=QTR_STD&amp;window=popup_no_bar&amp;width=385&amp;height=120&amp;START_MAXIMIZED=FALSE&amp;creator=factset&amp;display_string=Audit"}</definedName>
    <definedName name="_365__FDSAUDITLINK__" hidden="1">{"fdsup://Directions/FactSet Auditing Viewer?action=AUDIT_VALUE&amp;DB=129&amp;ID1=00786510&amp;VALUEID=13040&amp;SDATE=200601&amp;PERIODTYPE=QTR_STD&amp;window=popup_no_bar&amp;width=385&amp;height=120&amp;START_MAXIMIZED=FALSE&amp;creator=factset&amp;display_string=Audit"}</definedName>
    <definedName name="_366__FDSAUDITLINK__" hidden="1">{"fdsup://Directions/FactSet Auditing Viewer?action=AUDIT_VALUE&amp;DB=129&amp;ID1=00289620&amp;VALUEID=02101&amp;SDATE=200601&amp;PERIODTYPE=QTR_STD&amp;window=popup_no_bar&amp;width=385&amp;height=120&amp;START_MAXIMIZED=FALSE&amp;creator=factset&amp;display_string=Audit"}</definedName>
    <definedName name="_367__FDSAUDITLINK__" hidden="1">{"fdsup://Directions/FactSet Auditing Viewer?action=AUDIT_VALUE&amp;DB=129&amp;ID1=00289620&amp;VALUEID=01001&amp;SDATE=200601&amp;PERIODTYPE=QTR_STD&amp;window=popup_no_bar&amp;width=385&amp;height=120&amp;START_MAXIMIZED=FALSE&amp;creator=factset&amp;display_string=Audit"}</definedName>
    <definedName name="_368__FDSAUDITLINK__" hidden="1">{"fdsup://Directions/FactSet Auditing Viewer?action=AUDIT_VALUE&amp;DB=129&amp;ID1=00289620&amp;VALUEID=13040&amp;SDATE=200601&amp;PERIODTYPE=QTR_STD&amp;window=popup_no_bar&amp;width=385&amp;height=120&amp;START_MAXIMIZED=FALSE&amp;creator=factset&amp;display_string=Audit"}</definedName>
    <definedName name="_369__FDSAUDITLINK__" hidden="1">{"fdsup://directions/FAT Viewer?action=UPDATE&amp;creator=factset&amp;DYN_ARGS=TRUE&amp;DOC_NAME=FAT:FQL_AUDITING_CLIENT_TEMPLATE.FAT&amp;display_string=Audit&amp;VAR:KEY=NKDWDYVSJA&amp;VAR:QUERY=RkZfUlRfU0ZfVE9UX0dST1NTKFFUUiwtMTcp&amp;WINDOW=FIRST_POPUP&amp;HEIGHT=450&amp;WIDTH=450&amp;START_MA","XIMIZED=FALSE&amp;VAR:CALENDAR=US&amp;VAR:SYMBOL=TLB&amp;VAR:INDEX=0"}</definedName>
    <definedName name="_37__FDSAUDITLINK__" hidden="1">{"fdsup://Directions/FactSet Auditing Viewer?action=AUDIT_VALUE&amp;DB=129&amp;ID1=46612H40&amp;VALUEID=02101&amp;SDATE=200903&amp;PERIODTYPE=QTR_STD&amp;window=popup_no_bar&amp;width=385&amp;height=120&amp;START_MAXIMIZED=FALSE&amp;creator=factset&amp;display_string=Audit"}</definedName>
    <definedName name="_370__FDSAUDITLINK__" hidden="1">{"fdsup://directions/FAT Viewer?action=UPDATE&amp;creator=factset&amp;DYN_ARGS=TRUE&amp;DOC_NAME=FAT:FQL_AUDITING_CLIENT_TEMPLATE.FAT&amp;display_string=Audit&amp;VAR:KEY=DEZSPEHMVA&amp;VAR:QUERY=RkZfUlRfU0ZfVE9UX0dST1NTKFFUUiwtMTcp&amp;WINDOW=FIRST_POPUP&amp;HEIGHT=450&amp;WIDTH=450&amp;START_MA","XIMIZED=FALSE&amp;VAR:CALENDAR=US&amp;VAR:SYMBOL=AEO&amp;VAR:INDEX=0"}</definedName>
    <definedName name="_371__FDSAUDITLINK__" hidden="1">{"fdsup://directions/FAT Viewer?action=UPDATE&amp;creator=factset&amp;DYN_ARGS=TRUE&amp;DOC_NAME=FAT:FQL_AUDITING_CLIENT_TEMPLATE.FAT&amp;display_string=Audit&amp;VAR:KEY=TURKDOPIZG&amp;VAR:QUERY=RkZfUlRfU0ZfVE9UX0dST1NTKFFUUiwtMTgp&amp;WINDOW=FIRST_POPUP&amp;HEIGHT=450&amp;WIDTH=450&amp;START_MA","XIMIZED=FALSE&amp;VAR:CALENDAR=US&amp;VAR:SYMBOL=TLB&amp;VAR:INDEX=0"}</definedName>
    <definedName name="_372__FDSAUDITLINK__" hidden="1">{"fdsup://Directions/FactSet Auditing Viewer?action=AUDIT_VALUE&amp;DB=129&amp;ID1=03611510&amp;VALUEID=13040&amp;SDATE=200503&amp;PERIODTYPE=QTR_STD&amp;window=popup_no_bar&amp;width=385&amp;height=120&amp;START_MAXIMIZED=FALSE&amp;creator=factset&amp;display_string=Audit"}</definedName>
    <definedName name="_373__FDSAUDITLINK__" hidden="1">{"fdsup://directions/FAT Viewer?action=UPDATE&amp;creator=factset&amp;DYN_ARGS=TRUE&amp;DOC_NAME=FAT:FQL_AUDITING_CLIENT_TEMPLATE.FAT&amp;display_string=Audit&amp;VAR:KEY=NUJIDQTCDM&amp;VAR:QUERY=RkZfUlRfU0ZfVE9UX0dST1NTKFFUUiwtMTgp&amp;WINDOW=FIRST_POPUP&amp;HEIGHT=450&amp;WIDTH=450&amp;START_MA","XIMIZED=FALSE&amp;VAR:CALENDAR=US&amp;VAR:SYMBOL=AEO&amp;VAR:INDEX=0"}</definedName>
    <definedName name="_374__FDSAUDITLINK__" hidden="1">{"fdsup://directions/FAT Viewer?action=UPDATE&amp;creator=factset&amp;DYN_ARGS=TRUE&amp;DOC_NAME=FAT:FQL_AUDITING_CLIENT_TEMPLATE.FAT&amp;display_string=Audit&amp;VAR:KEY=HIHSXILWDI&amp;VAR:QUERY=RkZfUlRfU0ZfVE9UX0dST1NTKFFUUiwtMTkp&amp;WINDOW=FIRST_POPUP&amp;HEIGHT=450&amp;WIDTH=450&amp;START_MA","XIMIZED=FALSE&amp;VAR:CALENDAR=US&amp;VAR:SYMBOL=TLB&amp;VAR:INDEX=0"}</definedName>
    <definedName name="_375__FDSAUDITLINK__" hidden="1">{"fdsup://Directions/FactSet Auditing Viewer?action=AUDIT_VALUE&amp;DB=129&amp;ID1=03611510&amp;VALUEID=13040&amp;SDATE=200502&amp;PERIODTYPE=QTR_STD&amp;window=popup_no_bar&amp;width=385&amp;height=120&amp;START_MAXIMIZED=FALSE&amp;creator=factset&amp;display_string=Audit"}</definedName>
    <definedName name="_376__FDSAUDITLINK__" hidden="1">{"fdsup://directions/FAT Viewer?action=UPDATE&amp;creator=factset&amp;DYN_ARGS=TRUE&amp;DOC_NAME=FAT:FQL_AUDITING_CLIENT_TEMPLATE.FAT&amp;display_string=Audit&amp;VAR:KEY=BKDCTGPMZY&amp;VAR:QUERY=RkZfUlRfU0ZfVE9UX0dST1NTKFFUUiwtMTkp&amp;WINDOW=FIRST_POPUP&amp;HEIGHT=450&amp;WIDTH=450&amp;START_MA","XIMIZED=FALSE&amp;VAR:CALENDAR=US&amp;VAR:SYMBOL=AEO&amp;VAR:INDEX=0"}</definedName>
    <definedName name="_377__FDSAUDITLINK__" hidden="1">{"fdsup://directions/FAT Viewer?action=UPDATE&amp;creator=factset&amp;DYN_ARGS=TRUE&amp;DOC_NAME=FAT:FQL_AUDITING_CLIENT_TEMPLATE.FAT&amp;display_string=Audit&amp;VAR:KEY=VABGPMHULC&amp;VAR:QUERY=RkZfUlRfU0ZfVE9UX0dST1NTKFFUUiwtMjAp&amp;WINDOW=FIRST_POPUP&amp;HEIGHT=450&amp;WIDTH=450&amp;START_MA","XIMIZED=FALSE&amp;VAR:CALENDAR=US&amp;VAR:SYMBOL=TLB&amp;VAR:INDEX=0"}</definedName>
    <definedName name="_378__FDSAUDITLINK__" hidden="1">{"fdsup://Directions/FactSet Auditing Viewer?action=AUDIT_VALUE&amp;DB=129&amp;ID1=03611510&amp;VALUEID=13040&amp;SDATE=200501&amp;PERIODTYPE=QTR_STD&amp;window=popup_no_bar&amp;width=385&amp;height=120&amp;START_MAXIMIZED=FALSE&amp;creator=factset&amp;display_string=Audit"}</definedName>
    <definedName name="_379__FDSAUDITLINK__" hidden="1">{"fdsup://directions/FAT Viewer?action=UPDATE&amp;creator=factset&amp;DYN_ARGS=TRUE&amp;DOC_NAME=FAT:FQL_AUDITING_CLIENT_TEMPLATE.FAT&amp;display_string=Audit&amp;VAR:KEY=VMROTQVYPS&amp;VAR:QUERY=RkZfUlRfU0ZfVE9UX0dST1NTKFFUUiwtMjAp&amp;WINDOW=FIRST_POPUP&amp;HEIGHT=450&amp;WIDTH=450&amp;START_MA","XIMIZED=FALSE&amp;VAR:CALENDAR=US&amp;VAR:SYMBOL=AEO&amp;VAR:INDEX=0"}</definedName>
    <definedName name="_38__FDSAUDITLINK__" hidden="1">{"fdsup://Directions/FactSet Auditing Viewer?action=AUDIT_VALUE&amp;DB=129&amp;ID1=46612H40&amp;VALUEID=01001&amp;SDATE=200903&amp;PERIODTYPE=QTR_STD&amp;window=popup_no_bar&amp;width=385&amp;height=120&amp;START_MAXIMIZED=FALSE&amp;creator=factset&amp;display_string=Audit"}</definedName>
    <definedName name="_380__FDSAUDITLINK__" hidden="1">{"fdsup://Directions/FactSet Auditing Viewer?action=AUDIT_VALUE&amp;DB=129&amp;ID1=16890510&amp;VALUEID=13040&amp;SDATE=200602&amp;PERIODTYPE=QTR_STD&amp;window=popup_no_bar&amp;width=385&amp;height=120&amp;START_MAXIMIZED=FALSE&amp;creator=factset&amp;display_string=Audit"}</definedName>
    <definedName name="_381__FDSAUDITLINK__" hidden="1">{"fdsup://Directions/FactSet Auditing Viewer?action=AUDIT_VALUE&amp;DB=129&amp;ID1=16890510&amp;VALUEID=13040&amp;SDATE=200601&amp;PERIODTYPE=QTR_STD&amp;window=popup_no_bar&amp;width=385&amp;height=120&amp;START_MAXIMIZED=FALSE&amp;creator=factset&amp;display_string=Audit"}</definedName>
    <definedName name="_382__FDSAUDITLINK__" hidden="1">{"fdsup://Directions/FactSet Auditing Viewer?action=AUDIT_VALUE&amp;DB=129&amp;ID1=16890510&amp;VALUEID=13040&amp;SDATE=200603&amp;PERIODTYPE=QTR_STD&amp;window=popup_no_bar&amp;width=385&amp;height=120&amp;START_MAXIMIZED=FALSE&amp;creator=factset&amp;display_string=Audit"}</definedName>
    <definedName name="_383__FDSAUDITLINK__" hidden="1">{"fdsup://Directions/FactSet Auditing Viewer?action=AUDIT_VALUE&amp;DB=129&amp;ID1=16890510&amp;VALUEID=13040&amp;SDATE=200702&amp;PERIODTYPE=QTR_STD&amp;window=popup_no_bar&amp;width=385&amp;height=120&amp;START_MAXIMIZED=FALSE&amp;creator=factset&amp;display_string=Audit"}</definedName>
    <definedName name="_384__FDSAUDITLINK__" hidden="1">{"fdsup://Directions/FactSet Auditing Viewer?action=AUDIT_VALUE&amp;DB=129&amp;ID1=16890510&amp;VALUEID=13040&amp;SDATE=200701&amp;PERIODTYPE=QTR_STD&amp;window=popup_no_bar&amp;width=385&amp;height=120&amp;START_MAXIMIZED=FALSE&amp;creator=factset&amp;display_string=Audit"}</definedName>
    <definedName name="_385__FDSAUDITLINK__" hidden="1">{"fdsup://Directions/FactSet Auditing Viewer?action=AUDIT_VALUE&amp;DB=129&amp;ID1=16890510&amp;VALUEID=13040&amp;SDATE=200703&amp;PERIODTYPE=QTR_STD&amp;window=popup_no_bar&amp;width=385&amp;height=120&amp;START_MAXIMIZED=FALSE&amp;creator=factset&amp;display_string=Audit"}</definedName>
    <definedName name="_386__FDSAUDITLINK__" hidden="1">{"fdsup://Directions/FactSet Auditing Viewer?action=AUDIT_VALUE&amp;DB=129&amp;ID1=16890510&amp;VALUEID=13040&amp;SDATE=200802&amp;PERIODTYPE=QTR_STD&amp;window=popup_no_bar&amp;width=385&amp;height=120&amp;START_MAXIMIZED=FALSE&amp;creator=factset&amp;display_string=Audit"}</definedName>
    <definedName name="_387__FDSAUDITLINK__" hidden="1">{"fdsup://Directions/FactSet Auditing Viewer?action=AUDIT_VALUE&amp;DB=129&amp;ID1=16890510&amp;VALUEID=13040&amp;SDATE=200801&amp;PERIODTYPE=QTR_STD&amp;window=popup_no_bar&amp;width=385&amp;height=120&amp;START_MAXIMIZED=FALSE&amp;creator=factset&amp;display_string=Audit"}</definedName>
    <definedName name="_388__FDSAUDITLINK__" hidden="1">{"fdsup://Directions/FactSet Auditing Viewer?action=AUDIT_VALUE&amp;DB=129&amp;ID1=16890510&amp;VALUEID=13040&amp;SDATE=200803&amp;PERIODTYPE=QTR_STD&amp;window=popup_no_bar&amp;width=385&amp;height=120&amp;START_MAXIMIZED=FALSE&amp;creator=factset&amp;display_string=Audit"}</definedName>
    <definedName name="_389__FDSAUDITLINK__" hidden="1">{"fdsup://Directions/FactSet Auditing Viewer?action=AUDIT_VALUE&amp;DB=129&amp;ID1=16890510&amp;VALUEID=13040&amp;SDATE=200902&amp;PERIODTYPE=QTR_STD&amp;window=popup_no_bar&amp;width=385&amp;height=120&amp;START_MAXIMIZED=FALSE&amp;creator=factset&amp;display_string=Audit"}</definedName>
    <definedName name="_39__FDSAUDITLINK__" hidden="1">{"fdsup://Directions/FactSet Auditing Viewer?action=AUDIT_VALUE&amp;DB=129&amp;ID1=46612H40&amp;VALUEID=13040&amp;SDATE=200903&amp;PERIODTYPE=QTR_STD&amp;window=popup_no_bar&amp;width=385&amp;height=120&amp;START_MAXIMIZED=FALSE&amp;creator=factset&amp;display_string=Audit"}</definedName>
    <definedName name="_390__FDSAUDITLINK__" hidden="1">{"fdsup://Directions/FactSet Auditing Viewer?action=AUDIT_VALUE&amp;DB=129&amp;ID1=16890510&amp;VALUEID=13040&amp;SDATE=200903&amp;PERIODTYPE=QTR_STD&amp;window=popup_no_bar&amp;width=385&amp;height=120&amp;START_MAXIMIZED=FALSE&amp;creator=factset&amp;display_string=Audit"}</definedName>
    <definedName name="_391__FDSAUDITLINK__" hidden="1">{"fdsup://Directions/FactSet Auditing Viewer?action=AUDIT_VALUE&amp;DB=129&amp;ID1=16890510&amp;VALUEID=13040&amp;SDATE=201001&amp;PERIODTYPE=QTR_STD&amp;window=popup_no_bar&amp;width=385&amp;height=120&amp;START_MAXIMIZED=FALSE&amp;creator=factset&amp;display_string=Audit"}</definedName>
    <definedName name="_392__FDSAUDITLINK__" hidden="1">{"fdsup://Directions/FactSet Auditing Viewer?action=AUDIT_VALUE&amp;DB=129&amp;ID1=87416110&amp;VALUEID=01001&amp;SDATE=201001&amp;PERIODTYPE=QTR_STD&amp;window=popup_no_bar&amp;width=385&amp;height=120&amp;START_MAXIMIZED=FALSE&amp;creator=factset&amp;display_string=Audit"}</definedName>
    <definedName name="_393__FDSAUDITLINK__" hidden="1">{"fdsup://Directions/FactSet Auditing Viewer?action=AUDIT_VALUE&amp;DB=129&amp;ID1=46612H40&amp;VALUEID=01001&amp;SDATE=201001&amp;PERIODTYPE=QTR_STD&amp;window=popup_no_bar&amp;width=385&amp;height=120&amp;START_MAXIMIZED=FALSE&amp;creator=factset&amp;display_string=Audit"}</definedName>
    <definedName name="_394__FDSAUDITLINK__" hidden="1">{"fdsup://Directions/FactSet Auditing Viewer?action=AUDIT_VALUE&amp;DB=129&amp;ID1=03611510&amp;VALUEID=01001&amp;SDATE=201001&amp;PERIODTYPE=QTR_STD&amp;window=popup_no_bar&amp;width=385&amp;height=120&amp;START_MAXIMIZED=FALSE&amp;creator=factset&amp;display_string=Audit"}</definedName>
    <definedName name="_395__FDSAUDITLINK__" hidden="1">{"fdsup://Directions/FactSet Auditing Viewer?action=AUDIT_VALUE&amp;DB=129&amp;ID1=16890510&amp;VALUEID=01001&amp;SDATE=201001&amp;PERIODTYPE=QTR_STD&amp;window=popup_no_bar&amp;width=385&amp;height=120&amp;START_MAXIMIZED=FALSE&amp;creator=factset&amp;display_string=Audit"}</definedName>
    <definedName name="_396__FDSAUDITLINK__" hidden="1">{"fdsup://Directions/FactSet Auditing Viewer?action=AUDIT_VALUE&amp;DB=129&amp;ID1=91704710&amp;VALUEID=01001&amp;SDATE=201001&amp;PERIODTYPE=QTR_STD&amp;window=popup_no_bar&amp;width=385&amp;height=120&amp;START_MAXIMIZED=FALSE&amp;creator=factset&amp;display_string=Audit"}</definedName>
    <definedName name="_397__FDSAUDITLINK__" hidden="1">{"fdsup://Directions/FactSet Auditing Viewer?action=AUDIT_VALUE&amp;DB=129&amp;ID1=02553E10&amp;VALUEID=01001&amp;SDATE=201001&amp;PERIODTYPE=QTR_STD&amp;window=popup_no_bar&amp;width=385&amp;height=120&amp;START_MAXIMIZED=FALSE&amp;creator=factset&amp;display_string=Audit"}</definedName>
    <definedName name="_398__FDSAUDITLINK__" hidden="1">{"fdsup://Directions/FactSet Auditing Viewer?action=AUDIT_VALUE&amp;DB=129&amp;ID1=00786510&amp;VALUEID=01001&amp;SDATE=201001&amp;PERIODTYPE=QTR_STD&amp;window=popup_no_bar&amp;width=385&amp;height=120&amp;START_MAXIMIZED=FALSE&amp;creator=factset&amp;display_string=Audit"}</definedName>
    <definedName name="_399__FDSAUDITLINK__" hidden="1">{"fdsup://Directions/FactSet Auditing Viewer?action=AUDIT_VALUE&amp;DB=129&amp;ID1=00289620&amp;VALUEID=01001&amp;SDATE=201001&amp;PERIODTYPE=QTR_STD&amp;window=popup_no_bar&amp;width=385&amp;height=120&amp;START_MAXIMIZED=FALSE&amp;creator=factset&amp;display_string=Audit"}</definedName>
    <definedName name="_4__FDSAUDITLINK__" hidden="1">{"fdsup://Directions/FactSet Auditing Viewer?action=AUDIT_VALUE&amp;DB=129&amp;ID1=53271610&amp;VALUEID=02101&amp;SDATE=201001&amp;PERIODTYPE=QTR_STD&amp;window=popup_no_bar&amp;width=385&amp;height=120&amp;START_MAXIMIZED=FALSE&amp;creator=factset&amp;display_string=Audit"}</definedName>
    <definedName name="_40__FDSAUDITLINK__" hidden="1">{"fdsup://Directions/FactSet Auditing Viewer?action=AUDIT_VALUE&amp;DB=129&amp;ID1=36476010&amp;VALUEID=02101&amp;SDATE=200903&amp;PERIODTYPE=QTR_STD&amp;window=popup_no_bar&amp;width=385&amp;height=120&amp;START_MAXIMIZED=FALSE&amp;creator=factset&amp;display_string=Audit"}</definedName>
    <definedName name="_400__FDSAUDITLINK__" hidden="1">{"fdsup://Directions/FactSet Auditing Viewer?action=AUDIT_VALUE&amp;DB=129&amp;ID1=53271610&amp;VALUEID=01001&amp;SDATE=201001&amp;PERIODTYPE=QTR_STD&amp;window=popup_no_bar&amp;width=385&amp;height=120&amp;START_MAXIMIZED=FALSE&amp;creator=factset&amp;display_string=Audit"}</definedName>
    <definedName name="_401__FDSAUDITLINK__" hidden="1">{"fdsup://Directions/FactSet Auditing Viewer?action=AUDIT_VALUE&amp;DB=129&amp;ID1=36476010&amp;VALUEID=01001&amp;SDATE=201001&amp;PERIODTYPE=QTR_STD&amp;window=popup_no_bar&amp;width=385&amp;height=120&amp;START_MAXIMIZED=FALSE&amp;creator=factset&amp;display_string=Audit"}</definedName>
    <definedName name="_402__FDSAUDITLINK__" hidden="1">{"fdsup://Directions/FactSet Auditing Viewer?action=AUDIT_VALUE&amp;DB=129&amp;ID1=16890510&amp;VALUEID=01001&amp;SDATE=200601&amp;PERIODTYPE=QTR_STD&amp;window=popup_no_bar&amp;width=385&amp;height=120&amp;START_MAXIMIZED=FALSE&amp;creator=factset&amp;display_string=Audit"}</definedName>
    <definedName name="_403__FDSAUDITLINK__" hidden="1">{"fdsup://Directions/FactSet Auditing Viewer?action=AUDIT_VALUE&amp;DB=129&amp;ID1=16890510&amp;VALUEID=02101&amp;SDATE=200601&amp;PERIODTYPE=QTR_STD&amp;window=popup_no_bar&amp;width=385&amp;height=120&amp;START_MAXIMIZED=FALSE&amp;creator=factset&amp;display_string=Audit"}</definedName>
    <definedName name="_404__FDSAUDITLINK__" hidden="1">{"fdsup://Directions/FactSet Auditing Viewer?action=AUDIT_VALUE&amp;DB=129&amp;ID1=16890510&amp;VALUEID=13040&amp;SDATE=200601&amp;PERIODTYPE=QTR_STD&amp;window=popup_no_bar&amp;width=385&amp;height=120&amp;START_MAXIMIZED=FALSE&amp;creator=factset&amp;display_string=Audit"}</definedName>
    <definedName name="_405__FDSAUDITLINK__" hidden="1">{"fdsup://Directions/FactSet Auditing Viewer?action=AUDIT_VALUE&amp;DB=129&amp;ID1=16890510&amp;VALUEID=13040&amp;SDATE=200602&amp;PERIODTYPE=QTR_STD&amp;window=popup_no_bar&amp;width=385&amp;height=120&amp;START_MAXIMIZED=FALSE&amp;creator=factset&amp;display_string=Audit"}</definedName>
    <definedName name="_406__FDSAUDITLINK__" hidden="1">{"fdsup://Directions/FactSet Auditing Viewer?action=AUDIT_VALUE&amp;DB=129&amp;ID1=16890510&amp;VALUEID=01001&amp;SDATE=200602&amp;PERIODTYPE=QTR_STD&amp;window=popup_no_bar&amp;width=385&amp;height=120&amp;START_MAXIMIZED=FALSE&amp;creator=factset&amp;display_string=Audit"}</definedName>
    <definedName name="_407__FDSAUDITLINK__" hidden="1">{"fdsup://Directions/FactSet Auditing Viewer?action=AUDIT_VALUE&amp;DB=129&amp;ID1=16890510&amp;VALUEID=02101&amp;SDATE=200602&amp;PERIODTYPE=QTR_STD&amp;window=popup_no_bar&amp;width=385&amp;height=120&amp;START_MAXIMIZED=FALSE&amp;creator=factset&amp;display_string=Audit"}</definedName>
    <definedName name="_408__FDSAUDITLINK__" hidden="1">{"fdsup://Directions/FactSet Auditing Viewer?action=AUDIT_VALUE&amp;DB=129&amp;ID1=16890510&amp;VALUEID=13040&amp;SDATE=200603&amp;PERIODTYPE=QTR_STD&amp;window=popup_no_bar&amp;width=385&amp;height=120&amp;START_MAXIMIZED=FALSE&amp;creator=factset&amp;display_string=Audit"}</definedName>
    <definedName name="_409__FDSAUDITLINK__" hidden="1">{"fdsup://Directions/FactSet Auditing Viewer?action=AUDIT_VALUE&amp;DB=129&amp;ID1=16890510&amp;VALUEID=01001&amp;SDATE=200603&amp;PERIODTYPE=QTR_STD&amp;window=popup_no_bar&amp;width=385&amp;height=120&amp;START_MAXIMIZED=FALSE&amp;creator=factset&amp;display_string=Audit"}</definedName>
    <definedName name="_41__FDSAUDITLINK__" hidden="1">{"fdsup://Directions/FactSet Auditing Viewer?action=AUDIT_VALUE&amp;DB=129&amp;ID1=36476010&amp;VALUEID=01001&amp;SDATE=200903&amp;PERIODTYPE=QTR_STD&amp;window=popup_no_bar&amp;width=385&amp;height=120&amp;START_MAXIMIZED=FALSE&amp;creator=factset&amp;display_string=Audit"}</definedName>
    <definedName name="_410__FDSAUDITLINK__" hidden="1">{"fdsup://Directions/FactSet Auditing Viewer?action=AUDIT_VALUE&amp;DB=129&amp;ID1=16890510&amp;VALUEID=02101&amp;SDATE=200603&amp;PERIODTYPE=QTR_STD&amp;window=popup_no_bar&amp;width=385&amp;height=120&amp;START_MAXIMIZED=FALSE&amp;creator=factset&amp;display_string=Audit"}</definedName>
    <definedName name="_411__FDSAUDITLINK__" hidden="1">{"fdsup://Directions/FactSet Auditing Viewer?action=AUDIT_VALUE&amp;DB=129&amp;ID1=16890510&amp;VALUEID=01001&amp;SDATE=200604&amp;PERIODTYPE=QTR_STD&amp;window=popup_no_bar&amp;width=385&amp;height=120&amp;START_MAXIMIZED=FALSE&amp;creator=factset&amp;display_string=Audit"}</definedName>
    <definedName name="_412__FDSAUDITLINK__" hidden="1">{"fdsup://Directions/FactSet Auditing Viewer?action=AUDIT_VALUE&amp;DB=129&amp;ID1=16890510&amp;VALUEID=01001&amp;SDATE=200701&amp;PERIODTYPE=QTR_STD&amp;window=popup_no_bar&amp;width=385&amp;height=120&amp;START_MAXIMIZED=FALSE&amp;creator=factset&amp;display_string=Audit"}</definedName>
    <definedName name="_413__FDSAUDITLINK__" hidden="1">{"fdsup://Directions/FactSet Auditing Viewer?action=AUDIT_VALUE&amp;DB=129&amp;ID1=16890510&amp;VALUEID=02101&amp;SDATE=200701&amp;PERIODTYPE=QTR_STD&amp;window=popup_no_bar&amp;width=385&amp;height=120&amp;START_MAXIMIZED=FALSE&amp;creator=factset&amp;display_string=Audit"}</definedName>
    <definedName name="_414__FDSAUDITLINK__" hidden="1">{"fdsup://Directions/FactSet Auditing Viewer?action=AUDIT_VALUE&amp;DB=129&amp;ID1=16890510&amp;VALUEID=13040&amp;SDATE=200701&amp;PERIODTYPE=QTR_STD&amp;window=popup_no_bar&amp;width=385&amp;height=120&amp;START_MAXIMIZED=FALSE&amp;creator=factset&amp;display_string=Audit"}</definedName>
    <definedName name="_415__FDSAUDITLINK__" hidden="1">{"fdsup://Directions/FactSet Auditing Viewer?action=AUDIT_VALUE&amp;DB=129&amp;ID1=16890510&amp;VALUEID=13040&amp;SDATE=200702&amp;PERIODTYPE=QTR_STD&amp;window=popup_no_bar&amp;width=385&amp;height=120&amp;START_MAXIMIZED=FALSE&amp;creator=factset&amp;display_string=Audit"}</definedName>
    <definedName name="_416__FDSAUDITLINK__" hidden="1">{"fdsup://Directions/FactSet Auditing Viewer?action=AUDIT_VALUE&amp;DB=129&amp;ID1=16890510&amp;VALUEID=01001&amp;SDATE=200702&amp;PERIODTYPE=QTR_STD&amp;window=popup_no_bar&amp;width=385&amp;height=120&amp;START_MAXIMIZED=FALSE&amp;creator=factset&amp;display_string=Audit"}</definedName>
    <definedName name="_417__FDSAUDITLINK__" hidden="1">{"fdsup://Directions/FactSet Auditing Viewer?action=AUDIT_VALUE&amp;DB=129&amp;ID1=16890510&amp;VALUEID=02101&amp;SDATE=200702&amp;PERIODTYPE=QTR_STD&amp;window=popup_no_bar&amp;width=385&amp;height=120&amp;START_MAXIMIZED=FALSE&amp;creator=factset&amp;display_string=Audit"}</definedName>
    <definedName name="_418__FDSAUDITLINK__" hidden="1">{"fdsup://Directions/FactSet Auditing Viewer?action=AUDIT_VALUE&amp;DB=129&amp;ID1=16890510&amp;VALUEID=13040&amp;SDATE=200703&amp;PERIODTYPE=QTR_STD&amp;window=popup_no_bar&amp;width=385&amp;height=120&amp;START_MAXIMIZED=FALSE&amp;creator=factset&amp;display_string=Audit"}</definedName>
    <definedName name="_419__FDSAUDITLINK__" hidden="1">{"fdsup://Directions/FactSet Auditing Viewer?action=AUDIT_VALUE&amp;DB=129&amp;ID1=16890510&amp;VALUEID=01001&amp;SDATE=200703&amp;PERIODTYPE=QTR_STD&amp;window=popup_no_bar&amp;width=385&amp;height=120&amp;START_MAXIMIZED=FALSE&amp;creator=factset&amp;display_string=Audit"}</definedName>
    <definedName name="_42__FDSAUDITLINK__" hidden="1">{"fdsup://Directions/FactSet Auditing Viewer?action=AUDIT_VALUE&amp;DB=129&amp;ID1=36476010&amp;VALUEID=13040&amp;SDATE=200903&amp;PERIODTYPE=QTR_STD&amp;window=popup_no_bar&amp;width=385&amp;height=120&amp;START_MAXIMIZED=FALSE&amp;creator=factset&amp;display_string=Audit"}</definedName>
    <definedName name="_420__FDSAUDITLINK__" hidden="1">{"fdsup://Directions/FactSet Auditing Viewer?action=AUDIT_VALUE&amp;DB=129&amp;ID1=16890510&amp;VALUEID=02101&amp;SDATE=200703&amp;PERIODTYPE=QTR_STD&amp;window=popup_no_bar&amp;width=385&amp;height=120&amp;START_MAXIMIZED=FALSE&amp;creator=factset&amp;display_string=Audit"}</definedName>
    <definedName name="_421__FDSAUDITLINK__" hidden="1">{"fdsup://Directions/FactSet Auditing Viewer?action=AUDIT_VALUE&amp;DB=129&amp;ID1=16890510&amp;VALUEID=01001&amp;SDATE=200704&amp;PERIODTYPE=QTR_STD&amp;window=popup_no_bar&amp;width=385&amp;height=120&amp;START_MAXIMIZED=FALSE&amp;creator=factset&amp;display_string=Audit"}</definedName>
    <definedName name="_422__FDSAUDITLINK__" hidden="1">{"fdsup://Directions/FactSet Auditing Viewer?action=AUDIT_VALUE&amp;DB=129&amp;ID1=16890510&amp;VALUEID=01001&amp;SDATE=200801&amp;PERIODTYPE=QTR_STD&amp;window=popup_no_bar&amp;width=385&amp;height=120&amp;START_MAXIMIZED=FALSE&amp;creator=factset&amp;display_string=Audit"}</definedName>
    <definedName name="_423__FDSAUDITLINK__" hidden="1">{"fdsup://Directions/FactSet Auditing Viewer?action=AUDIT_VALUE&amp;DB=129&amp;ID1=16890510&amp;VALUEID=02101&amp;SDATE=200801&amp;PERIODTYPE=QTR_STD&amp;window=popup_no_bar&amp;width=385&amp;height=120&amp;START_MAXIMIZED=FALSE&amp;creator=factset&amp;display_string=Audit"}</definedName>
    <definedName name="_424__FDSAUDITLINK__" hidden="1">{"fdsup://Directions/FactSet Auditing Viewer?action=AUDIT_VALUE&amp;DB=129&amp;ID1=16890510&amp;VALUEID=13040&amp;SDATE=200801&amp;PERIODTYPE=QTR_STD&amp;window=popup_no_bar&amp;width=385&amp;height=120&amp;START_MAXIMIZED=FALSE&amp;creator=factset&amp;display_string=Audit"}</definedName>
    <definedName name="_425__FDSAUDITLINK__" hidden="1">{"fdsup://Directions/FactSet Auditing Viewer?action=AUDIT_VALUE&amp;DB=129&amp;ID1=16890510&amp;VALUEID=13040&amp;SDATE=200802&amp;PERIODTYPE=QTR_STD&amp;window=popup_no_bar&amp;width=385&amp;height=120&amp;START_MAXIMIZED=FALSE&amp;creator=factset&amp;display_string=Audit"}</definedName>
    <definedName name="_426__FDSAUDITLINK__" hidden="1">{"fdsup://Directions/FactSet Auditing Viewer?action=AUDIT_VALUE&amp;DB=129&amp;ID1=16890510&amp;VALUEID=01001&amp;SDATE=200802&amp;PERIODTYPE=QTR_STD&amp;window=popup_no_bar&amp;width=385&amp;height=120&amp;START_MAXIMIZED=FALSE&amp;creator=factset&amp;display_string=Audit"}</definedName>
    <definedName name="_427__FDSAUDITLINK__" hidden="1">{"fdsup://Directions/FactSet Auditing Viewer?action=AUDIT_VALUE&amp;DB=129&amp;ID1=16890510&amp;VALUEID=02101&amp;SDATE=200802&amp;PERIODTYPE=QTR_STD&amp;window=popup_no_bar&amp;width=385&amp;height=120&amp;START_MAXIMIZED=FALSE&amp;creator=factset&amp;display_string=Audit"}</definedName>
    <definedName name="_428__FDSAUDITLINK__" hidden="1">{"fdsup://Directions/FactSet Auditing Viewer?action=AUDIT_VALUE&amp;DB=129&amp;ID1=16890510&amp;VALUEID=13040&amp;SDATE=200803&amp;PERIODTYPE=QTR_STD&amp;window=popup_no_bar&amp;width=385&amp;height=120&amp;START_MAXIMIZED=FALSE&amp;creator=factset&amp;display_string=Audit"}</definedName>
    <definedName name="_429__FDSAUDITLINK__" hidden="1">{"fdsup://Directions/FactSet Auditing Viewer?action=AUDIT_VALUE&amp;DB=129&amp;ID1=16890510&amp;VALUEID=01001&amp;SDATE=200803&amp;PERIODTYPE=QTR_STD&amp;window=popup_no_bar&amp;width=385&amp;height=120&amp;START_MAXIMIZED=FALSE&amp;creator=factset&amp;display_string=Audit"}</definedName>
    <definedName name="_43__FDSAUDITLINK__" hidden="1">{"fdsup://Directions/FactSet Auditing Viewer?action=AUDIT_VALUE&amp;DB=129&amp;ID1=03611510&amp;VALUEID=02101&amp;SDATE=200903&amp;PERIODTYPE=QTR_STD&amp;window=popup_no_bar&amp;width=385&amp;height=120&amp;START_MAXIMIZED=FALSE&amp;creator=factset&amp;display_string=Audit"}</definedName>
    <definedName name="_430__FDSAUDITLINK__" hidden="1">{"fdsup://Directions/FactSet Auditing Viewer?action=AUDIT_VALUE&amp;DB=129&amp;ID1=16890510&amp;VALUEID=02101&amp;SDATE=200803&amp;PERIODTYPE=QTR_STD&amp;window=popup_no_bar&amp;width=385&amp;height=120&amp;START_MAXIMIZED=FALSE&amp;creator=factset&amp;display_string=Audit"}</definedName>
    <definedName name="_431__FDSAUDITLINK__" hidden="1">{"fdsup://Directions/FactSet Auditing Viewer?action=AUDIT_VALUE&amp;DB=129&amp;ID1=16890510&amp;VALUEID=01001&amp;SDATE=200804&amp;PERIODTYPE=QTR_STD&amp;window=popup_no_bar&amp;width=385&amp;height=120&amp;START_MAXIMIZED=FALSE&amp;creator=factset&amp;display_string=Audit"}</definedName>
    <definedName name="_432__FDSAUDITLINK__" hidden="1">{"fdsup://Directions/FactSet Auditing Viewer?action=AUDIT_VALUE&amp;DB=129&amp;ID1=16890510&amp;VALUEID=01001&amp;SDATE=200901&amp;PERIODTYPE=QTR_STD&amp;window=popup_no_bar&amp;width=385&amp;height=120&amp;START_MAXIMIZED=FALSE&amp;creator=factset&amp;display_string=Audit"}</definedName>
    <definedName name="_433__FDSAUDITLINK__" hidden="1">{"fdsup://Directions/FactSet Auditing Viewer?action=AUDIT_VALUE&amp;DB=129&amp;ID1=16890510&amp;VALUEID=02101&amp;SDATE=200901&amp;PERIODTYPE=QTR_STD&amp;window=popup_no_bar&amp;width=385&amp;height=120&amp;START_MAXIMIZED=FALSE&amp;creator=factset&amp;display_string=Audit"}</definedName>
    <definedName name="_434__FDSAUDITLINK__" hidden="1">{"fdsup://Directions/FactSet Auditing Viewer?action=AUDIT_VALUE&amp;DB=129&amp;ID1=16890510&amp;VALUEID=13040&amp;SDATE=200902&amp;PERIODTYPE=QTR_STD&amp;window=popup_no_bar&amp;width=385&amp;height=120&amp;START_MAXIMIZED=FALSE&amp;creator=factset&amp;display_string=Audit"}</definedName>
    <definedName name="_435__FDSAUDITLINK__" hidden="1">{"fdsup://Directions/FactSet Auditing Viewer?action=AUDIT_VALUE&amp;DB=129&amp;ID1=16890510&amp;VALUEID=01001&amp;SDATE=200902&amp;PERIODTYPE=QTR_STD&amp;window=popup_no_bar&amp;width=385&amp;height=120&amp;START_MAXIMIZED=FALSE&amp;creator=factset&amp;display_string=Audit"}</definedName>
    <definedName name="_436__FDSAUDITLINK__" hidden="1">{"fdsup://Directions/FactSet Auditing Viewer?action=AUDIT_VALUE&amp;DB=129&amp;ID1=16890510&amp;VALUEID=02101&amp;SDATE=200902&amp;PERIODTYPE=QTR_STD&amp;window=popup_no_bar&amp;width=385&amp;height=120&amp;START_MAXIMIZED=FALSE&amp;creator=factset&amp;display_string=Audit"}</definedName>
    <definedName name="_437__FDSAUDITLINK__" hidden="1">{"fdsup://Directions/FactSet Auditing Viewer?action=AUDIT_VALUE&amp;DB=129&amp;ID1=16890510&amp;VALUEID=13040&amp;SDATE=200903&amp;PERIODTYPE=QTR_STD&amp;window=popup_no_bar&amp;width=385&amp;height=120&amp;START_MAXIMIZED=FALSE&amp;creator=factset&amp;display_string=Audit"}</definedName>
    <definedName name="_438__FDSAUDITLINK__" hidden="1">{"fdsup://Directions/FactSet Auditing Viewer?action=AUDIT_VALUE&amp;DB=129&amp;ID1=16890510&amp;VALUEID=01001&amp;SDATE=200903&amp;PERIODTYPE=QTR_STD&amp;window=popup_no_bar&amp;width=385&amp;height=120&amp;START_MAXIMIZED=FALSE&amp;creator=factset&amp;display_string=Audit"}</definedName>
    <definedName name="_439__FDSAUDITLINK__" hidden="1">{"fdsup://Directions/FactSet Auditing Viewer?action=AUDIT_VALUE&amp;DB=129&amp;ID1=16890510&amp;VALUEID=02101&amp;SDATE=200903&amp;PERIODTYPE=QTR_STD&amp;window=popup_no_bar&amp;width=385&amp;height=120&amp;START_MAXIMIZED=FALSE&amp;creator=factset&amp;display_string=Audit"}</definedName>
    <definedName name="_44__FDSAUDITLINK__" hidden="1">{"fdsup://Directions/FactSet Auditing Viewer?action=AUDIT_VALUE&amp;DB=129&amp;ID1=03611510&amp;VALUEID=01001&amp;SDATE=200903&amp;PERIODTYPE=QTR_STD&amp;window=popup_no_bar&amp;width=385&amp;height=120&amp;START_MAXIMIZED=FALSE&amp;creator=factset&amp;display_string=Audit"}</definedName>
    <definedName name="_440__FDSAUDITLINK__" hidden="1">{"fdsup://Directions/FactSet Auditing Viewer?action=AUDIT_VALUE&amp;DB=129&amp;ID1=16890510&amp;VALUEID=01001&amp;SDATE=200904&amp;PERIODTYPE=QTR_STD&amp;window=popup_no_bar&amp;width=385&amp;height=120&amp;START_MAXIMIZED=FALSE&amp;creator=factset&amp;display_string=Audit"}</definedName>
    <definedName name="_441__FDSAUDITLINK__" hidden="1">{"fdsup://Directions/FactSet Auditing Viewer?action=AUDIT_VALUE&amp;DB=129&amp;ID1=16890510&amp;VALUEID=13040&amp;SDATE=201001&amp;PERIODTYPE=QTR_STD&amp;window=popup_no_bar&amp;width=385&amp;height=120&amp;START_MAXIMIZED=FALSE&amp;creator=factset&amp;display_string=Audit"}</definedName>
    <definedName name="_442__FDSAUDITLINK__" hidden="1">{"fdsup://Directions/FactSet Auditing Viewer?action=AUDIT_VALUE&amp;DB=129&amp;ID1=16890510&amp;VALUEID=01001&amp;SDATE=201001&amp;PERIODTYPE=QTR_STD&amp;window=popup_no_bar&amp;width=385&amp;height=120&amp;START_MAXIMIZED=FALSE&amp;creator=factset&amp;display_string=Audit"}</definedName>
    <definedName name="_443__FDSAUDITLINK__" hidden="1">{"fdsup://Directions/FactSet Auditing Viewer?action=AUDIT_VALUE&amp;DB=129&amp;ID1=16890510&amp;VALUEID=02101&amp;SDATE=201001&amp;PERIODTYPE=QTR_STD&amp;window=popup_no_bar&amp;width=385&amp;height=120&amp;START_MAXIMIZED=FALSE&amp;creator=factset&amp;display_string=Audit"}</definedName>
    <definedName name="_444__FDSAUDITLINK__" hidden="1">{"fdsup://Directions/FactSet Auditing Viewer?action=AUDIT_VALUE&amp;DB=129&amp;ID1=87416110&amp;VALUEID=02101&amp;SDATE=201001&amp;PERIODTYPE=QTR_STD&amp;window=popup_no_bar&amp;width=385&amp;height=120&amp;START_MAXIMIZED=FALSE&amp;creator=factset&amp;display_string=Audit"}</definedName>
    <definedName name="_445__FDSAUDITLINK__" hidden="1">{"fdsup://Directions/FactSet Auditing Viewer?action=AUDIT_VALUE&amp;DB=129&amp;ID1=87416110&amp;VALUEID=13040&amp;SDATE=201001&amp;PERIODTYPE=QTR_STD&amp;window=popup_no_bar&amp;width=385&amp;height=120&amp;START_MAXIMIZED=FALSE&amp;creator=factset&amp;display_string=Audit"}</definedName>
    <definedName name="_446__FDSAUDITLINK__" hidden="1">{"fdsup://directions/FAT Viewer?action=UPDATE&amp;creator=factset&amp;DYN_ARGS=TRUE&amp;DOC_NAME=FAT:FQL_AUDITING_CLIENT_TEMPLATE.FAT&amp;display_string=Audit&amp;VAR:KEY=FSTUHMJIBA&amp;VAR:QUERY=RkZfUlRfU0ZfVE9UX0dST1NTKFFUUiwwKQ==&amp;WINDOW=FIRST_POPUP&amp;HEIGHT=450&amp;WIDTH=450&amp;START_MA","XIMIZED=FALSE&amp;VAR:CALENDAR=US&amp;VAR:SYMBOL=TLB&amp;VAR:INDEX=0"}</definedName>
    <definedName name="_447__FDSAUDITLINK__" hidden="1">{"fdsup://Directions/FactSet Auditing Viewer?action=AUDIT_VALUE&amp;DB=129&amp;ID1=53271610&amp;VALUEID=02101&amp;SDATE=201001&amp;PERIODTYPE=QTR_STD&amp;window=popup_no_bar&amp;width=385&amp;height=120&amp;START_MAXIMIZED=FALSE&amp;creator=factset&amp;display_string=Audit"}</definedName>
    <definedName name="_448__FDSAUDITLINK__" hidden="1">{"fdsup://Directions/FactSet Auditing Viewer?action=AUDIT_VALUE&amp;DB=129&amp;ID1=53271610&amp;VALUEID=13040&amp;SDATE=201001&amp;PERIODTYPE=QTR_STD&amp;window=popup_no_bar&amp;width=385&amp;height=120&amp;START_MAXIMIZED=FALSE&amp;creator=factset&amp;display_string=Audit"}</definedName>
    <definedName name="_449__FDSAUDITLINK__" hidden="1">{"fdsup://Directions/FactSet Auditing Viewer?action=AUDIT_VALUE&amp;DB=129&amp;ID1=46612H40&amp;VALUEID=02101&amp;SDATE=201001&amp;PERIODTYPE=QTR_STD&amp;window=popup_no_bar&amp;width=385&amp;height=120&amp;START_MAXIMIZED=FALSE&amp;creator=factset&amp;display_string=Audit"}</definedName>
    <definedName name="_45__FDSAUDITLINK__" hidden="1">{"fdsup://Directions/FactSet Auditing Viewer?action=AUDIT_VALUE&amp;DB=129&amp;ID1=03611510&amp;VALUEID=13040&amp;SDATE=200903&amp;PERIODTYPE=QTR_STD&amp;window=popup_no_bar&amp;width=385&amp;height=120&amp;START_MAXIMIZED=FALSE&amp;creator=factset&amp;display_string=Audit"}</definedName>
    <definedName name="_450__FDSAUDITLINK__" hidden="1">{"fdsup://Directions/FactSet Auditing Viewer?action=AUDIT_VALUE&amp;DB=129&amp;ID1=46612H40&amp;VALUEID=13040&amp;SDATE=201001&amp;PERIODTYPE=QTR_STD&amp;window=popup_no_bar&amp;width=385&amp;height=120&amp;START_MAXIMIZED=FALSE&amp;creator=factset&amp;display_string=Audit"}</definedName>
    <definedName name="_451__FDSAUDITLINK__" hidden="1">{"fdsup://Directions/FactSet Auditing Viewer?action=AUDIT_VALUE&amp;DB=129&amp;ID1=36476010&amp;VALUEID=02101&amp;SDATE=201001&amp;PERIODTYPE=QTR_STD&amp;window=popup_no_bar&amp;width=385&amp;height=120&amp;START_MAXIMIZED=FALSE&amp;creator=factset&amp;display_string=Audit"}</definedName>
    <definedName name="_452__FDSAUDITLINK__" hidden="1">{"fdsup://Directions/FactSet Auditing Viewer?action=AUDIT_VALUE&amp;DB=129&amp;ID1=36476010&amp;VALUEID=13040&amp;SDATE=201001&amp;PERIODTYPE=QTR_STD&amp;window=popup_no_bar&amp;width=385&amp;height=120&amp;START_MAXIMIZED=FALSE&amp;creator=factset&amp;display_string=Audit"}</definedName>
    <definedName name="_453__FDSAUDITLINK__" hidden="1">{"fdsup://Directions/FactSet Auditing Viewer?action=AUDIT_VALUE&amp;DB=129&amp;ID1=03611510&amp;VALUEID=02101&amp;SDATE=201001&amp;PERIODTYPE=QTR_STD&amp;window=popup_no_bar&amp;width=385&amp;height=120&amp;START_MAXIMIZED=FALSE&amp;creator=factset&amp;display_string=Audit"}</definedName>
    <definedName name="_454__FDSAUDITLINK__" hidden="1">{"fdsup://Directions/FactSet Auditing Viewer?action=AUDIT_VALUE&amp;DB=129&amp;ID1=03611510&amp;VALUEID=13040&amp;SDATE=201001&amp;PERIODTYPE=QTR_STD&amp;window=popup_no_bar&amp;width=385&amp;height=120&amp;START_MAXIMIZED=FALSE&amp;creator=factset&amp;display_string=Audit"}</definedName>
    <definedName name="_455__FDSAUDITLINK__" hidden="1">{"fdsup://Directions/FactSet Auditing Viewer?action=AUDIT_VALUE&amp;DB=129&amp;ID1=16890510&amp;VALUEID=02101&amp;SDATE=201001&amp;PERIODTYPE=QTR_STD&amp;window=popup_no_bar&amp;width=385&amp;height=120&amp;START_MAXIMIZED=FALSE&amp;creator=factset&amp;display_string=Audit"}</definedName>
    <definedName name="_456__FDSAUDITLINK__" hidden="1">{"fdsup://Directions/FactSet Auditing Viewer?action=AUDIT_VALUE&amp;DB=129&amp;ID1=91704710&amp;VALUEID=02101&amp;SDATE=201001&amp;PERIODTYPE=QTR_STD&amp;window=popup_no_bar&amp;width=385&amp;height=120&amp;START_MAXIMIZED=FALSE&amp;creator=factset&amp;display_string=Audit"}</definedName>
    <definedName name="_457__FDSAUDITLINK__" hidden="1">{"fdsup://Directions/FactSet Auditing Viewer?action=AUDIT_VALUE&amp;DB=129&amp;ID1=91704710&amp;VALUEID=13040&amp;SDATE=201001&amp;PERIODTYPE=QTR_STD&amp;window=popup_no_bar&amp;width=385&amp;height=120&amp;START_MAXIMIZED=FALSE&amp;creator=factset&amp;display_string=Audit"}</definedName>
    <definedName name="_458__FDSAUDITLINK__" hidden="1">{"fdsup://Directions/FactSet Auditing Viewer?action=AUDIT_VALUE&amp;DB=129&amp;ID1=02553E10&amp;VALUEID=02101&amp;SDATE=201001&amp;PERIODTYPE=QTR_STD&amp;window=popup_no_bar&amp;width=385&amp;height=120&amp;START_MAXIMIZED=FALSE&amp;creator=factset&amp;display_string=Audit"}</definedName>
    <definedName name="_459__FDSAUDITLINK__" hidden="1">{"fdsup://Directions/FactSet Auditing Viewer?action=AUDIT_VALUE&amp;DB=129&amp;ID1=02553E10&amp;VALUEID=13040&amp;SDATE=201001&amp;PERIODTYPE=QTR_STD&amp;window=popup_no_bar&amp;width=385&amp;height=120&amp;START_MAXIMIZED=FALSE&amp;creator=factset&amp;display_string=Audit"}</definedName>
    <definedName name="_46__FDSAUDITLINK__" hidden="1">{"fdsup://Directions/FactSet Auditing Viewer?action=AUDIT_VALUE&amp;DB=129&amp;ID1=16890510&amp;VALUEID=02101&amp;SDATE=200903&amp;PERIODTYPE=QTR_STD&amp;window=popup_no_bar&amp;width=385&amp;height=120&amp;START_MAXIMIZED=FALSE&amp;creator=factset&amp;display_string=Audit"}</definedName>
    <definedName name="_460__FDSAUDITLINK__" hidden="1">{"fdsup://Directions/FactSet Auditing Viewer?action=AUDIT_VALUE&amp;DB=129&amp;ID1=00786510&amp;VALUEID=02101&amp;SDATE=201001&amp;PERIODTYPE=QTR_STD&amp;window=popup_no_bar&amp;width=385&amp;height=120&amp;START_MAXIMIZED=FALSE&amp;creator=factset&amp;display_string=Audit"}</definedName>
    <definedName name="_461__FDSAUDITLINK__" hidden="1">{"fdsup://Directions/FactSet Auditing Viewer?action=AUDIT_VALUE&amp;DB=129&amp;ID1=00786510&amp;VALUEID=13040&amp;SDATE=201001&amp;PERIODTYPE=QTR_STD&amp;window=popup_no_bar&amp;width=385&amp;height=120&amp;START_MAXIMIZED=FALSE&amp;creator=factset&amp;display_string=Audit"}</definedName>
    <definedName name="_462__FDSAUDITLINK__" hidden="1">{"fdsup://Directions/FactSet Auditing Viewer?action=AUDIT_VALUE&amp;DB=129&amp;ID1=00289620&amp;VALUEID=02101&amp;SDATE=201001&amp;PERIODTYPE=QTR_STD&amp;window=popup_no_bar&amp;width=385&amp;height=120&amp;START_MAXIMIZED=FALSE&amp;creator=factset&amp;display_string=Audit"}</definedName>
    <definedName name="_463__FDSAUDITLINK__" hidden="1">{"fdsup://Directions/FactSet Auditing Viewer?action=AUDIT_VALUE&amp;DB=129&amp;ID1=00289620&amp;VALUEID=13040&amp;SDATE=201001&amp;PERIODTYPE=QTR_STD&amp;window=popup_no_bar&amp;width=385&amp;height=120&amp;START_MAXIMIZED=FALSE&amp;creator=factset&amp;display_string=Audit"}</definedName>
    <definedName name="_464__FDSAUDITLINK__" hidden="1">{"fdsup://Directions/FactSet Auditing Viewer?action=AUDIT_VALUE&amp;DB=129&amp;ID1=87416110&amp;VALUEID=01001&amp;SDATE=200904&amp;PERIODTYPE=QTR_STD&amp;window=popup_no_bar&amp;width=385&amp;height=120&amp;START_MAXIMIZED=FALSE&amp;creator=factset&amp;display_string=Audit"}</definedName>
    <definedName name="_465__FDSAUDITLINK__" hidden="1">{"fdsup://directions/FAT Viewer?action=UPDATE&amp;creator=factset&amp;DYN_ARGS=TRUE&amp;DOC_NAME=FAT:FQL_AUDITING_CLIENT_TEMPLATE.FAT&amp;display_string=Audit&amp;VAR:KEY=BIFCDOPIRG&amp;VAR:QUERY=RkZfUlRfU0ZfVE9UX0dST1NTKFFUUiwtMSk=&amp;WINDOW=FIRST_POPUP&amp;HEIGHT=450&amp;WIDTH=450&amp;START_MA","XIMIZED=FALSE&amp;VAR:CALENDAR=US&amp;VAR:SYMBOL=TLB&amp;VAR:INDEX=0"}</definedName>
    <definedName name="_466__FDSAUDITLINK__" hidden="1">{"fdsup://Directions/FactSet Auditing Viewer?action=AUDIT_VALUE&amp;DB=129&amp;ID1=46612H40&amp;VALUEID=01001&amp;SDATE=200904&amp;PERIODTYPE=QTR_STD&amp;window=popup_no_bar&amp;width=385&amp;height=120&amp;START_MAXIMIZED=FALSE&amp;creator=factset&amp;display_string=Audit"}</definedName>
    <definedName name="_467__FDSAUDITLINK__" hidden="1">{"fdsup://Directions/FactSet Auditing Viewer?action=AUDIT_VALUE&amp;DB=129&amp;ID1=36476010&amp;VALUEID=01001&amp;SDATE=200904&amp;PERIODTYPE=QTR_STD&amp;window=popup_no_bar&amp;width=385&amp;height=120&amp;START_MAXIMIZED=FALSE&amp;creator=factset&amp;display_string=Audit"}</definedName>
    <definedName name="_468__FDSAUDITLINK__" hidden="1">{"fdsup://Directions/FactSet Auditing Viewer?action=AUDIT_VALUE&amp;DB=129&amp;ID1=03611510&amp;VALUEID=01001&amp;SDATE=200904&amp;PERIODTYPE=QTR_STD&amp;window=popup_no_bar&amp;width=385&amp;height=120&amp;START_MAXIMIZED=FALSE&amp;creator=factset&amp;display_string=Audit"}</definedName>
    <definedName name="_469__FDSAUDITLINK__" hidden="1">{"fdsup://Directions/FactSet Auditing Viewer?action=AUDIT_VALUE&amp;DB=129&amp;ID1=16890510&amp;VALUEID=01001&amp;SDATE=200904&amp;PERIODTYPE=QTR_STD&amp;window=popup_no_bar&amp;width=385&amp;height=120&amp;START_MAXIMIZED=FALSE&amp;creator=factset&amp;display_string=Audit"}</definedName>
    <definedName name="_47__FDSAUDITLINK__" hidden="1">{"fdsup://Directions/FactSet Auditing Viewer?action=AUDIT_VALUE&amp;DB=129&amp;ID1=16890510&amp;VALUEID=01001&amp;SDATE=200903&amp;PERIODTYPE=QTR_STD&amp;window=popup_no_bar&amp;width=385&amp;height=120&amp;START_MAXIMIZED=FALSE&amp;creator=factset&amp;display_string=Audit"}</definedName>
    <definedName name="_470__FDSAUDITLINK__" hidden="1">{"fdsup://Directions/FactSet Auditing Viewer?action=AUDIT_VALUE&amp;DB=129&amp;ID1=91704710&amp;VALUEID=01001&amp;SDATE=200904&amp;PERIODTYPE=QTR_STD&amp;window=popup_no_bar&amp;width=385&amp;height=120&amp;START_MAXIMIZED=FALSE&amp;creator=factset&amp;display_string=Audit"}</definedName>
    <definedName name="_471__FDSAUDITLINK__" hidden="1">{"fdsup://Directions/FactSet Auditing Viewer?action=AUDIT_VALUE&amp;DB=129&amp;ID1=02553E10&amp;VALUEID=01001&amp;SDATE=200904&amp;PERIODTYPE=QTR_STD&amp;window=popup_no_bar&amp;width=385&amp;height=120&amp;START_MAXIMIZED=FALSE&amp;creator=factset&amp;display_string=Audit"}</definedName>
    <definedName name="_472__FDSAUDITLINK__" hidden="1">{"fdsup://Directions/FactSet Auditing Viewer?action=AUDIT_VALUE&amp;DB=129&amp;ID1=00786510&amp;VALUEID=01001&amp;SDATE=200904&amp;PERIODTYPE=QTR_STD&amp;window=popup_no_bar&amp;width=385&amp;height=120&amp;START_MAXIMIZED=FALSE&amp;creator=factset&amp;display_string=Audit"}</definedName>
    <definedName name="_473__FDSAUDITLINK__" hidden="1">{"fdsup://Directions/FactSet Auditing Viewer?action=AUDIT_VALUE&amp;DB=129&amp;ID1=87416110&amp;VALUEID=02101&amp;SDATE=200903&amp;PERIODTYPE=QTR_STD&amp;window=popup_no_bar&amp;width=385&amp;height=120&amp;START_MAXIMIZED=FALSE&amp;creator=factset&amp;display_string=Audit"}</definedName>
    <definedName name="_474__FDSAUDITLINK__" hidden="1">{"fdsup://Directions/FactSet Auditing Viewer?action=AUDIT_VALUE&amp;DB=129&amp;ID1=87416110&amp;VALUEID=01001&amp;SDATE=200903&amp;PERIODTYPE=QTR_STD&amp;window=popup_no_bar&amp;width=385&amp;height=120&amp;START_MAXIMIZED=FALSE&amp;creator=factset&amp;display_string=Audit"}</definedName>
    <definedName name="_475__FDSAUDITLINK__" hidden="1">{"fdsup://Directions/FactSet Auditing Viewer?action=AUDIT_VALUE&amp;DB=129&amp;ID1=87416110&amp;VALUEID=13040&amp;SDATE=200903&amp;PERIODTYPE=QTR_STD&amp;window=popup_no_bar&amp;width=385&amp;height=120&amp;START_MAXIMIZED=FALSE&amp;creator=factset&amp;display_string=Audit"}</definedName>
    <definedName name="_476__FDSAUDITLINK__" hidden="1">{"fdsup://directions/FAT Viewer?action=UPDATE&amp;creator=factset&amp;DYN_ARGS=TRUE&amp;DOC_NAME=FAT:FQL_AUDITING_CLIENT_TEMPLATE.FAT&amp;display_string=Audit&amp;VAR:KEY=XAZODYBEXK&amp;VAR:QUERY=RkZfUlRfU0ZfVE9UX0dST1NTKFFUUiwtMik=&amp;WINDOW=FIRST_POPUP&amp;HEIGHT=450&amp;WIDTH=450&amp;START_MA","XIMIZED=FALSE&amp;VAR:CALENDAR=US&amp;VAR:SYMBOL=TLB&amp;VAR:INDEX=0"}</definedName>
    <definedName name="_477__FDSAUDITLINK__" hidden="1">{"fdsup://Directions/FactSet Auditing Viewer?action=AUDIT_VALUE&amp;DB=129&amp;ID1=53271610&amp;VALUEID=02101&amp;SDATE=200903&amp;PERIODTYPE=QTR_STD&amp;window=popup_no_bar&amp;width=385&amp;height=120&amp;START_MAXIMIZED=FALSE&amp;creator=factset&amp;display_string=Audit"}</definedName>
    <definedName name="_478__FDSAUDITLINK__" hidden="1">{"fdsup://Directions/FactSet Auditing Viewer?action=AUDIT_VALUE&amp;DB=129&amp;ID1=53271610&amp;VALUEID=01001&amp;SDATE=200903&amp;PERIODTYPE=QTR_STD&amp;window=popup_no_bar&amp;width=385&amp;height=120&amp;START_MAXIMIZED=FALSE&amp;creator=factset&amp;display_string=Audit"}</definedName>
    <definedName name="_479__FDSAUDITLINK__" hidden="1">{"fdsup://Directions/FactSet Auditing Viewer?action=AUDIT_VALUE&amp;DB=129&amp;ID1=53271610&amp;VALUEID=13040&amp;SDATE=200903&amp;PERIODTYPE=QTR_STD&amp;window=popup_no_bar&amp;width=385&amp;height=120&amp;START_MAXIMIZED=FALSE&amp;creator=factset&amp;display_string=Audit"}</definedName>
    <definedName name="_48__FDSAUDITLINK__" hidden="1">{"fdsup://Directions/FactSet Auditing Viewer?action=AUDIT_VALUE&amp;DB=129&amp;ID1=91704710&amp;VALUEID=02101&amp;SDATE=200903&amp;PERIODTYPE=QTR_STD&amp;window=popup_no_bar&amp;width=385&amp;height=120&amp;START_MAXIMIZED=FALSE&amp;creator=factset&amp;display_string=Audit"}</definedName>
    <definedName name="_480__FDSAUDITLINK__" hidden="1">{"fdsup://Directions/FactSet Auditing Viewer?action=AUDIT_VALUE&amp;DB=129&amp;ID1=46612H40&amp;VALUEID=02101&amp;SDATE=200903&amp;PERIODTYPE=QTR_STD&amp;window=popup_no_bar&amp;width=385&amp;height=120&amp;START_MAXIMIZED=FALSE&amp;creator=factset&amp;display_string=Audit"}</definedName>
    <definedName name="_481__FDSAUDITLINK__" hidden="1">{"fdsup://Directions/FactSet Auditing Viewer?action=AUDIT_VALUE&amp;DB=129&amp;ID1=46612H40&amp;VALUEID=01001&amp;SDATE=200903&amp;PERIODTYPE=QTR_STD&amp;window=popup_no_bar&amp;width=385&amp;height=120&amp;START_MAXIMIZED=FALSE&amp;creator=factset&amp;display_string=Audit"}</definedName>
    <definedName name="_482__FDSAUDITLINK__" hidden="1">{"fdsup://Directions/FactSet Auditing Viewer?action=AUDIT_VALUE&amp;DB=129&amp;ID1=46612H40&amp;VALUEID=13040&amp;SDATE=200903&amp;PERIODTYPE=QTR_STD&amp;window=popup_no_bar&amp;width=385&amp;height=120&amp;START_MAXIMIZED=FALSE&amp;creator=factset&amp;display_string=Audit"}</definedName>
    <definedName name="_483__FDSAUDITLINK__" hidden="1">{"fdsup://Directions/FactSet Auditing Viewer?action=AUDIT_VALUE&amp;DB=129&amp;ID1=36476010&amp;VALUEID=02101&amp;SDATE=200903&amp;PERIODTYPE=QTR_STD&amp;window=popup_no_bar&amp;width=385&amp;height=120&amp;START_MAXIMIZED=FALSE&amp;creator=factset&amp;display_string=Audit"}</definedName>
    <definedName name="_484__FDSAUDITLINK__" hidden="1">{"fdsup://Directions/FactSet Auditing Viewer?action=AUDIT_VALUE&amp;DB=129&amp;ID1=36476010&amp;VALUEID=01001&amp;SDATE=200903&amp;PERIODTYPE=QTR_STD&amp;window=popup_no_bar&amp;width=385&amp;height=120&amp;START_MAXIMIZED=FALSE&amp;creator=factset&amp;display_string=Audit"}</definedName>
    <definedName name="_485__FDSAUDITLINK__" hidden="1">{"fdsup://Directions/FactSet Auditing Viewer?action=AUDIT_VALUE&amp;DB=129&amp;ID1=36476010&amp;VALUEID=13040&amp;SDATE=200903&amp;PERIODTYPE=QTR_STD&amp;window=popup_no_bar&amp;width=385&amp;height=120&amp;START_MAXIMIZED=FALSE&amp;creator=factset&amp;display_string=Audit"}</definedName>
    <definedName name="_486__FDSAUDITLINK__" hidden="1">{"fdsup://Directions/FactSet Auditing Viewer?action=AUDIT_VALUE&amp;DB=129&amp;ID1=03611510&amp;VALUEID=02101&amp;SDATE=200903&amp;PERIODTYPE=QTR_STD&amp;window=popup_no_bar&amp;width=385&amp;height=120&amp;START_MAXIMIZED=FALSE&amp;creator=factset&amp;display_string=Audit"}</definedName>
    <definedName name="_487__FDSAUDITLINK__" hidden="1">{"fdsup://Directions/FactSet Auditing Viewer?action=AUDIT_VALUE&amp;DB=129&amp;ID1=03611510&amp;VALUEID=01001&amp;SDATE=200903&amp;PERIODTYPE=QTR_STD&amp;window=popup_no_bar&amp;width=385&amp;height=120&amp;START_MAXIMIZED=FALSE&amp;creator=factset&amp;display_string=Audit"}</definedName>
    <definedName name="_488__FDSAUDITLINK__" hidden="1">{"fdsup://Directions/FactSet Auditing Viewer?action=AUDIT_VALUE&amp;DB=129&amp;ID1=03611510&amp;VALUEID=13040&amp;SDATE=200903&amp;PERIODTYPE=QTR_STD&amp;window=popup_no_bar&amp;width=385&amp;height=120&amp;START_MAXIMIZED=FALSE&amp;creator=factset&amp;display_string=Audit"}</definedName>
    <definedName name="_489__FDSAUDITLINK__" hidden="1">{"fdsup://Directions/FactSet Auditing Viewer?action=AUDIT_VALUE&amp;DB=129&amp;ID1=16890510&amp;VALUEID=02101&amp;SDATE=200903&amp;PERIODTYPE=QTR_STD&amp;window=popup_no_bar&amp;width=385&amp;height=120&amp;START_MAXIMIZED=FALSE&amp;creator=factset&amp;display_string=Audit"}</definedName>
    <definedName name="_49__FDSAUDITLINK__" hidden="1">{"fdsup://Directions/FactSet Auditing Viewer?action=AUDIT_VALUE&amp;DB=129&amp;ID1=91704710&amp;VALUEID=01001&amp;SDATE=200903&amp;PERIODTYPE=QTR_STD&amp;window=popup_no_bar&amp;width=385&amp;height=120&amp;START_MAXIMIZED=FALSE&amp;creator=factset&amp;display_string=Audit"}</definedName>
    <definedName name="_490__FDSAUDITLINK__" hidden="1">{"fdsup://Directions/FactSet Auditing Viewer?action=AUDIT_VALUE&amp;DB=129&amp;ID1=16890510&amp;VALUEID=01001&amp;SDATE=200903&amp;PERIODTYPE=QTR_STD&amp;window=popup_no_bar&amp;width=385&amp;height=120&amp;START_MAXIMIZED=FALSE&amp;creator=factset&amp;display_string=Audit"}</definedName>
    <definedName name="_491__FDSAUDITLINK__" hidden="1">{"fdsup://Directions/FactSet Auditing Viewer?action=AUDIT_VALUE&amp;DB=129&amp;ID1=91704710&amp;VALUEID=02101&amp;SDATE=200903&amp;PERIODTYPE=QTR_STD&amp;window=popup_no_bar&amp;width=385&amp;height=120&amp;START_MAXIMIZED=FALSE&amp;creator=factset&amp;display_string=Audit"}</definedName>
    <definedName name="_492__FDSAUDITLINK__" hidden="1">{"fdsup://Directions/FactSet Auditing Viewer?action=AUDIT_VALUE&amp;DB=129&amp;ID1=91704710&amp;VALUEID=01001&amp;SDATE=200903&amp;PERIODTYPE=QTR_STD&amp;window=popup_no_bar&amp;width=385&amp;height=120&amp;START_MAXIMIZED=FALSE&amp;creator=factset&amp;display_string=Audit"}</definedName>
    <definedName name="_493__FDSAUDITLINK__" hidden="1">{"fdsup://Directions/FactSet Auditing Viewer?action=AUDIT_VALUE&amp;DB=129&amp;ID1=91704710&amp;VALUEID=13040&amp;SDATE=200903&amp;PERIODTYPE=QTR_STD&amp;window=popup_no_bar&amp;width=385&amp;height=120&amp;START_MAXIMIZED=FALSE&amp;creator=factset&amp;display_string=Audit"}</definedName>
    <definedName name="_494__FDSAUDITLINK__" hidden="1">{"fdsup://Directions/FactSet Auditing Viewer?action=AUDIT_VALUE&amp;DB=129&amp;ID1=02553E10&amp;VALUEID=02101&amp;SDATE=200903&amp;PERIODTYPE=QTR_STD&amp;window=popup_no_bar&amp;width=385&amp;height=120&amp;START_MAXIMIZED=FALSE&amp;creator=factset&amp;display_string=Audit"}</definedName>
    <definedName name="_495__FDSAUDITLINK__" hidden="1">{"fdsup://Directions/FactSet Auditing Viewer?action=AUDIT_VALUE&amp;DB=129&amp;ID1=02553E10&amp;VALUEID=01001&amp;SDATE=200903&amp;PERIODTYPE=QTR_STD&amp;window=popup_no_bar&amp;width=385&amp;height=120&amp;START_MAXIMIZED=FALSE&amp;creator=factset&amp;display_string=Audit"}</definedName>
    <definedName name="_496__FDSAUDITLINK__" hidden="1">{"fdsup://Directions/FactSet Auditing Viewer?action=AUDIT_VALUE&amp;DB=129&amp;ID1=00786510&amp;VALUEID=02101&amp;SDATE=200903&amp;PERIODTYPE=QTR_STD&amp;window=popup_no_bar&amp;width=385&amp;height=120&amp;START_MAXIMIZED=FALSE&amp;creator=factset&amp;display_string=Audit"}</definedName>
    <definedName name="_497__FDSAUDITLINK__" hidden="1">{"fdsup://Directions/FactSet Auditing Viewer?action=AUDIT_VALUE&amp;DB=129&amp;ID1=00786510&amp;VALUEID=01001&amp;SDATE=200903&amp;PERIODTYPE=QTR_STD&amp;window=popup_no_bar&amp;width=385&amp;height=120&amp;START_MAXIMIZED=FALSE&amp;creator=factset&amp;display_string=Audit"}</definedName>
    <definedName name="_498__FDSAUDITLINK__" hidden="1">{"fdsup://Directions/FactSet Auditing Viewer?action=AUDIT_VALUE&amp;DB=129&amp;ID1=00786510&amp;VALUEID=13040&amp;SDATE=200903&amp;PERIODTYPE=QTR_STD&amp;window=popup_no_bar&amp;width=385&amp;height=120&amp;START_MAXIMIZED=FALSE&amp;creator=factset&amp;display_string=Audit"}</definedName>
    <definedName name="_499__FDSAUDITLINK__" hidden="1">{"fdsup://Directions/FactSet Auditing Viewer?action=AUDIT_VALUE&amp;DB=129&amp;ID1=00289620&amp;VALUEID=02101&amp;SDATE=200903&amp;PERIODTYPE=QTR_STD&amp;window=popup_no_bar&amp;width=385&amp;height=120&amp;START_MAXIMIZED=FALSE&amp;creator=factset&amp;display_string=Audit"}</definedName>
    <definedName name="_5__123Graph_Aｸﾞﾗﾌ_1" hidden="1">[2]ｾｸﾞﾒﾝﾄ!$E$164:$I$164</definedName>
    <definedName name="_5__FDSAUDITLINK__" hidden="1">{"fdsup://Directions/FactSet Auditing Viewer?action=AUDIT_VALUE&amp;DB=129&amp;ID1=53271610&amp;VALUEID=13040&amp;SDATE=201001&amp;PERIODTYPE=QTR_STD&amp;window=popup_no_bar&amp;width=385&amp;height=120&amp;START_MAXIMIZED=FALSE&amp;creator=factset&amp;display_string=Audit"}</definedName>
    <definedName name="_50__FDSAUDITLINK__" hidden="1">{"fdsup://Directions/FactSet Auditing Viewer?action=AUDIT_VALUE&amp;DB=129&amp;ID1=91704710&amp;VALUEID=13040&amp;SDATE=200903&amp;PERIODTYPE=QTR_STD&amp;window=popup_no_bar&amp;width=385&amp;height=120&amp;START_MAXIMIZED=FALSE&amp;creator=factset&amp;display_string=Audit"}</definedName>
    <definedName name="_500__FDSAUDITLINK__" hidden="1">{"fdsup://Directions/FactSet Auditing Viewer?action=AUDIT_VALUE&amp;DB=129&amp;ID1=00289620&amp;VALUEID=01001&amp;SDATE=200903&amp;PERIODTYPE=QTR_STD&amp;window=popup_no_bar&amp;width=385&amp;height=120&amp;START_MAXIMIZED=FALSE&amp;creator=factset&amp;display_string=Audit"}</definedName>
    <definedName name="_501__FDSAUDITLINK__" hidden="1">{"fdsup://Directions/FactSet Auditing Viewer?action=AUDIT_VALUE&amp;DB=129&amp;ID1=00289620&amp;VALUEID=13040&amp;SDATE=200903&amp;PERIODTYPE=QTR_STD&amp;window=popup_no_bar&amp;width=385&amp;height=120&amp;START_MAXIMIZED=FALSE&amp;creator=factset&amp;display_string=Audit"}</definedName>
    <definedName name="_502__FDSAUDITLINK__" hidden="1">{"fdsup://Directions/FactSet Auditing Viewer?action=AUDIT_VALUE&amp;DB=129&amp;ID1=87416110&amp;VALUEID=02101&amp;SDATE=200902&amp;PERIODTYPE=QTR_STD&amp;window=popup_no_bar&amp;width=385&amp;height=120&amp;START_MAXIMIZED=FALSE&amp;creator=factset&amp;display_string=Audit"}</definedName>
    <definedName name="_503__FDSAUDITLINK__" hidden="1">{"fdsup://Directions/FactSet Auditing Viewer?action=AUDIT_VALUE&amp;DB=129&amp;ID1=87416110&amp;VALUEID=01001&amp;SDATE=200902&amp;PERIODTYPE=QTR_STD&amp;window=popup_no_bar&amp;width=385&amp;height=120&amp;START_MAXIMIZED=FALSE&amp;creator=factset&amp;display_string=Audit"}</definedName>
    <definedName name="_504__FDSAUDITLINK__" hidden="1">{"fdsup://Directions/FactSet Auditing Viewer?action=AUDIT_VALUE&amp;DB=129&amp;ID1=53271610&amp;VALUEID=02101&amp;SDATE=200902&amp;PERIODTYPE=QTR_STD&amp;window=popup_no_bar&amp;width=385&amp;height=120&amp;START_MAXIMIZED=FALSE&amp;creator=factset&amp;display_string=Audit"}</definedName>
    <definedName name="_505__FDSAUDITLINK__" hidden="1">{"fdsup://Directions/FactSet Auditing Viewer?action=AUDIT_VALUE&amp;DB=129&amp;ID1=53271610&amp;VALUEID=01001&amp;SDATE=200902&amp;PERIODTYPE=QTR_STD&amp;window=popup_no_bar&amp;width=385&amp;height=120&amp;START_MAXIMIZED=FALSE&amp;creator=factset&amp;display_string=Audit"}</definedName>
    <definedName name="_506__FDSAUDITLINK__" hidden="1">{"fdsup://Directions/FactSet Auditing Viewer?action=AUDIT_VALUE&amp;DB=129&amp;ID1=53271610&amp;VALUEID=13040&amp;SDATE=200902&amp;PERIODTYPE=QTR_STD&amp;window=popup_no_bar&amp;width=385&amp;height=120&amp;START_MAXIMIZED=FALSE&amp;creator=factset&amp;display_string=Audit"}</definedName>
    <definedName name="_507__FDSAUDITLINK__" hidden="1">{"fdsup://Directions/FactSet Auditing Viewer?action=AUDIT_VALUE&amp;DB=129&amp;ID1=46612H40&amp;VALUEID=02101&amp;SDATE=200902&amp;PERIODTYPE=QTR_STD&amp;window=popup_no_bar&amp;width=385&amp;height=120&amp;START_MAXIMIZED=FALSE&amp;creator=factset&amp;display_string=Audit"}</definedName>
    <definedName name="_508__FDSAUDITLINK__" hidden="1">{"fdsup://Directions/FactSet Auditing Viewer?action=AUDIT_VALUE&amp;DB=129&amp;ID1=46612H40&amp;VALUEID=01001&amp;SDATE=200902&amp;PERIODTYPE=QTR_STD&amp;window=popup_no_bar&amp;width=385&amp;height=120&amp;START_MAXIMIZED=FALSE&amp;creator=factset&amp;display_string=Audit"}</definedName>
    <definedName name="_509__FDSAUDITLINK__" hidden="1">{"fdsup://Directions/FactSet Auditing Viewer?action=AUDIT_VALUE&amp;DB=129&amp;ID1=46612H40&amp;VALUEID=13040&amp;SDATE=200902&amp;PERIODTYPE=QTR_STD&amp;window=popup_no_bar&amp;width=385&amp;height=120&amp;START_MAXIMIZED=FALSE&amp;creator=factset&amp;display_string=Audit"}</definedName>
    <definedName name="_51__FDSAUDITLINK__" hidden="1">{"fdsup://Directions/FactSet Auditing Viewer?action=AUDIT_VALUE&amp;DB=129&amp;ID1=02553E10&amp;VALUEID=02101&amp;SDATE=200903&amp;PERIODTYPE=QTR_STD&amp;window=popup_no_bar&amp;width=385&amp;height=120&amp;START_MAXIMIZED=FALSE&amp;creator=factset&amp;display_string=Audit"}</definedName>
    <definedName name="_510__FDSAUDITLINK__" hidden="1">{"fdsup://Directions/FactSet Auditing Viewer?action=AUDIT_VALUE&amp;DB=129&amp;ID1=36476010&amp;VALUEID=02101&amp;SDATE=200902&amp;PERIODTYPE=QTR_STD&amp;window=popup_no_bar&amp;width=385&amp;height=120&amp;START_MAXIMIZED=FALSE&amp;creator=factset&amp;display_string=Audit"}</definedName>
    <definedName name="_511__FDSAUDITLINK__" hidden="1">{"fdsup://Directions/FactSet Auditing Viewer?action=AUDIT_VALUE&amp;DB=129&amp;ID1=36476010&amp;VALUEID=01001&amp;SDATE=200902&amp;PERIODTYPE=QTR_STD&amp;window=popup_no_bar&amp;width=385&amp;height=120&amp;START_MAXIMIZED=FALSE&amp;creator=factset&amp;display_string=Audit"}</definedName>
    <definedName name="_512__FDSAUDITLINK__" hidden="1">{"fdsup://Directions/FactSet Auditing Viewer?action=AUDIT_VALUE&amp;DB=129&amp;ID1=36476010&amp;VALUEID=13040&amp;SDATE=200902&amp;PERIODTYPE=QTR_STD&amp;window=popup_no_bar&amp;width=385&amp;height=120&amp;START_MAXIMIZED=FALSE&amp;creator=factset&amp;display_string=Audit"}</definedName>
    <definedName name="_513__FDSAUDITLINK__" hidden="1">{"fdsup://Directions/FactSet Auditing Viewer?action=AUDIT_VALUE&amp;DB=129&amp;ID1=03611510&amp;VALUEID=02101&amp;SDATE=200902&amp;PERIODTYPE=QTR_STD&amp;window=popup_no_bar&amp;width=385&amp;height=120&amp;START_MAXIMIZED=FALSE&amp;creator=factset&amp;display_string=Audit"}</definedName>
    <definedName name="_514__FDSAUDITLINK__" hidden="1">{"fdsup://Directions/FactSet Auditing Viewer?action=AUDIT_VALUE&amp;DB=129&amp;ID1=03611510&amp;VALUEID=01001&amp;SDATE=200902&amp;PERIODTYPE=QTR_STD&amp;window=popup_no_bar&amp;width=385&amp;height=120&amp;START_MAXIMIZED=FALSE&amp;creator=factset&amp;display_string=Audit"}</definedName>
    <definedName name="_515__FDSAUDITLINK__" hidden="1">{"fdsup://Directions/FactSet Auditing Viewer?action=AUDIT_VALUE&amp;DB=129&amp;ID1=03611510&amp;VALUEID=13040&amp;SDATE=200902&amp;PERIODTYPE=QTR_STD&amp;window=popup_no_bar&amp;width=385&amp;height=120&amp;START_MAXIMIZED=FALSE&amp;creator=factset&amp;display_string=Audit"}</definedName>
    <definedName name="_516__FDSAUDITLINK__" hidden="1">{"fdsup://Directions/FactSet Auditing Viewer?action=AUDIT_VALUE&amp;DB=129&amp;ID1=16890510&amp;VALUEID=02101&amp;SDATE=200902&amp;PERIODTYPE=QTR_STD&amp;window=popup_no_bar&amp;width=385&amp;height=120&amp;START_MAXIMIZED=FALSE&amp;creator=factset&amp;display_string=Audit"}</definedName>
    <definedName name="_517__FDSAUDITLINK__" hidden="1">{"fdsup://Directions/FactSet Auditing Viewer?action=AUDIT_VALUE&amp;DB=129&amp;ID1=16890510&amp;VALUEID=01001&amp;SDATE=200902&amp;PERIODTYPE=QTR_STD&amp;window=popup_no_bar&amp;width=385&amp;height=120&amp;START_MAXIMIZED=FALSE&amp;creator=factset&amp;display_string=Audit"}</definedName>
    <definedName name="_518__FDSAUDITLINK__" hidden="1">{"fdsup://Directions/FactSet Auditing Viewer?action=AUDIT_VALUE&amp;DB=129&amp;ID1=91704710&amp;VALUEID=02101&amp;SDATE=200902&amp;PERIODTYPE=QTR_STD&amp;window=popup_no_bar&amp;width=385&amp;height=120&amp;START_MAXIMIZED=FALSE&amp;creator=factset&amp;display_string=Audit"}</definedName>
    <definedName name="_519__FDSAUDITLINK__" hidden="1">{"fdsup://Directions/FactSet Auditing Viewer?action=AUDIT_VALUE&amp;DB=129&amp;ID1=91704710&amp;VALUEID=01001&amp;SDATE=200902&amp;PERIODTYPE=QTR_STD&amp;window=popup_no_bar&amp;width=385&amp;height=120&amp;START_MAXIMIZED=FALSE&amp;creator=factset&amp;display_string=Audit"}</definedName>
    <definedName name="_52__FDSAUDITLINK__" hidden="1">{"fdsup://Directions/FactSet Auditing Viewer?action=AUDIT_VALUE&amp;DB=129&amp;ID1=02553E10&amp;VALUEID=01001&amp;SDATE=200903&amp;PERIODTYPE=QTR_STD&amp;window=popup_no_bar&amp;width=385&amp;height=120&amp;START_MAXIMIZED=FALSE&amp;creator=factset&amp;display_string=Audit"}</definedName>
    <definedName name="_520__FDSAUDITLINK__" hidden="1">{"fdsup://Directions/FactSet Auditing Viewer?action=AUDIT_VALUE&amp;DB=129&amp;ID1=02553E10&amp;VALUEID=02101&amp;SDATE=200902&amp;PERIODTYPE=QTR_STD&amp;window=popup_no_bar&amp;width=385&amp;height=120&amp;START_MAXIMIZED=FALSE&amp;creator=factset&amp;display_string=Audit"}</definedName>
    <definedName name="_521__FDSAUDITLINK__" hidden="1">{"fdsup://Directions/FactSet Auditing Viewer?action=AUDIT_VALUE&amp;DB=129&amp;ID1=02553E10&amp;VALUEID=01001&amp;SDATE=200902&amp;PERIODTYPE=QTR_STD&amp;window=popup_no_bar&amp;width=385&amp;height=120&amp;START_MAXIMIZED=FALSE&amp;creator=factset&amp;display_string=Audit"}</definedName>
    <definedName name="_522__FDSAUDITLINK__" hidden="1">{"fdsup://Directions/FactSet Auditing Viewer?action=AUDIT_VALUE&amp;DB=129&amp;ID1=02553E10&amp;VALUEID=13040&amp;SDATE=200902&amp;PERIODTYPE=QTR_STD&amp;window=popup_no_bar&amp;width=385&amp;height=120&amp;START_MAXIMIZED=FALSE&amp;creator=factset&amp;display_string=Audit"}</definedName>
    <definedName name="_523__FDSAUDITLINK__" hidden="1">{"fdsup://Directions/FactSet Auditing Viewer?action=AUDIT_VALUE&amp;DB=129&amp;ID1=00786510&amp;VALUEID=02101&amp;SDATE=200902&amp;PERIODTYPE=QTR_STD&amp;window=popup_no_bar&amp;width=385&amp;height=120&amp;START_MAXIMIZED=FALSE&amp;creator=factset&amp;display_string=Audit"}</definedName>
    <definedName name="_524__FDSAUDITLINK__" hidden="1">{"fdsup://Directions/FactSet Auditing Viewer?action=AUDIT_VALUE&amp;DB=129&amp;ID1=00786510&amp;VALUEID=01001&amp;SDATE=200902&amp;PERIODTYPE=QTR_STD&amp;window=popup_no_bar&amp;width=385&amp;height=120&amp;START_MAXIMIZED=FALSE&amp;creator=factset&amp;display_string=Audit"}</definedName>
    <definedName name="_525__FDSAUDITLINK__" hidden="1">{"fdsup://Directions/FactSet Auditing Viewer?action=AUDIT_VALUE&amp;DB=129&amp;ID1=00786510&amp;VALUEID=13040&amp;SDATE=200902&amp;PERIODTYPE=QTR_STD&amp;window=popup_no_bar&amp;width=385&amp;height=120&amp;START_MAXIMIZED=FALSE&amp;creator=factset&amp;display_string=Audit"}</definedName>
    <definedName name="_526__FDSAUDITLINK__" hidden="1">{"fdsup://Directions/FactSet Auditing Viewer?action=AUDIT_VALUE&amp;DB=129&amp;ID1=00289620&amp;VALUEID=02101&amp;SDATE=200902&amp;PERIODTYPE=QTR_STD&amp;window=popup_no_bar&amp;width=385&amp;height=120&amp;START_MAXIMIZED=FALSE&amp;creator=factset&amp;display_string=Audit"}</definedName>
    <definedName name="_527__FDSAUDITLINK__" hidden="1">{"fdsup://Directions/FactSet Auditing Viewer?action=AUDIT_VALUE&amp;DB=129&amp;ID1=00289620&amp;VALUEID=01001&amp;SDATE=200902&amp;PERIODTYPE=QTR_STD&amp;window=popup_no_bar&amp;width=385&amp;height=120&amp;START_MAXIMIZED=FALSE&amp;creator=factset&amp;display_string=Audit"}</definedName>
    <definedName name="_528__FDSAUDITLINK__" hidden="1">{"fdsup://Directions/FactSet Auditing Viewer?action=AUDIT_VALUE&amp;DB=129&amp;ID1=00289620&amp;VALUEID=13040&amp;SDATE=200902&amp;PERIODTYPE=QTR_STD&amp;window=popup_no_bar&amp;width=385&amp;height=120&amp;START_MAXIMIZED=FALSE&amp;creator=factset&amp;display_string=Audit"}</definedName>
    <definedName name="_529__FDSAUDITLINK__" hidden="1">{"fdsup://Directions/FactSet Auditing Viewer?action=AUDIT_VALUE&amp;DB=129&amp;ID1=87416110&amp;VALUEID=02101&amp;SDATE=200901&amp;PERIODTYPE=QTR_STD&amp;window=popup_no_bar&amp;width=385&amp;height=120&amp;START_MAXIMIZED=FALSE&amp;creator=factset&amp;display_string=Audit"}</definedName>
    <definedName name="_53__FDSAUDITLINK__" hidden="1">{"fdsup://Directions/FactSet Auditing Viewer?action=AUDIT_VALUE&amp;DB=129&amp;ID1=00786510&amp;VALUEID=02101&amp;SDATE=200903&amp;PERIODTYPE=QTR_STD&amp;window=popup_no_bar&amp;width=385&amp;height=120&amp;START_MAXIMIZED=FALSE&amp;creator=factset&amp;display_string=Audit"}</definedName>
    <definedName name="_530__FDSAUDITLINK__" hidden="1">{"fdsup://Directions/FactSet Auditing Viewer?action=AUDIT_VALUE&amp;DB=129&amp;ID1=87416110&amp;VALUEID=01001&amp;SDATE=200901&amp;PERIODTYPE=QTR_STD&amp;window=popup_no_bar&amp;width=385&amp;height=120&amp;START_MAXIMIZED=FALSE&amp;creator=factset&amp;display_string=Audit"}</definedName>
    <definedName name="_531__FDSAUDITLINK__" hidden="1">{"fdsup://Directions/FactSet Auditing Viewer?action=AUDIT_VALUE&amp;DB=129&amp;ID1=87416110&amp;VALUEID=13040&amp;SDATE=200901&amp;PERIODTYPE=QTR_STD&amp;window=popup_no_bar&amp;width=385&amp;height=120&amp;START_MAXIMIZED=FALSE&amp;creator=factset&amp;display_string=Audit"}</definedName>
    <definedName name="_532__FDSAUDITLINK__" hidden="1">{"fdsup://directions/FAT Viewer?action=UPDATE&amp;creator=factset&amp;DYN_ARGS=TRUE&amp;DOC_NAME=FAT:FQL_AUDITING_CLIENT_TEMPLATE.FAT&amp;display_string=Audit&amp;VAR:KEY=RSZCXYZEJW&amp;VAR:QUERY=RkZfUlRfU0ZfVE9UX0dST1NTKFFUUiwtNCk=&amp;WINDOW=FIRST_POPUP&amp;HEIGHT=450&amp;WIDTH=450&amp;START_MA","XIMIZED=FALSE&amp;VAR:CALENDAR=US&amp;VAR:SYMBOL=TLB&amp;VAR:INDEX=0"}</definedName>
    <definedName name="_533__FDSAUDITLINK__" hidden="1">{"fdsup://Directions/FactSet Auditing Viewer?action=AUDIT_VALUE&amp;DB=129&amp;ID1=53271610&amp;VALUEID=13040&amp;SDATE=200901&amp;PERIODTYPE=QTR_STD&amp;window=popup_no_bar&amp;width=385&amp;height=120&amp;START_MAXIMIZED=FALSE&amp;creator=factset&amp;display_string=Audit"}</definedName>
    <definedName name="_534__FDSAUDITLINK__" hidden="1">{"fdsup://Directions/FactSet Auditing Viewer?action=AUDIT_VALUE&amp;DB=129&amp;ID1=46612H40&amp;VALUEID=02101&amp;SDATE=200901&amp;PERIODTYPE=QTR_STD&amp;window=popup_no_bar&amp;width=385&amp;height=120&amp;START_MAXIMIZED=FALSE&amp;creator=factset&amp;display_string=Audit"}</definedName>
    <definedName name="_535__FDSAUDITLINK__" hidden="1">{"fdsup://Directions/FactSet Auditing Viewer?action=AUDIT_VALUE&amp;DB=129&amp;ID1=46612H40&amp;VALUEID=01001&amp;SDATE=200901&amp;PERIODTYPE=QTR_STD&amp;window=popup_no_bar&amp;width=385&amp;height=120&amp;START_MAXIMIZED=FALSE&amp;creator=factset&amp;display_string=Audit"}</definedName>
    <definedName name="_536__FDSAUDITLINK__" hidden="1">{"fdsup://Directions/FactSet Auditing Viewer?action=AUDIT_VALUE&amp;DB=129&amp;ID1=46612H40&amp;VALUEID=13040&amp;SDATE=200901&amp;PERIODTYPE=QTR_STD&amp;window=popup_no_bar&amp;width=385&amp;height=120&amp;START_MAXIMIZED=FALSE&amp;creator=factset&amp;display_string=Audit"}</definedName>
    <definedName name="_537__FDSAUDITLINK__" hidden="1">{"fdsup://Directions/FactSet Auditing Viewer?action=AUDIT_VALUE&amp;DB=129&amp;ID1=03611510&amp;VALUEID=02101&amp;SDATE=200901&amp;PERIODTYPE=QTR_STD&amp;window=popup_no_bar&amp;width=385&amp;height=120&amp;START_MAXIMIZED=FALSE&amp;creator=factset&amp;display_string=Audit"}</definedName>
    <definedName name="_538__FDSAUDITLINK__" hidden="1">{"fdsup://Directions/FactSet Auditing Viewer?action=AUDIT_VALUE&amp;DB=129&amp;ID1=03611510&amp;VALUEID=01001&amp;SDATE=200901&amp;PERIODTYPE=QTR_STD&amp;window=popup_no_bar&amp;width=385&amp;height=120&amp;START_MAXIMIZED=FALSE&amp;creator=factset&amp;display_string=Audit"}</definedName>
    <definedName name="_539__FDSAUDITLINK__" hidden="1">{"fdsup://Directions/FactSet Auditing Viewer?action=AUDIT_VALUE&amp;DB=129&amp;ID1=16890510&amp;VALUEID=02101&amp;SDATE=200901&amp;PERIODTYPE=QTR_STD&amp;window=popup_no_bar&amp;width=385&amp;height=120&amp;START_MAXIMIZED=FALSE&amp;creator=factset&amp;display_string=Audit"}</definedName>
    <definedName name="_54__FDSAUDITLINK__" hidden="1">{"fdsup://Directions/FactSet Auditing Viewer?action=AUDIT_VALUE&amp;DB=129&amp;ID1=00786510&amp;VALUEID=01001&amp;SDATE=200903&amp;PERIODTYPE=QTR_STD&amp;window=popup_no_bar&amp;width=385&amp;height=120&amp;START_MAXIMIZED=FALSE&amp;creator=factset&amp;display_string=Audit"}</definedName>
    <definedName name="_540__FDSAUDITLINK__" hidden="1">{"fdsup://Directions/FactSet Auditing Viewer?action=AUDIT_VALUE&amp;DB=129&amp;ID1=16890510&amp;VALUEID=01001&amp;SDATE=200901&amp;PERIODTYPE=QTR_STD&amp;window=popup_no_bar&amp;width=385&amp;height=120&amp;START_MAXIMIZED=FALSE&amp;creator=factset&amp;display_string=Audit"}</definedName>
    <definedName name="_541__FDSAUDITLINK__" hidden="1">{"fdsup://Directions/FactSet Auditing Viewer?action=AUDIT_VALUE&amp;DB=129&amp;ID1=00786510&amp;VALUEID=02101&amp;SDATE=200901&amp;PERIODTYPE=QTR_STD&amp;window=popup_no_bar&amp;width=385&amp;height=120&amp;START_MAXIMIZED=FALSE&amp;creator=factset&amp;display_string=Audit"}</definedName>
    <definedName name="_542__FDSAUDITLINK__" hidden="1">{"fdsup://Directions/FactSet Auditing Viewer?action=AUDIT_VALUE&amp;DB=129&amp;ID1=00786510&amp;VALUEID=01001&amp;SDATE=200901&amp;PERIODTYPE=QTR_STD&amp;window=popup_no_bar&amp;width=385&amp;height=120&amp;START_MAXIMIZED=FALSE&amp;creator=factset&amp;display_string=Audit"}</definedName>
    <definedName name="_543__FDSAUDITLINK__" hidden="1">{"fdsup://Directions/FactSet Auditing Viewer?action=AUDIT_VALUE&amp;DB=129&amp;ID1=00786510&amp;VALUEID=13040&amp;SDATE=200901&amp;PERIODTYPE=QTR_STD&amp;window=popup_no_bar&amp;width=385&amp;height=120&amp;START_MAXIMIZED=FALSE&amp;creator=factset&amp;display_string=Audit"}</definedName>
    <definedName name="_544__FDSAUDITLINK__" hidden="1">{"fdsup://Directions/FactSet Auditing Viewer?action=AUDIT_VALUE&amp;DB=129&amp;ID1=00289620&amp;VALUEID=13040&amp;SDATE=200901&amp;PERIODTYPE=QTR_STD&amp;window=popup_no_bar&amp;width=385&amp;height=120&amp;START_MAXIMIZED=FALSE&amp;creator=factset&amp;display_string=Audit"}</definedName>
    <definedName name="_545__FDSAUDITLINK__" hidden="1">{"fdsup://Directions/FactSet Auditing Viewer?action=AUDIT_VALUE&amp;DB=129&amp;ID1=87416110&amp;VALUEID=01001&amp;SDATE=200804&amp;PERIODTYPE=QTR_STD&amp;window=popup_no_bar&amp;width=385&amp;height=120&amp;START_MAXIMIZED=FALSE&amp;creator=factset&amp;display_string=Audit"}</definedName>
    <definedName name="_546__FDSAUDITLINK__" hidden="1">{"fdsup://directions/FAT Viewer?action=UPDATE&amp;creator=factset&amp;DYN_ARGS=TRUE&amp;DOC_NAME=FAT:FQL_AUDITING_CLIENT_TEMPLATE.FAT&amp;display_string=Audit&amp;VAR:KEY=BSXQNALGBC&amp;VAR:QUERY=RkZfUlRfU0ZfVE9UX0dST1NTKFFUUiwtNSk=&amp;WINDOW=FIRST_POPUP&amp;HEIGHT=450&amp;WIDTH=450&amp;START_MA","XIMIZED=FALSE&amp;VAR:CALENDAR=US&amp;VAR:SYMBOL=TLB&amp;VAR:INDEX=0"}</definedName>
    <definedName name="_547__FDSAUDITLINK__" hidden="1">{"fdsup://Directions/FactSet Auditing Viewer?action=AUDIT_VALUE&amp;DB=129&amp;ID1=46612H40&amp;VALUEID=01001&amp;SDATE=200804&amp;PERIODTYPE=QTR_STD&amp;window=popup_no_bar&amp;width=385&amp;height=120&amp;START_MAXIMIZED=FALSE&amp;creator=factset&amp;display_string=Audit"}</definedName>
    <definedName name="_548__FDSAUDITLINK__" hidden="1">{"fdsup://Directions/FactSet Auditing Viewer?action=AUDIT_VALUE&amp;DB=129&amp;ID1=46612H40&amp;VALUEID=13040&amp;SDATE=200804&amp;PERIODTYPE=QTR_STD&amp;window=popup_no_bar&amp;width=385&amp;height=120&amp;START_MAXIMIZED=FALSE&amp;creator=factset&amp;display_string=Audit"}</definedName>
    <definedName name="_549__FDSAUDITLINK__" hidden="1">{"fdsup://Directions/FactSet Auditing Viewer?action=AUDIT_VALUE&amp;DB=129&amp;ID1=36476010&amp;VALUEID=01001&amp;SDATE=200804&amp;PERIODTYPE=QTR_STD&amp;window=popup_no_bar&amp;width=385&amp;height=120&amp;START_MAXIMIZED=FALSE&amp;creator=factset&amp;display_string=Audit"}</definedName>
    <definedName name="_55__FDSAUDITLINK__" hidden="1">{"fdsup://Directions/FactSet Auditing Viewer?action=AUDIT_VALUE&amp;DB=129&amp;ID1=00786510&amp;VALUEID=13040&amp;SDATE=200903&amp;PERIODTYPE=QTR_STD&amp;window=popup_no_bar&amp;width=385&amp;height=120&amp;START_MAXIMIZED=FALSE&amp;creator=factset&amp;display_string=Audit"}</definedName>
    <definedName name="_550__FDSAUDITLINK__" hidden="1">{"fdsup://Directions/FactSet Auditing Viewer?action=AUDIT_VALUE&amp;DB=129&amp;ID1=03611510&amp;VALUEID=01001&amp;SDATE=200804&amp;PERIODTYPE=QTR_STD&amp;window=popup_no_bar&amp;width=385&amp;height=120&amp;START_MAXIMIZED=FALSE&amp;creator=factset&amp;display_string=Audit"}</definedName>
    <definedName name="_551__FDSAUDITLINK__" hidden="1">{"fdsup://Directions/FactSet Auditing Viewer?action=AUDIT_VALUE&amp;DB=129&amp;ID1=16890510&amp;VALUEID=01001&amp;SDATE=200804&amp;PERIODTYPE=QTR_STD&amp;window=popup_no_bar&amp;width=385&amp;height=120&amp;START_MAXIMIZED=FALSE&amp;creator=factset&amp;display_string=Audit"}</definedName>
    <definedName name="_552__FDSAUDITLINK__" hidden="1">{"fdsup://Directions/FactSet Auditing Viewer?action=AUDIT_VALUE&amp;DB=129&amp;ID1=00786510&amp;VALUEID=01001&amp;SDATE=200804&amp;PERIODTYPE=QTR_STD&amp;window=popup_no_bar&amp;width=385&amp;height=120&amp;START_MAXIMIZED=FALSE&amp;creator=factset&amp;display_string=Audit"}</definedName>
    <definedName name="_553__FDSAUDITLINK__" hidden="1">{"fdsup://Directions/FactSet Auditing Viewer?action=AUDIT_VALUE&amp;DB=129&amp;ID1=87416110&amp;VALUEID=02101&amp;SDATE=200803&amp;PERIODTYPE=QTR_STD&amp;window=popup_no_bar&amp;width=385&amp;height=120&amp;START_MAXIMIZED=FALSE&amp;creator=factset&amp;display_string=Audit"}</definedName>
    <definedName name="_554__FDSAUDITLINK__" hidden="1">{"fdsup://Directions/FactSet Auditing Viewer?action=AUDIT_VALUE&amp;DB=129&amp;ID1=87416110&amp;VALUEID=01001&amp;SDATE=200803&amp;PERIODTYPE=QTR_STD&amp;window=popup_no_bar&amp;width=385&amp;height=120&amp;START_MAXIMIZED=FALSE&amp;creator=factset&amp;display_string=Audit"}</definedName>
    <definedName name="_555__FDSAUDITLINK__" hidden="1">{"fdsup://Directions/FactSet Auditing Viewer?action=AUDIT_VALUE&amp;DB=129&amp;ID1=87416110&amp;VALUEID=13040&amp;SDATE=200803&amp;PERIODTYPE=QTR_STD&amp;window=popup_no_bar&amp;width=385&amp;height=120&amp;START_MAXIMIZED=FALSE&amp;creator=factset&amp;display_string=Audit"}</definedName>
    <definedName name="_556__FDSAUDITLINK__" hidden="1">{"fdsup://directions/FAT Viewer?action=UPDATE&amp;creator=factset&amp;DYN_ARGS=TRUE&amp;DOC_NAME=FAT:FQL_AUDITING_CLIENT_TEMPLATE.FAT&amp;display_string=Audit&amp;VAR:KEY=VAFWFCDYFC&amp;VAR:QUERY=RkZfUlRfU0ZfVE9UX0dST1NTKFFUUiwtNik=&amp;WINDOW=FIRST_POPUP&amp;HEIGHT=450&amp;WIDTH=450&amp;START_MA","XIMIZED=FALSE&amp;VAR:CALENDAR=US&amp;VAR:SYMBOL=TLB&amp;VAR:INDEX=0"}</definedName>
    <definedName name="_557__FDSAUDITLINK__" hidden="1">{"fdsup://Directions/FactSet Auditing Viewer?action=AUDIT_VALUE&amp;DB=129&amp;ID1=46612H40&amp;VALUEID=02101&amp;SDATE=200803&amp;PERIODTYPE=QTR_STD&amp;window=popup_no_bar&amp;width=385&amp;height=120&amp;START_MAXIMIZED=FALSE&amp;creator=factset&amp;display_string=Audit"}</definedName>
    <definedName name="_558__FDSAUDITLINK__" hidden="1">{"fdsup://Directions/FactSet Auditing Viewer?action=AUDIT_VALUE&amp;DB=129&amp;ID1=46612H40&amp;VALUEID=01001&amp;SDATE=200803&amp;PERIODTYPE=QTR_STD&amp;window=popup_no_bar&amp;width=385&amp;height=120&amp;START_MAXIMIZED=FALSE&amp;creator=factset&amp;display_string=Audit"}</definedName>
    <definedName name="_559__FDSAUDITLINK__" hidden="1">{"fdsup://Directions/FactSet Auditing Viewer?action=AUDIT_VALUE&amp;DB=129&amp;ID1=46612H40&amp;VALUEID=13040&amp;SDATE=200803&amp;PERIODTYPE=QTR_STD&amp;window=popup_no_bar&amp;width=385&amp;height=120&amp;START_MAXIMIZED=FALSE&amp;creator=factset&amp;display_string=Audit"}</definedName>
    <definedName name="_56__FDSAUDITLINK__" hidden="1">{"fdsup://Directions/FactSet Auditing Viewer?action=AUDIT_VALUE&amp;DB=129&amp;ID1=00289620&amp;VALUEID=02101&amp;SDATE=200903&amp;PERIODTYPE=QTR_STD&amp;window=popup_no_bar&amp;width=385&amp;height=120&amp;START_MAXIMIZED=FALSE&amp;creator=factset&amp;display_string=Audit"}</definedName>
    <definedName name="_560__FDSAUDITLINK__" hidden="1">{"fdsup://Directions/FactSet Auditing Viewer?action=AUDIT_VALUE&amp;DB=129&amp;ID1=36476010&amp;VALUEID=02101&amp;SDATE=200803&amp;PERIODTYPE=QTR_STD&amp;window=popup_no_bar&amp;width=385&amp;height=120&amp;START_MAXIMIZED=FALSE&amp;creator=factset&amp;display_string=Audit"}</definedName>
    <definedName name="_561__FDSAUDITLINK__" hidden="1">{"fdsup://Directions/FactSet Auditing Viewer?action=AUDIT_VALUE&amp;DB=129&amp;ID1=36476010&amp;VALUEID=01001&amp;SDATE=200803&amp;PERIODTYPE=QTR_STD&amp;window=popup_no_bar&amp;width=385&amp;height=120&amp;START_MAXIMIZED=FALSE&amp;creator=factset&amp;display_string=Audit"}</definedName>
    <definedName name="_562__FDSAUDITLINK__" hidden="1">{"fdsup://Directions/FactSet Auditing Viewer?action=AUDIT_VALUE&amp;DB=129&amp;ID1=36476010&amp;VALUEID=13040&amp;SDATE=200803&amp;PERIODTYPE=QTR_STD&amp;window=popup_no_bar&amp;width=385&amp;height=120&amp;START_MAXIMIZED=FALSE&amp;creator=factset&amp;display_string=Audit"}</definedName>
    <definedName name="_563__FDSAUDITLINK__" hidden="1">{"fdsup://Directions/FactSet Auditing Viewer?action=AUDIT_VALUE&amp;DB=129&amp;ID1=03611510&amp;VALUEID=02101&amp;SDATE=200803&amp;PERIODTYPE=QTR_STD&amp;window=popup_no_bar&amp;width=385&amp;height=120&amp;START_MAXIMIZED=FALSE&amp;creator=factset&amp;display_string=Audit"}</definedName>
    <definedName name="_564__FDSAUDITLINK__" hidden="1">{"fdsup://Directions/FactSet Auditing Viewer?action=AUDIT_VALUE&amp;DB=129&amp;ID1=03611510&amp;VALUEID=01001&amp;SDATE=200803&amp;PERIODTYPE=QTR_STD&amp;window=popup_no_bar&amp;width=385&amp;height=120&amp;START_MAXIMIZED=FALSE&amp;creator=factset&amp;display_string=Audit"}</definedName>
    <definedName name="_565__FDSAUDITLINK__" hidden="1">{"fdsup://Directions/FactSet Auditing Viewer?action=AUDIT_VALUE&amp;DB=129&amp;ID1=16890510&amp;VALUEID=02101&amp;SDATE=200803&amp;PERIODTYPE=QTR_STD&amp;window=popup_no_bar&amp;width=385&amp;height=120&amp;START_MAXIMIZED=FALSE&amp;creator=factset&amp;display_string=Audit"}</definedName>
    <definedName name="_566__FDSAUDITLINK__" hidden="1">{"fdsup://Directions/FactSet Auditing Viewer?action=AUDIT_VALUE&amp;DB=129&amp;ID1=16890510&amp;VALUEID=01001&amp;SDATE=200803&amp;PERIODTYPE=QTR_STD&amp;window=popup_no_bar&amp;width=385&amp;height=120&amp;START_MAXIMIZED=FALSE&amp;creator=factset&amp;display_string=Audit"}</definedName>
    <definedName name="_567__FDSAUDITLINK__" hidden="1">{"fdsup://Directions/FactSet Auditing Viewer?action=AUDIT_VALUE&amp;DB=129&amp;ID1=91704710&amp;VALUEID=02101&amp;SDATE=200803&amp;PERIODTYPE=QTR_STD&amp;window=popup_no_bar&amp;width=385&amp;height=120&amp;START_MAXIMIZED=FALSE&amp;creator=factset&amp;display_string=Audit"}</definedName>
    <definedName name="_568__FDSAUDITLINK__" hidden="1">{"fdsup://Directions/FactSet Auditing Viewer?action=AUDIT_VALUE&amp;DB=129&amp;ID1=91704710&amp;VALUEID=01001&amp;SDATE=200803&amp;PERIODTYPE=QTR_STD&amp;window=popup_no_bar&amp;width=385&amp;height=120&amp;START_MAXIMIZED=FALSE&amp;creator=factset&amp;display_string=Audit"}</definedName>
    <definedName name="_569__FDSAUDITLINK__" hidden="1">{"fdsup://Directions/FactSet Auditing Viewer?action=AUDIT_VALUE&amp;DB=129&amp;ID1=91704710&amp;VALUEID=13040&amp;SDATE=200803&amp;PERIODTYPE=QTR_STD&amp;window=popup_no_bar&amp;width=385&amp;height=120&amp;START_MAXIMIZED=FALSE&amp;creator=factset&amp;display_string=Audit"}</definedName>
    <definedName name="_57__FDSAUDITLINK__" hidden="1">{"fdsup://Directions/FactSet Auditing Viewer?action=AUDIT_VALUE&amp;DB=129&amp;ID1=00289620&amp;VALUEID=01001&amp;SDATE=200903&amp;PERIODTYPE=QTR_STD&amp;window=popup_no_bar&amp;width=385&amp;height=120&amp;START_MAXIMIZED=FALSE&amp;creator=factset&amp;display_string=Audit"}</definedName>
    <definedName name="_570__FDSAUDITLINK__" hidden="1">{"fdsup://Directions/FactSet Auditing Viewer?action=AUDIT_VALUE&amp;DB=129&amp;ID1=02553E10&amp;VALUEID=02101&amp;SDATE=200803&amp;PERIODTYPE=QTR_STD&amp;window=popup_no_bar&amp;width=385&amp;height=120&amp;START_MAXIMIZED=FALSE&amp;creator=factset&amp;display_string=Audit"}</definedName>
    <definedName name="_571__FDSAUDITLINK__" hidden="1">{"fdsup://Directions/FactSet Auditing Viewer?action=AUDIT_VALUE&amp;DB=129&amp;ID1=02553E10&amp;VALUEID=01001&amp;SDATE=200803&amp;PERIODTYPE=QTR_STD&amp;window=popup_no_bar&amp;width=385&amp;height=120&amp;START_MAXIMIZED=FALSE&amp;creator=factset&amp;display_string=Audit"}</definedName>
    <definedName name="_572__FDSAUDITLINK__" hidden="1">{"fdsup://Directions/FactSet Auditing Viewer?action=AUDIT_VALUE&amp;DB=129&amp;ID1=02553E10&amp;VALUEID=13040&amp;SDATE=200803&amp;PERIODTYPE=QTR_STD&amp;window=popup_no_bar&amp;width=385&amp;height=120&amp;START_MAXIMIZED=FALSE&amp;creator=factset&amp;display_string=Audit"}</definedName>
    <definedName name="_573__FDSAUDITLINK__" hidden="1">{"fdsup://Directions/FactSet Auditing Viewer?action=AUDIT_VALUE&amp;DB=129&amp;ID1=00786510&amp;VALUEID=02101&amp;SDATE=200803&amp;PERIODTYPE=QTR_STD&amp;window=popup_no_bar&amp;width=385&amp;height=120&amp;START_MAXIMIZED=FALSE&amp;creator=factset&amp;display_string=Audit"}</definedName>
    <definedName name="_574__FDSAUDITLINK__" hidden="1">{"fdsup://Directions/FactSet Auditing Viewer?action=AUDIT_VALUE&amp;DB=129&amp;ID1=00786510&amp;VALUEID=01001&amp;SDATE=200803&amp;PERIODTYPE=QTR_STD&amp;window=popup_no_bar&amp;width=385&amp;height=120&amp;START_MAXIMIZED=FALSE&amp;creator=factset&amp;display_string=Audit"}</definedName>
    <definedName name="_575__FDSAUDITLINK__" hidden="1">{"fdsup://Directions/FactSet Auditing Viewer?action=AUDIT_VALUE&amp;DB=129&amp;ID1=00786510&amp;VALUEID=13040&amp;SDATE=200803&amp;PERIODTYPE=QTR_STD&amp;window=popup_no_bar&amp;width=385&amp;height=120&amp;START_MAXIMIZED=FALSE&amp;creator=factset&amp;display_string=Audit"}</definedName>
    <definedName name="_576__FDSAUDITLINK__" hidden="1">{"fdsup://Directions/FactSet Auditing Viewer?action=AUDIT_VALUE&amp;DB=129&amp;ID1=00289620&amp;VALUEID=02101&amp;SDATE=200803&amp;PERIODTYPE=QTR_STD&amp;window=popup_no_bar&amp;width=385&amp;height=120&amp;START_MAXIMIZED=FALSE&amp;creator=factset&amp;display_string=Audit"}</definedName>
    <definedName name="_577__FDSAUDITLINK__" hidden="1">{"fdsup://Directions/FactSet Auditing Viewer?action=AUDIT_VALUE&amp;DB=129&amp;ID1=00289620&amp;VALUEID=01001&amp;SDATE=200803&amp;PERIODTYPE=QTR_STD&amp;window=popup_no_bar&amp;width=385&amp;height=120&amp;START_MAXIMIZED=FALSE&amp;creator=factset&amp;display_string=Audit"}</definedName>
    <definedName name="_578__FDSAUDITLINK__" hidden="1">{"fdsup://Directions/FactSet Auditing Viewer?action=AUDIT_VALUE&amp;DB=129&amp;ID1=00289620&amp;VALUEID=13040&amp;SDATE=200803&amp;PERIODTYPE=QTR_STD&amp;window=popup_no_bar&amp;width=385&amp;height=120&amp;START_MAXIMIZED=FALSE&amp;creator=factset&amp;display_string=Audit"}</definedName>
    <definedName name="_579__FDSAUDITLINK__" hidden="1">{"fdsup://Directions/FactSet Auditing Viewer?action=AUDIT_VALUE&amp;DB=129&amp;ID1=87416110&amp;VALUEID=02101&amp;SDATE=200802&amp;PERIODTYPE=QTR_STD&amp;window=popup_no_bar&amp;width=385&amp;height=120&amp;START_MAXIMIZED=FALSE&amp;creator=factset&amp;display_string=Audit"}</definedName>
    <definedName name="_58__FDSAUDITLINK__" hidden="1">{"fdsup://Directions/FactSet Auditing Viewer?action=AUDIT_VALUE&amp;DB=129&amp;ID1=00289620&amp;VALUEID=13040&amp;SDATE=200903&amp;PERIODTYPE=QTR_STD&amp;window=popup_no_bar&amp;width=385&amp;height=120&amp;START_MAXIMIZED=FALSE&amp;creator=factset&amp;display_string=Audit"}</definedName>
    <definedName name="_580__FDSAUDITLINK__" hidden="1">{"fdsup://Directions/FactSet Auditing Viewer?action=AUDIT_VALUE&amp;DB=129&amp;ID1=87416110&amp;VALUEID=01001&amp;SDATE=200802&amp;PERIODTYPE=QTR_STD&amp;window=popup_no_bar&amp;width=385&amp;height=120&amp;START_MAXIMIZED=FALSE&amp;creator=factset&amp;display_string=Audit"}</definedName>
    <definedName name="_581__FDSAUDITLINK__" hidden="1">{"fdsup://Directions/FactSet Auditing Viewer?action=AUDIT_VALUE&amp;DB=129&amp;ID1=53271610&amp;VALUEID=02101&amp;SDATE=200802&amp;PERIODTYPE=QTR_STD&amp;window=popup_no_bar&amp;width=385&amp;height=120&amp;START_MAXIMIZED=FALSE&amp;creator=factset&amp;display_string=Audit"}</definedName>
    <definedName name="_582__FDSAUDITLINK__" hidden="1">{"fdsup://Directions/FactSet Auditing Viewer?action=AUDIT_VALUE&amp;DB=129&amp;ID1=53271610&amp;VALUEID=01001&amp;SDATE=200802&amp;PERIODTYPE=QTR_STD&amp;window=popup_no_bar&amp;width=385&amp;height=120&amp;START_MAXIMIZED=FALSE&amp;creator=factset&amp;display_string=Audit"}</definedName>
    <definedName name="_583__FDSAUDITLINK__" hidden="1">{"fdsup://Directions/FactSet Auditing Viewer?action=AUDIT_VALUE&amp;DB=129&amp;ID1=53271610&amp;VALUEID=13040&amp;SDATE=200802&amp;PERIODTYPE=QTR_STD&amp;window=popup_no_bar&amp;width=385&amp;height=120&amp;START_MAXIMIZED=FALSE&amp;creator=factset&amp;display_string=Audit"}</definedName>
    <definedName name="_584__FDSAUDITLINK__" hidden="1">{"fdsup://Directions/FactSet Auditing Viewer?action=AUDIT_VALUE&amp;DB=129&amp;ID1=46612H40&amp;VALUEID=02101&amp;SDATE=200802&amp;PERIODTYPE=QTR_STD&amp;window=popup_no_bar&amp;width=385&amp;height=120&amp;START_MAXIMIZED=FALSE&amp;creator=factset&amp;display_string=Audit"}</definedName>
    <definedName name="_585__FDSAUDITLINK__" hidden="1">{"fdsup://Directions/FactSet Auditing Viewer?action=AUDIT_VALUE&amp;DB=129&amp;ID1=46612H40&amp;VALUEID=01001&amp;SDATE=200802&amp;PERIODTYPE=QTR_STD&amp;window=popup_no_bar&amp;width=385&amp;height=120&amp;START_MAXIMIZED=FALSE&amp;creator=factset&amp;display_string=Audit"}</definedName>
    <definedName name="_586__FDSAUDITLINK__" hidden="1">{"fdsup://Directions/FactSet Auditing Viewer?action=AUDIT_VALUE&amp;DB=129&amp;ID1=46612H40&amp;VALUEID=13040&amp;SDATE=200802&amp;PERIODTYPE=QTR_STD&amp;window=popup_no_bar&amp;width=385&amp;height=120&amp;START_MAXIMIZED=FALSE&amp;creator=factset&amp;display_string=Audit"}</definedName>
    <definedName name="_587__FDSAUDITLINK__" hidden="1">{"fdsup://Directions/FactSet Auditing Viewer?action=AUDIT_VALUE&amp;DB=129&amp;ID1=36476010&amp;VALUEID=02101&amp;SDATE=200802&amp;PERIODTYPE=QTR_STD&amp;window=popup_no_bar&amp;width=385&amp;height=120&amp;START_MAXIMIZED=FALSE&amp;creator=factset&amp;display_string=Audit"}</definedName>
    <definedName name="_588__FDSAUDITLINK__" hidden="1">{"fdsup://Directions/FactSet Auditing Viewer?action=AUDIT_VALUE&amp;DB=129&amp;ID1=36476010&amp;VALUEID=01001&amp;SDATE=200802&amp;PERIODTYPE=QTR_STD&amp;window=popup_no_bar&amp;width=385&amp;height=120&amp;START_MAXIMIZED=FALSE&amp;creator=factset&amp;display_string=Audit"}</definedName>
    <definedName name="_589__FDSAUDITLINK__" hidden="1">{"fdsup://Directions/FactSet Auditing Viewer?action=AUDIT_VALUE&amp;DB=129&amp;ID1=36476010&amp;VALUEID=13040&amp;SDATE=200802&amp;PERIODTYPE=QTR_STD&amp;window=popup_no_bar&amp;width=385&amp;height=120&amp;START_MAXIMIZED=FALSE&amp;creator=factset&amp;display_string=Audit"}</definedName>
    <definedName name="_59__FDSAUDITLINK__" hidden="1">{"fdsup://Directions/FactSet Auditing Viewer?action=AUDIT_VALUE&amp;DB=129&amp;ID1=87416110&amp;VALUEID=02101&amp;SDATE=200902&amp;PERIODTYPE=QTR_STD&amp;window=popup_no_bar&amp;width=385&amp;height=120&amp;START_MAXIMIZED=FALSE&amp;creator=factset&amp;display_string=Audit"}</definedName>
    <definedName name="_590__FDSAUDITLINK__" hidden="1">{"fdsup://Directions/FactSet Auditing Viewer?action=AUDIT_VALUE&amp;DB=129&amp;ID1=03611510&amp;VALUEID=02101&amp;SDATE=200802&amp;PERIODTYPE=QTR_STD&amp;window=popup_no_bar&amp;width=385&amp;height=120&amp;START_MAXIMIZED=FALSE&amp;creator=factset&amp;display_string=Audit"}</definedName>
    <definedName name="_591__FDSAUDITLINK__" hidden="1">{"fdsup://Directions/FactSet Auditing Viewer?action=AUDIT_VALUE&amp;DB=129&amp;ID1=03611510&amp;VALUEID=01001&amp;SDATE=200802&amp;PERIODTYPE=QTR_STD&amp;window=popup_no_bar&amp;width=385&amp;height=120&amp;START_MAXIMIZED=FALSE&amp;creator=factset&amp;display_string=Audit"}</definedName>
    <definedName name="_592__FDSAUDITLINK__" hidden="1">{"fdsup://Directions/FactSet Auditing Viewer?action=AUDIT_VALUE&amp;DB=129&amp;ID1=16890510&amp;VALUEID=02101&amp;SDATE=200802&amp;PERIODTYPE=QTR_STD&amp;window=popup_no_bar&amp;width=385&amp;height=120&amp;START_MAXIMIZED=FALSE&amp;creator=factset&amp;display_string=Audit"}</definedName>
    <definedName name="_593__FDSAUDITLINK__" hidden="1">{"fdsup://Directions/FactSet Auditing Viewer?action=AUDIT_VALUE&amp;DB=129&amp;ID1=16890510&amp;VALUEID=01001&amp;SDATE=200802&amp;PERIODTYPE=QTR_STD&amp;window=popup_no_bar&amp;width=385&amp;height=120&amp;START_MAXIMIZED=FALSE&amp;creator=factset&amp;display_string=Audit"}</definedName>
    <definedName name="_594__FDSAUDITLINK__" hidden="1">{"fdsup://Directions/FactSet Auditing Viewer?action=AUDIT_VALUE&amp;DB=129&amp;ID1=91704710&amp;VALUEID=02101&amp;SDATE=200802&amp;PERIODTYPE=QTR_STD&amp;window=popup_no_bar&amp;width=385&amp;height=120&amp;START_MAXIMIZED=FALSE&amp;creator=factset&amp;display_string=Audit"}</definedName>
    <definedName name="_595__FDSAUDITLINK__" hidden="1">{"fdsup://Directions/FactSet Auditing Viewer?action=AUDIT_VALUE&amp;DB=129&amp;ID1=91704710&amp;VALUEID=01001&amp;SDATE=200802&amp;PERIODTYPE=QTR_STD&amp;window=popup_no_bar&amp;width=385&amp;height=120&amp;START_MAXIMIZED=FALSE&amp;creator=factset&amp;display_string=Audit"}</definedName>
    <definedName name="_596__FDSAUDITLINK__" hidden="1">{"fdsup://Directions/FactSet Auditing Viewer?action=AUDIT_VALUE&amp;DB=129&amp;ID1=91704710&amp;VALUEID=13040&amp;SDATE=200802&amp;PERIODTYPE=QTR_STD&amp;window=popup_no_bar&amp;width=385&amp;height=120&amp;START_MAXIMIZED=FALSE&amp;creator=factset&amp;display_string=Audit"}</definedName>
    <definedName name="_597__FDSAUDITLINK__" hidden="1">{"fdsup://Directions/FactSet Auditing Viewer?action=AUDIT_VALUE&amp;DB=129&amp;ID1=02553E10&amp;VALUEID=02101&amp;SDATE=200802&amp;PERIODTYPE=QTR_STD&amp;window=popup_no_bar&amp;width=385&amp;height=120&amp;START_MAXIMIZED=FALSE&amp;creator=factset&amp;display_string=Audit"}</definedName>
    <definedName name="_598__FDSAUDITLINK__" hidden="1">{"fdsup://Directions/FactSet Auditing Viewer?action=AUDIT_VALUE&amp;DB=129&amp;ID1=02553E10&amp;VALUEID=01001&amp;SDATE=200802&amp;PERIODTYPE=QTR_STD&amp;window=popup_no_bar&amp;width=385&amp;height=120&amp;START_MAXIMIZED=FALSE&amp;creator=factset&amp;display_string=Audit"}</definedName>
    <definedName name="_599__FDSAUDITLINK__" hidden="1">{"fdsup://Directions/FactSet Auditing Viewer?action=AUDIT_VALUE&amp;DB=129&amp;ID1=02553E10&amp;VALUEID=13040&amp;SDATE=200802&amp;PERIODTYPE=QTR_STD&amp;window=popup_no_bar&amp;width=385&amp;height=120&amp;START_MAXIMIZED=FALSE&amp;creator=factset&amp;display_string=Audit"}</definedName>
    <definedName name="_6__123Graph_Aｸﾞﾗﾌ_2" hidden="1">[2]単独!$AR$14:$AR$18</definedName>
    <definedName name="_6__FDSAUDITLINK__" hidden="1">{"fdsup://Directions/FactSet Auditing Viewer?action=AUDIT_VALUE&amp;DB=129&amp;ID1=46612H40&amp;VALUEID=02101&amp;SDATE=201001&amp;PERIODTYPE=QTR_STD&amp;window=popup_no_bar&amp;width=385&amp;height=120&amp;START_MAXIMIZED=FALSE&amp;creator=factset&amp;display_string=Audit"}</definedName>
    <definedName name="_60__FDSAUDITLINK__" hidden="1">{"fdsup://Directions/FactSet Auditing Viewer?action=AUDIT_VALUE&amp;DB=129&amp;ID1=87416110&amp;VALUEID=01001&amp;SDATE=200902&amp;PERIODTYPE=QTR_STD&amp;window=popup_no_bar&amp;width=385&amp;height=120&amp;START_MAXIMIZED=FALSE&amp;creator=factset&amp;display_string=Audit"}</definedName>
    <definedName name="_600__FDSAUDITLINK__" hidden="1">{"fdsup://Directions/FactSet Auditing Viewer?action=AUDIT_VALUE&amp;DB=129&amp;ID1=00786510&amp;VALUEID=02101&amp;SDATE=200802&amp;PERIODTYPE=QTR_STD&amp;window=popup_no_bar&amp;width=385&amp;height=120&amp;START_MAXIMIZED=FALSE&amp;creator=factset&amp;display_string=Audit"}</definedName>
    <definedName name="_601__FDSAUDITLINK__" hidden="1">{"fdsup://Directions/FactSet Auditing Viewer?action=AUDIT_VALUE&amp;DB=129&amp;ID1=00786510&amp;VALUEID=01001&amp;SDATE=200802&amp;PERIODTYPE=QTR_STD&amp;window=popup_no_bar&amp;width=385&amp;height=120&amp;START_MAXIMIZED=FALSE&amp;creator=factset&amp;display_string=Audit"}</definedName>
    <definedName name="_602__FDSAUDITLINK__" hidden="1">{"fdsup://Directions/FactSet Auditing Viewer?action=AUDIT_VALUE&amp;DB=129&amp;ID1=00786510&amp;VALUEID=13040&amp;SDATE=200802&amp;PERIODTYPE=QTR_STD&amp;window=popup_no_bar&amp;width=385&amp;height=120&amp;START_MAXIMIZED=FALSE&amp;creator=factset&amp;display_string=Audit"}</definedName>
    <definedName name="_603__FDSAUDITLINK__" hidden="1">{"fdsup://Directions/FactSet Auditing Viewer?action=AUDIT_VALUE&amp;DB=129&amp;ID1=00289620&amp;VALUEID=02101&amp;SDATE=200802&amp;PERIODTYPE=QTR_STD&amp;window=popup_no_bar&amp;width=385&amp;height=120&amp;START_MAXIMIZED=FALSE&amp;creator=factset&amp;display_string=Audit"}</definedName>
    <definedName name="_604__FDSAUDITLINK__" hidden="1">{"fdsup://Directions/FactSet Auditing Viewer?action=AUDIT_VALUE&amp;DB=129&amp;ID1=00289620&amp;VALUEID=01001&amp;SDATE=200802&amp;PERIODTYPE=QTR_STD&amp;window=popup_no_bar&amp;width=385&amp;height=120&amp;START_MAXIMIZED=FALSE&amp;creator=factset&amp;display_string=Audit"}</definedName>
    <definedName name="_605__FDSAUDITLINK__" hidden="1">{"fdsup://Directions/FactSet Auditing Viewer?action=AUDIT_VALUE&amp;DB=129&amp;ID1=00289620&amp;VALUEID=13040&amp;SDATE=200802&amp;PERIODTYPE=QTR_STD&amp;window=popup_no_bar&amp;width=385&amp;height=120&amp;START_MAXIMIZED=FALSE&amp;creator=factset&amp;display_string=Audit"}</definedName>
    <definedName name="_606__FDSAUDITLINK__" hidden="1">{"fdsup://Directions/FactSet Auditing Viewer?action=AUDIT_VALUE&amp;DB=129&amp;ID1=87416110&amp;VALUEID=02101&amp;SDATE=200801&amp;PERIODTYPE=QTR_STD&amp;window=popup_no_bar&amp;width=385&amp;height=120&amp;START_MAXIMIZED=FALSE&amp;creator=factset&amp;display_string=Audit"}</definedName>
    <definedName name="_607__FDSAUDITLINK__" hidden="1">{"fdsup://Directions/FactSet Auditing Viewer?action=AUDIT_VALUE&amp;DB=129&amp;ID1=87416110&amp;VALUEID=01001&amp;SDATE=200801&amp;PERIODTYPE=QTR_STD&amp;window=popup_no_bar&amp;width=385&amp;height=120&amp;START_MAXIMIZED=FALSE&amp;creator=factset&amp;display_string=Audit"}</definedName>
    <definedName name="_608__FDSAUDITLINK__" hidden="1">{"fdsup://Directions/FactSet Auditing Viewer?action=AUDIT_VALUE&amp;DB=129&amp;ID1=53271610&amp;VALUEID=02101&amp;SDATE=200801&amp;PERIODTYPE=QTR_STD&amp;window=popup_no_bar&amp;width=385&amp;height=120&amp;START_MAXIMIZED=FALSE&amp;creator=factset&amp;display_string=Audit"}</definedName>
    <definedName name="_609__FDSAUDITLINK__" hidden="1">{"fdsup://Directions/FactSet Auditing Viewer?action=AUDIT_VALUE&amp;DB=129&amp;ID1=53271610&amp;VALUEID=01001&amp;SDATE=200801&amp;PERIODTYPE=QTR_STD&amp;window=popup_no_bar&amp;width=385&amp;height=120&amp;START_MAXIMIZED=FALSE&amp;creator=factset&amp;display_string=Audit"}</definedName>
    <definedName name="_61__FDSAUDITLINK__" hidden="1">{"fdsup://Directions/FactSet Auditing Viewer?action=AUDIT_VALUE&amp;DB=129&amp;ID1=53271610&amp;VALUEID=02101&amp;SDATE=200902&amp;PERIODTYPE=QTR_STD&amp;window=popup_no_bar&amp;width=385&amp;height=120&amp;START_MAXIMIZED=FALSE&amp;creator=factset&amp;display_string=Audit"}</definedName>
    <definedName name="_610__FDSAUDITLINK__" hidden="1">{"fdsup://Directions/FactSet Auditing Viewer?action=AUDIT_VALUE&amp;DB=129&amp;ID1=53271610&amp;VALUEID=13040&amp;SDATE=200801&amp;PERIODTYPE=QTR_STD&amp;window=popup_no_bar&amp;width=385&amp;height=120&amp;START_MAXIMIZED=FALSE&amp;creator=factset&amp;display_string=Audit"}</definedName>
    <definedName name="_611__FDSAUDITLINK__" hidden="1">{"fdsup://Directions/FactSet Auditing Viewer?action=AUDIT_VALUE&amp;DB=129&amp;ID1=46612H40&amp;VALUEID=02101&amp;SDATE=200801&amp;PERIODTYPE=QTR_STD&amp;window=popup_no_bar&amp;width=385&amp;height=120&amp;START_MAXIMIZED=FALSE&amp;creator=factset&amp;display_string=Audit"}</definedName>
    <definedName name="_612__FDSAUDITLINK__" hidden="1">{"fdsup://Directions/FactSet Auditing Viewer?action=AUDIT_VALUE&amp;DB=129&amp;ID1=46612H40&amp;VALUEID=01001&amp;SDATE=200801&amp;PERIODTYPE=QTR_STD&amp;window=popup_no_bar&amp;width=385&amp;height=120&amp;START_MAXIMIZED=FALSE&amp;creator=factset&amp;display_string=Audit"}</definedName>
    <definedName name="_613__FDSAUDITLINK__" hidden="1">{"fdsup://Directions/FactSet Auditing Viewer?action=AUDIT_VALUE&amp;DB=129&amp;ID1=46612H40&amp;VALUEID=13040&amp;SDATE=200801&amp;PERIODTYPE=QTR_STD&amp;window=popup_no_bar&amp;width=385&amp;height=120&amp;START_MAXIMIZED=FALSE&amp;creator=factset&amp;display_string=Audit"}</definedName>
    <definedName name="_614__FDSAUDITLINK__" hidden="1">{"fdsup://Directions/FactSet Auditing Viewer?action=AUDIT_VALUE&amp;DB=129&amp;ID1=36476010&amp;VALUEID=02101&amp;SDATE=200801&amp;PERIODTYPE=QTR_STD&amp;window=popup_no_bar&amp;width=385&amp;height=120&amp;START_MAXIMIZED=FALSE&amp;creator=factset&amp;display_string=Audit"}</definedName>
    <definedName name="_615__FDSAUDITLINK__" hidden="1">{"fdsup://Directions/FactSet Auditing Viewer?action=AUDIT_VALUE&amp;DB=129&amp;ID1=36476010&amp;VALUEID=01001&amp;SDATE=200801&amp;PERIODTYPE=QTR_STD&amp;window=popup_no_bar&amp;width=385&amp;height=120&amp;START_MAXIMIZED=FALSE&amp;creator=factset&amp;display_string=Audit"}</definedName>
    <definedName name="_616__FDSAUDITLINK__" hidden="1">{"fdsup://Directions/FactSet Auditing Viewer?action=AUDIT_VALUE&amp;DB=129&amp;ID1=36476010&amp;VALUEID=13040&amp;SDATE=200801&amp;PERIODTYPE=QTR_STD&amp;window=popup_no_bar&amp;width=385&amp;height=120&amp;START_MAXIMIZED=FALSE&amp;creator=factset&amp;display_string=Audit"}</definedName>
    <definedName name="_617__FDSAUDITLINK__" hidden="1">{"fdsup://Directions/FactSet Auditing Viewer?action=AUDIT_VALUE&amp;DB=129&amp;ID1=03611510&amp;VALUEID=02101&amp;SDATE=200801&amp;PERIODTYPE=QTR_STD&amp;window=popup_no_bar&amp;width=385&amp;height=120&amp;START_MAXIMIZED=FALSE&amp;creator=factset&amp;display_string=Audit"}</definedName>
    <definedName name="_618__FDSAUDITLINK__" hidden="1">{"fdsup://Directions/FactSet Auditing Viewer?action=AUDIT_VALUE&amp;DB=129&amp;ID1=03611510&amp;VALUEID=01001&amp;SDATE=200801&amp;PERIODTYPE=QTR_STD&amp;window=popup_no_bar&amp;width=385&amp;height=120&amp;START_MAXIMIZED=FALSE&amp;creator=factset&amp;display_string=Audit"}</definedName>
    <definedName name="_619__FDSAUDITLINK__" hidden="1">{"fdsup://Directions/FactSet Auditing Viewer?action=AUDIT_VALUE&amp;DB=129&amp;ID1=03611510&amp;VALUEID=13040&amp;SDATE=200801&amp;PERIODTYPE=QTR_STD&amp;window=popup_no_bar&amp;width=385&amp;height=120&amp;START_MAXIMIZED=FALSE&amp;creator=factset&amp;display_string=Audit"}</definedName>
    <definedName name="_62__FDSAUDITLINK__" hidden="1">{"fdsup://Directions/FactSet Auditing Viewer?action=AUDIT_VALUE&amp;DB=129&amp;ID1=53271610&amp;VALUEID=01001&amp;SDATE=200902&amp;PERIODTYPE=QTR_STD&amp;window=popup_no_bar&amp;width=385&amp;height=120&amp;START_MAXIMIZED=FALSE&amp;creator=factset&amp;display_string=Audit"}</definedName>
    <definedName name="_620__FDSAUDITLINK__" hidden="1">{"fdsup://Directions/FactSet Auditing Viewer?action=AUDIT_VALUE&amp;DB=129&amp;ID1=16890510&amp;VALUEID=02101&amp;SDATE=200801&amp;PERIODTYPE=QTR_STD&amp;window=popup_no_bar&amp;width=385&amp;height=120&amp;START_MAXIMIZED=FALSE&amp;creator=factset&amp;display_string=Audit"}</definedName>
    <definedName name="_621__FDSAUDITLINK__" hidden="1">{"fdsup://Directions/FactSet Auditing Viewer?action=AUDIT_VALUE&amp;DB=129&amp;ID1=16890510&amp;VALUEID=01001&amp;SDATE=200801&amp;PERIODTYPE=QTR_STD&amp;window=popup_no_bar&amp;width=385&amp;height=120&amp;START_MAXIMIZED=FALSE&amp;creator=factset&amp;display_string=Audit"}</definedName>
    <definedName name="_622__FDSAUDITLINK__" hidden="1">{"fdsup://Directions/FactSet Auditing Viewer?action=AUDIT_VALUE&amp;DB=129&amp;ID1=91704710&amp;VALUEID=02101&amp;SDATE=200801&amp;PERIODTYPE=QTR_STD&amp;window=popup_no_bar&amp;width=385&amp;height=120&amp;START_MAXIMIZED=FALSE&amp;creator=factset&amp;display_string=Audit"}</definedName>
    <definedName name="_623__FDSAUDITLINK__" hidden="1">{"fdsup://Directions/FactSet Auditing Viewer?action=AUDIT_VALUE&amp;DB=129&amp;ID1=91704710&amp;VALUEID=01001&amp;SDATE=200801&amp;PERIODTYPE=QTR_STD&amp;window=popup_no_bar&amp;width=385&amp;height=120&amp;START_MAXIMIZED=FALSE&amp;creator=factset&amp;display_string=Audit"}</definedName>
    <definedName name="_624__FDSAUDITLINK__" hidden="1">{"fdsup://Directions/FactSet Auditing Viewer?action=AUDIT_VALUE&amp;DB=129&amp;ID1=91704710&amp;VALUEID=13040&amp;SDATE=200801&amp;PERIODTYPE=QTR_STD&amp;window=popup_no_bar&amp;width=385&amp;height=120&amp;START_MAXIMIZED=FALSE&amp;creator=factset&amp;display_string=Audit"}</definedName>
    <definedName name="_625__FDSAUDITLINK__" hidden="1">{"fdsup://Directions/FactSet Auditing Viewer?action=AUDIT_VALUE&amp;DB=129&amp;ID1=02553E10&amp;VALUEID=02101&amp;SDATE=200801&amp;PERIODTYPE=QTR_STD&amp;window=popup_no_bar&amp;width=385&amp;height=120&amp;START_MAXIMIZED=FALSE&amp;creator=factset&amp;display_string=Audit"}</definedName>
    <definedName name="_626__FDSAUDITLINK__" hidden="1">{"fdsup://Directions/FactSet Auditing Viewer?action=AUDIT_VALUE&amp;DB=129&amp;ID1=02553E10&amp;VALUEID=01001&amp;SDATE=200801&amp;PERIODTYPE=QTR_STD&amp;window=popup_no_bar&amp;width=385&amp;height=120&amp;START_MAXIMIZED=FALSE&amp;creator=factset&amp;display_string=Audit"}</definedName>
    <definedName name="_627__FDSAUDITLINK__" hidden="1">{"fdsup://Directions/FactSet Auditing Viewer?action=AUDIT_VALUE&amp;DB=129&amp;ID1=02553E10&amp;VALUEID=13040&amp;SDATE=200801&amp;PERIODTYPE=QTR_STD&amp;window=popup_no_bar&amp;width=385&amp;height=120&amp;START_MAXIMIZED=FALSE&amp;creator=factset&amp;display_string=Audit"}</definedName>
    <definedName name="_628__FDSAUDITLINK__" hidden="1">{"fdsup://Directions/FactSet Auditing Viewer?action=AUDIT_VALUE&amp;DB=129&amp;ID1=00786510&amp;VALUEID=02101&amp;SDATE=200801&amp;PERIODTYPE=QTR_STD&amp;window=popup_no_bar&amp;width=385&amp;height=120&amp;START_MAXIMIZED=FALSE&amp;creator=factset&amp;display_string=Audit"}</definedName>
    <definedName name="_629__FDSAUDITLINK__" hidden="1">{"fdsup://Directions/FactSet Auditing Viewer?action=AUDIT_VALUE&amp;DB=129&amp;ID1=00786510&amp;VALUEID=01001&amp;SDATE=200801&amp;PERIODTYPE=QTR_STD&amp;window=popup_no_bar&amp;width=385&amp;height=120&amp;START_MAXIMIZED=FALSE&amp;creator=factset&amp;display_string=Audit"}</definedName>
    <definedName name="_63__FDSAUDITLINK__" hidden="1">{"fdsup://Directions/FactSet Auditing Viewer?action=AUDIT_VALUE&amp;DB=129&amp;ID1=53271610&amp;VALUEID=13040&amp;SDATE=200902&amp;PERIODTYPE=QTR_STD&amp;window=popup_no_bar&amp;width=385&amp;height=120&amp;START_MAXIMIZED=FALSE&amp;creator=factset&amp;display_string=Audit"}</definedName>
    <definedName name="_630__FDSAUDITLINK__" hidden="1">{"fdsup://Directions/FactSet Auditing Viewer?action=AUDIT_VALUE&amp;DB=129&amp;ID1=00786510&amp;VALUEID=13040&amp;SDATE=200801&amp;PERIODTYPE=QTR_STD&amp;window=popup_no_bar&amp;width=385&amp;height=120&amp;START_MAXIMIZED=FALSE&amp;creator=factset&amp;display_string=Audit"}</definedName>
    <definedName name="_631__FDSAUDITLINK__" hidden="1">{"fdsup://Directions/FactSet Auditing Viewer?action=AUDIT_VALUE&amp;DB=129&amp;ID1=00289620&amp;VALUEID=02101&amp;SDATE=200801&amp;PERIODTYPE=QTR_STD&amp;window=popup_no_bar&amp;width=385&amp;height=120&amp;START_MAXIMIZED=FALSE&amp;creator=factset&amp;display_string=Audit"}</definedName>
    <definedName name="_632__FDSAUDITLINK__" hidden="1">{"fdsup://Directions/FactSet Auditing Viewer?action=AUDIT_VALUE&amp;DB=129&amp;ID1=00289620&amp;VALUEID=01001&amp;SDATE=200801&amp;PERIODTYPE=QTR_STD&amp;window=popup_no_bar&amp;width=385&amp;height=120&amp;START_MAXIMIZED=FALSE&amp;creator=factset&amp;display_string=Audit"}</definedName>
    <definedName name="_633__FDSAUDITLINK__" hidden="1">{"fdsup://Directions/FactSet Auditing Viewer?action=AUDIT_VALUE&amp;DB=129&amp;ID1=00289620&amp;VALUEID=13040&amp;SDATE=200801&amp;PERIODTYPE=QTR_STD&amp;window=popup_no_bar&amp;width=385&amp;height=120&amp;START_MAXIMIZED=FALSE&amp;creator=factset&amp;display_string=Audit"}</definedName>
    <definedName name="_634__FDSAUDITLINK__" hidden="1">{"fdsup://Directions/FactSet Auditing Viewer?action=AUDIT_VALUE&amp;DB=129&amp;ID1=87416110&amp;VALUEID=01001&amp;SDATE=200704&amp;PERIODTYPE=QTR_STD&amp;window=popup_no_bar&amp;width=385&amp;height=120&amp;START_MAXIMIZED=FALSE&amp;creator=factset&amp;display_string=Audit"}</definedName>
    <definedName name="_635__FDSAUDITLINK__" hidden="1">{"fdsup://Directions/FactSet Auditing Viewer?action=AUDIT_VALUE&amp;DB=129&amp;ID1=46612H40&amp;VALUEID=01001&amp;SDATE=200704&amp;PERIODTYPE=QTR_STD&amp;window=popup_no_bar&amp;width=385&amp;height=120&amp;START_MAXIMIZED=FALSE&amp;creator=factset&amp;display_string=Audit"}</definedName>
    <definedName name="_636__FDSAUDITLINK__" hidden="1">{"fdsup://Directions/FactSet Auditing Viewer?action=AUDIT_VALUE&amp;DB=129&amp;ID1=46612H40&amp;VALUEID=13040&amp;SDATE=200704&amp;PERIODTYPE=QTR_STD&amp;window=popup_no_bar&amp;width=385&amp;height=120&amp;START_MAXIMIZED=FALSE&amp;creator=factset&amp;display_string=Audit"}</definedName>
    <definedName name="_637__FDSAUDITLINK__" hidden="1">{"fdsup://Directions/FactSet Auditing Viewer?action=AUDIT_VALUE&amp;DB=129&amp;ID1=36476010&amp;VALUEID=01001&amp;SDATE=200704&amp;PERIODTYPE=QTR_STD&amp;window=popup_no_bar&amp;width=385&amp;height=120&amp;START_MAXIMIZED=FALSE&amp;creator=factset&amp;display_string=Audit"}</definedName>
    <definedName name="_638__FDSAUDITLINK__" hidden="1">{"fdsup://Directions/FactSet Auditing Viewer?action=AUDIT_VALUE&amp;DB=129&amp;ID1=03611510&amp;VALUEID=01001&amp;SDATE=200704&amp;PERIODTYPE=QTR_STD&amp;window=popup_no_bar&amp;width=385&amp;height=120&amp;START_MAXIMIZED=FALSE&amp;creator=factset&amp;display_string=Audit"}</definedName>
    <definedName name="_639__FDSAUDITLINK__" hidden="1">{"fdsup://Directions/FactSet Auditing Viewer?action=AUDIT_VALUE&amp;DB=129&amp;ID1=03611510&amp;VALUEID=13040&amp;SDATE=200704&amp;PERIODTYPE=QTR_STD&amp;window=popup_no_bar&amp;width=385&amp;height=120&amp;START_MAXIMIZED=FALSE&amp;creator=factset&amp;display_string=Audit"}</definedName>
    <definedName name="_64__FDSAUDITLINK__" hidden="1">{"fdsup://Directions/FactSet Auditing Viewer?action=AUDIT_VALUE&amp;DB=129&amp;ID1=46612H40&amp;VALUEID=02101&amp;SDATE=200902&amp;PERIODTYPE=QTR_STD&amp;window=popup_no_bar&amp;width=385&amp;height=120&amp;START_MAXIMIZED=FALSE&amp;creator=factset&amp;display_string=Audit"}</definedName>
    <definedName name="_640__FDSAUDITLINK__" hidden="1">{"fdsup://Directions/FactSet Auditing Viewer?action=AUDIT_VALUE&amp;DB=129&amp;ID1=16890510&amp;VALUEID=01001&amp;SDATE=200704&amp;PERIODTYPE=QTR_STD&amp;window=popup_no_bar&amp;width=385&amp;height=120&amp;START_MAXIMIZED=FALSE&amp;creator=factset&amp;display_string=Audit"}</definedName>
    <definedName name="_641__FDSAUDITLINK__" hidden="1">{"fdsup://Directions/FactSet Auditing Viewer?action=AUDIT_VALUE&amp;DB=129&amp;ID1=00786510&amp;VALUEID=01001&amp;SDATE=200704&amp;PERIODTYPE=QTR_STD&amp;window=popup_no_bar&amp;width=385&amp;height=120&amp;START_MAXIMIZED=FALSE&amp;creator=factset&amp;display_string=Audit"}</definedName>
    <definedName name="_642__FDSAUDITLINK__" hidden="1">{"fdsup://Directions/FactSet Auditing Viewer?action=AUDIT_VALUE&amp;DB=129&amp;ID1=87416110&amp;VALUEID=02101&amp;SDATE=200703&amp;PERIODTYPE=QTR_STD&amp;window=popup_no_bar&amp;width=385&amp;height=120&amp;START_MAXIMIZED=FALSE&amp;creator=factset&amp;display_string=Audit"}</definedName>
    <definedName name="_643__FDSAUDITLINK__" hidden="1">{"fdsup://Directions/FactSet Auditing Viewer?action=AUDIT_VALUE&amp;DB=129&amp;ID1=87416110&amp;VALUEID=01001&amp;SDATE=200703&amp;PERIODTYPE=QTR_STD&amp;window=popup_no_bar&amp;width=385&amp;height=120&amp;START_MAXIMIZED=FALSE&amp;creator=factset&amp;display_string=Audit"}</definedName>
    <definedName name="_644__FDSAUDITLINK__" hidden="1">{"fdsup://Directions/FactSet Auditing Viewer?action=AUDIT_VALUE&amp;DB=129&amp;ID1=53271610&amp;VALUEID=02101&amp;SDATE=200703&amp;PERIODTYPE=QTR_STD&amp;window=popup_no_bar&amp;width=385&amp;height=120&amp;START_MAXIMIZED=FALSE&amp;creator=factset&amp;display_string=Audit"}</definedName>
    <definedName name="_645__FDSAUDITLINK__" hidden="1">{"fdsup://Directions/FactSet Auditing Viewer?action=AUDIT_VALUE&amp;DB=129&amp;ID1=53271610&amp;VALUEID=01001&amp;SDATE=200703&amp;PERIODTYPE=QTR_STD&amp;window=popup_no_bar&amp;width=385&amp;height=120&amp;START_MAXIMIZED=FALSE&amp;creator=factset&amp;display_string=Audit"}</definedName>
    <definedName name="_646__FDSAUDITLINK__" hidden="1">{"fdsup://Directions/FactSet Auditing Viewer?action=AUDIT_VALUE&amp;DB=129&amp;ID1=53271610&amp;VALUEID=13040&amp;SDATE=200703&amp;PERIODTYPE=QTR_STD&amp;window=popup_no_bar&amp;width=385&amp;height=120&amp;START_MAXIMIZED=FALSE&amp;creator=factset&amp;display_string=Audit"}</definedName>
    <definedName name="_647__FDSAUDITLINK__" hidden="1">{"fdsup://Directions/FactSet Auditing Viewer?action=AUDIT_VALUE&amp;DB=129&amp;ID1=46612H40&amp;VALUEID=02101&amp;SDATE=200703&amp;PERIODTYPE=QTR_STD&amp;window=popup_no_bar&amp;width=385&amp;height=120&amp;START_MAXIMIZED=FALSE&amp;creator=factset&amp;display_string=Audit"}</definedName>
    <definedName name="_648__FDSAUDITLINK__" hidden="1">{"fdsup://Directions/FactSet Auditing Viewer?action=AUDIT_VALUE&amp;DB=129&amp;ID1=46612H40&amp;VALUEID=01001&amp;SDATE=200703&amp;PERIODTYPE=QTR_STD&amp;window=popup_no_bar&amp;width=385&amp;height=120&amp;START_MAXIMIZED=FALSE&amp;creator=factset&amp;display_string=Audit"}</definedName>
    <definedName name="_649__FDSAUDITLINK__" hidden="1">{"fdsup://Directions/FactSet Auditing Viewer?action=AUDIT_VALUE&amp;DB=129&amp;ID1=46612H40&amp;VALUEID=13040&amp;SDATE=200703&amp;PERIODTYPE=QTR_STD&amp;window=popup_no_bar&amp;width=385&amp;height=120&amp;START_MAXIMIZED=FALSE&amp;creator=factset&amp;display_string=Audit"}</definedName>
    <definedName name="_65__FDSAUDITLINK__" hidden="1">{"fdsup://Directions/FactSet Auditing Viewer?action=AUDIT_VALUE&amp;DB=129&amp;ID1=46612H40&amp;VALUEID=01001&amp;SDATE=200902&amp;PERIODTYPE=QTR_STD&amp;window=popup_no_bar&amp;width=385&amp;height=120&amp;START_MAXIMIZED=FALSE&amp;creator=factset&amp;display_string=Audit"}</definedName>
    <definedName name="_650__FDSAUDITLINK__" hidden="1">{"fdsup://Directions/FactSet Auditing Viewer?action=AUDIT_VALUE&amp;DB=129&amp;ID1=36476010&amp;VALUEID=02101&amp;SDATE=200703&amp;PERIODTYPE=QTR_STD&amp;window=popup_no_bar&amp;width=385&amp;height=120&amp;START_MAXIMIZED=FALSE&amp;creator=factset&amp;display_string=Audit"}</definedName>
    <definedName name="_651__FDSAUDITLINK__" hidden="1">{"fdsup://Directions/FactSet Auditing Viewer?action=AUDIT_VALUE&amp;DB=129&amp;ID1=36476010&amp;VALUEID=01001&amp;SDATE=200703&amp;PERIODTYPE=QTR_STD&amp;window=popup_no_bar&amp;width=385&amp;height=120&amp;START_MAXIMIZED=FALSE&amp;creator=factset&amp;display_string=Audit"}</definedName>
    <definedName name="_652__FDSAUDITLINK__" hidden="1">{"fdsup://Directions/FactSet Auditing Viewer?action=AUDIT_VALUE&amp;DB=129&amp;ID1=36476010&amp;VALUEID=13040&amp;SDATE=200703&amp;PERIODTYPE=QTR_STD&amp;window=popup_no_bar&amp;width=385&amp;height=120&amp;START_MAXIMIZED=FALSE&amp;creator=factset&amp;display_string=Audit"}</definedName>
    <definedName name="_653__FDSAUDITLINK__" hidden="1">{"fdsup://Directions/FactSet Auditing Viewer?action=AUDIT_VALUE&amp;DB=129&amp;ID1=03611510&amp;VALUEID=02101&amp;SDATE=200703&amp;PERIODTYPE=QTR_STD&amp;window=popup_no_bar&amp;width=385&amp;height=120&amp;START_MAXIMIZED=FALSE&amp;creator=factset&amp;display_string=Audit"}</definedName>
    <definedName name="_654__FDSAUDITLINK__" hidden="1">{"fdsup://Directions/FactSet Auditing Viewer?action=AUDIT_VALUE&amp;DB=129&amp;ID1=03611510&amp;VALUEID=01001&amp;SDATE=200703&amp;PERIODTYPE=QTR_STD&amp;window=popup_no_bar&amp;width=385&amp;height=120&amp;START_MAXIMIZED=FALSE&amp;creator=factset&amp;display_string=Audit"}</definedName>
    <definedName name="_655__FDSAUDITLINK__" hidden="1">{"fdsup://Directions/FactSet Auditing Viewer?action=AUDIT_VALUE&amp;DB=129&amp;ID1=03611510&amp;VALUEID=13040&amp;SDATE=200703&amp;PERIODTYPE=QTR_STD&amp;window=popup_no_bar&amp;width=385&amp;height=120&amp;START_MAXIMIZED=FALSE&amp;creator=factset&amp;display_string=Audit"}</definedName>
    <definedName name="_656__FDSAUDITLINK__" hidden="1">{"fdsup://Directions/FactSet Auditing Viewer?action=AUDIT_VALUE&amp;DB=129&amp;ID1=16890510&amp;VALUEID=02101&amp;SDATE=200703&amp;PERIODTYPE=QTR_STD&amp;window=popup_no_bar&amp;width=385&amp;height=120&amp;START_MAXIMIZED=FALSE&amp;creator=factset&amp;display_string=Audit"}</definedName>
    <definedName name="_657__FDSAUDITLINK__" hidden="1">{"fdsup://Directions/FactSet Auditing Viewer?action=AUDIT_VALUE&amp;DB=129&amp;ID1=16890510&amp;VALUEID=01001&amp;SDATE=200703&amp;PERIODTYPE=QTR_STD&amp;window=popup_no_bar&amp;width=385&amp;height=120&amp;START_MAXIMIZED=FALSE&amp;creator=factset&amp;display_string=Audit"}</definedName>
    <definedName name="_658__FDSAUDITLINK__" hidden="1">{"fdsup://Directions/FactSet Auditing Viewer?action=AUDIT_VALUE&amp;DB=129&amp;ID1=91704710&amp;VALUEID=02101&amp;SDATE=200703&amp;PERIODTYPE=QTR_STD&amp;window=popup_no_bar&amp;width=385&amp;height=120&amp;START_MAXIMIZED=FALSE&amp;creator=factset&amp;display_string=Audit"}</definedName>
    <definedName name="_659__FDSAUDITLINK__" hidden="1">{"fdsup://Directions/FactSet Auditing Viewer?action=AUDIT_VALUE&amp;DB=129&amp;ID1=91704710&amp;VALUEID=01001&amp;SDATE=200703&amp;PERIODTYPE=QTR_STD&amp;window=popup_no_bar&amp;width=385&amp;height=120&amp;START_MAXIMIZED=FALSE&amp;creator=factset&amp;display_string=Audit"}</definedName>
    <definedName name="_66__FDSAUDITLINK__" hidden="1">{"fdsup://Directions/FactSet Auditing Viewer?action=AUDIT_VALUE&amp;DB=129&amp;ID1=46612H40&amp;VALUEID=13040&amp;SDATE=200902&amp;PERIODTYPE=QTR_STD&amp;window=popup_no_bar&amp;width=385&amp;height=120&amp;START_MAXIMIZED=FALSE&amp;creator=factset&amp;display_string=Audit"}</definedName>
    <definedName name="_660__FDSAUDITLINK__" hidden="1">{"fdsup://Directions/FactSet Auditing Viewer?action=AUDIT_VALUE&amp;DB=129&amp;ID1=91704710&amp;VALUEID=13040&amp;SDATE=200703&amp;PERIODTYPE=QTR_STD&amp;window=popup_no_bar&amp;width=385&amp;height=120&amp;START_MAXIMIZED=FALSE&amp;creator=factset&amp;display_string=Audit"}</definedName>
    <definedName name="_661__FDSAUDITLINK__" hidden="1">{"fdsup://Directions/FactSet Auditing Viewer?action=AUDIT_VALUE&amp;DB=129&amp;ID1=02553E10&amp;VALUEID=02101&amp;SDATE=200703&amp;PERIODTYPE=QTR_STD&amp;window=popup_no_bar&amp;width=385&amp;height=120&amp;START_MAXIMIZED=FALSE&amp;creator=factset&amp;display_string=Audit"}</definedName>
    <definedName name="_662__FDSAUDITLINK__" hidden="1">{"fdsup://Directions/FactSet Auditing Viewer?action=AUDIT_VALUE&amp;DB=129&amp;ID1=02553E10&amp;VALUEID=01001&amp;SDATE=200703&amp;PERIODTYPE=QTR_STD&amp;window=popup_no_bar&amp;width=385&amp;height=120&amp;START_MAXIMIZED=FALSE&amp;creator=factset&amp;display_string=Audit"}</definedName>
    <definedName name="_663__FDSAUDITLINK__" hidden="1">{"fdsup://Directions/FactSet Auditing Viewer?action=AUDIT_VALUE&amp;DB=129&amp;ID1=00786510&amp;VALUEID=02101&amp;SDATE=200703&amp;PERIODTYPE=QTR_STD&amp;window=popup_no_bar&amp;width=385&amp;height=120&amp;START_MAXIMIZED=FALSE&amp;creator=factset&amp;display_string=Audit"}</definedName>
    <definedName name="_664__FDSAUDITLINK__" hidden="1">{"fdsup://Directions/FactSet Auditing Viewer?action=AUDIT_VALUE&amp;DB=129&amp;ID1=00786510&amp;VALUEID=01001&amp;SDATE=200703&amp;PERIODTYPE=QTR_STD&amp;window=popup_no_bar&amp;width=385&amp;height=120&amp;START_MAXIMIZED=FALSE&amp;creator=factset&amp;display_string=Audit"}</definedName>
    <definedName name="_665__FDSAUDITLINK__" hidden="1">{"fdsup://Directions/FactSet Auditing Viewer?action=AUDIT_VALUE&amp;DB=129&amp;ID1=00786510&amp;VALUEID=13040&amp;SDATE=200703&amp;PERIODTYPE=QTR_STD&amp;window=popup_no_bar&amp;width=385&amp;height=120&amp;START_MAXIMIZED=FALSE&amp;creator=factset&amp;display_string=Audit"}</definedName>
    <definedName name="_666__FDSAUDITLINK__" hidden="1">{"fdsup://Directions/FactSet Auditing Viewer?action=AUDIT_VALUE&amp;DB=129&amp;ID1=00289620&amp;VALUEID=02101&amp;SDATE=200703&amp;PERIODTYPE=QTR_STD&amp;window=popup_no_bar&amp;width=385&amp;height=120&amp;START_MAXIMIZED=FALSE&amp;creator=factset&amp;display_string=Audit"}</definedName>
    <definedName name="_667__FDSAUDITLINK__" hidden="1">{"fdsup://Directions/FactSet Auditing Viewer?action=AUDIT_VALUE&amp;DB=129&amp;ID1=00289620&amp;VALUEID=01001&amp;SDATE=200703&amp;PERIODTYPE=QTR_STD&amp;window=popup_no_bar&amp;width=385&amp;height=120&amp;START_MAXIMIZED=FALSE&amp;creator=factset&amp;display_string=Audit"}</definedName>
    <definedName name="_668__FDSAUDITLINK__" hidden="1">{"fdsup://Directions/FactSet Auditing Viewer?action=AUDIT_VALUE&amp;DB=129&amp;ID1=00289620&amp;VALUEID=13040&amp;SDATE=200703&amp;PERIODTYPE=QTR_STD&amp;window=popup_no_bar&amp;width=385&amp;height=120&amp;START_MAXIMIZED=FALSE&amp;creator=factset&amp;display_string=Audit"}</definedName>
    <definedName name="_669__FDSAUDITLINK__" hidden="1">{"fdsup://Directions/FactSet Auditing Viewer?action=AUDIT_VALUE&amp;DB=129&amp;ID1=87416110&amp;VALUEID=02101&amp;SDATE=200702&amp;PERIODTYPE=QTR_STD&amp;window=popup_no_bar&amp;width=385&amp;height=120&amp;START_MAXIMIZED=FALSE&amp;creator=factset&amp;display_string=Audit"}</definedName>
    <definedName name="_67__FDSAUDITLINK__" hidden="1">{"fdsup://Directions/FactSet Auditing Viewer?action=AUDIT_VALUE&amp;DB=129&amp;ID1=36476010&amp;VALUEID=02101&amp;SDATE=200902&amp;PERIODTYPE=QTR_STD&amp;window=popup_no_bar&amp;width=385&amp;height=120&amp;START_MAXIMIZED=FALSE&amp;creator=factset&amp;display_string=Audit"}</definedName>
    <definedName name="_670__FDSAUDITLINK__" hidden="1">{"fdsup://Directions/FactSet Auditing Viewer?action=AUDIT_VALUE&amp;DB=129&amp;ID1=87416110&amp;VALUEID=01001&amp;SDATE=200702&amp;PERIODTYPE=QTR_STD&amp;window=popup_no_bar&amp;width=385&amp;height=120&amp;START_MAXIMIZED=FALSE&amp;creator=factset&amp;display_string=Audit"}</definedName>
    <definedName name="_671__FDSAUDITLINK__" hidden="1">{"fdsup://Directions/FactSet Auditing Viewer?action=AUDIT_VALUE&amp;DB=129&amp;ID1=53271610&amp;VALUEID=02101&amp;SDATE=200702&amp;PERIODTYPE=QTR_STD&amp;window=popup_no_bar&amp;width=385&amp;height=120&amp;START_MAXIMIZED=FALSE&amp;creator=factset&amp;display_string=Audit"}</definedName>
    <definedName name="_672__FDSAUDITLINK__" hidden="1">{"fdsup://Directions/FactSet Auditing Viewer?action=AUDIT_VALUE&amp;DB=129&amp;ID1=53271610&amp;VALUEID=01001&amp;SDATE=200702&amp;PERIODTYPE=QTR_STD&amp;window=popup_no_bar&amp;width=385&amp;height=120&amp;START_MAXIMIZED=FALSE&amp;creator=factset&amp;display_string=Audit"}</definedName>
    <definedName name="_673__FDSAUDITLINK__" hidden="1">{"fdsup://Directions/FactSet Auditing Viewer?action=AUDIT_VALUE&amp;DB=129&amp;ID1=53271610&amp;VALUEID=13040&amp;SDATE=200702&amp;PERIODTYPE=QTR_STD&amp;window=popup_no_bar&amp;width=385&amp;height=120&amp;START_MAXIMIZED=FALSE&amp;creator=factset&amp;display_string=Audit"}</definedName>
    <definedName name="_674__FDSAUDITLINK__" hidden="1">{"fdsup://Directions/FactSet Auditing Viewer?action=AUDIT_VALUE&amp;DB=129&amp;ID1=46612H40&amp;VALUEID=02101&amp;SDATE=200702&amp;PERIODTYPE=QTR_STD&amp;window=popup_no_bar&amp;width=385&amp;height=120&amp;START_MAXIMIZED=FALSE&amp;creator=factset&amp;display_string=Audit"}</definedName>
    <definedName name="_675__FDSAUDITLINK__" hidden="1">{"fdsup://Directions/FactSet Auditing Viewer?action=AUDIT_VALUE&amp;DB=129&amp;ID1=46612H40&amp;VALUEID=01001&amp;SDATE=200702&amp;PERIODTYPE=QTR_STD&amp;window=popup_no_bar&amp;width=385&amp;height=120&amp;START_MAXIMIZED=FALSE&amp;creator=factset&amp;display_string=Audit"}</definedName>
    <definedName name="_676__FDSAUDITLINK__" hidden="1">{"fdsup://Directions/FactSet Auditing Viewer?action=AUDIT_VALUE&amp;DB=129&amp;ID1=46612H40&amp;VALUEID=13040&amp;SDATE=200702&amp;PERIODTYPE=QTR_STD&amp;window=popup_no_bar&amp;width=385&amp;height=120&amp;START_MAXIMIZED=FALSE&amp;creator=factset&amp;display_string=Audit"}</definedName>
    <definedName name="_677__FDSAUDITLINK__" hidden="1">{"fdsup://Directions/FactSet Auditing Viewer?action=AUDIT_VALUE&amp;DB=129&amp;ID1=36476010&amp;VALUEID=02101&amp;SDATE=200702&amp;PERIODTYPE=QTR_STD&amp;window=popup_no_bar&amp;width=385&amp;height=120&amp;START_MAXIMIZED=FALSE&amp;creator=factset&amp;display_string=Audit"}</definedName>
    <definedName name="_678__FDSAUDITLINK__" hidden="1">{"fdsup://Directions/FactSet Auditing Viewer?action=AUDIT_VALUE&amp;DB=129&amp;ID1=36476010&amp;VALUEID=01001&amp;SDATE=200702&amp;PERIODTYPE=QTR_STD&amp;window=popup_no_bar&amp;width=385&amp;height=120&amp;START_MAXIMIZED=FALSE&amp;creator=factset&amp;display_string=Audit"}</definedName>
    <definedName name="_679__FDSAUDITLINK__" hidden="1">{"fdsup://Directions/FactSet Auditing Viewer?action=AUDIT_VALUE&amp;DB=129&amp;ID1=03611510&amp;VALUEID=02101&amp;SDATE=200702&amp;PERIODTYPE=QTR_STD&amp;window=popup_no_bar&amp;width=385&amp;height=120&amp;START_MAXIMIZED=FALSE&amp;creator=factset&amp;display_string=Audit"}</definedName>
    <definedName name="_68__FDSAUDITLINK__" hidden="1">{"fdsup://Directions/FactSet Auditing Viewer?action=AUDIT_VALUE&amp;DB=129&amp;ID1=36476010&amp;VALUEID=01001&amp;SDATE=200902&amp;PERIODTYPE=QTR_STD&amp;window=popup_no_bar&amp;width=385&amp;height=120&amp;START_MAXIMIZED=FALSE&amp;creator=factset&amp;display_string=Audit"}</definedName>
    <definedName name="_680__FDSAUDITLINK__" hidden="1">{"fdsup://Directions/FactSet Auditing Viewer?action=AUDIT_VALUE&amp;DB=129&amp;ID1=03611510&amp;VALUEID=01001&amp;SDATE=200702&amp;PERIODTYPE=QTR_STD&amp;window=popup_no_bar&amp;width=385&amp;height=120&amp;START_MAXIMIZED=FALSE&amp;creator=factset&amp;display_string=Audit"}</definedName>
    <definedName name="_681__FDSAUDITLINK__" hidden="1">{"fdsup://Directions/FactSet Auditing Viewer?action=AUDIT_VALUE&amp;DB=129&amp;ID1=03611510&amp;VALUEID=13040&amp;SDATE=200702&amp;PERIODTYPE=QTR_STD&amp;window=popup_no_bar&amp;width=385&amp;height=120&amp;START_MAXIMIZED=FALSE&amp;creator=factset&amp;display_string=Audit"}</definedName>
    <definedName name="_682__FDSAUDITLINK__" hidden="1">{"fdsup://Directions/FactSet Auditing Viewer?action=AUDIT_VALUE&amp;DB=129&amp;ID1=16890510&amp;VALUEID=02101&amp;SDATE=200702&amp;PERIODTYPE=QTR_STD&amp;window=popup_no_bar&amp;width=385&amp;height=120&amp;START_MAXIMIZED=FALSE&amp;creator=factset&amp;display_string=Audit"}</definedName>
    <definedName name="_683__FDSAUDITLINK__" hidden="1">{"fdsup://Directions/FactSet Auditing Viewer?action=AUDIT_VALUE&amp;DB=129&amp;ID1=16890510&amp;VALUEID=01001&amp;SDATE=200702&amp;PERIODTYPE=QTR_STD&amp;window=popup_no_bar&amp;width=385&amp;height=120&amp;START_MAXIMIZED=FALSE&amp;creator=factset&amp;display_string=Audit"}</definedName>
    <definedName name="_684__FDSAUDITLINK__" hidden="1">{"fdsup://Directions/FactSet Auditing Viewer?action=AUDIT_VALUE&amp;DB=129&amp;ID1=91704710&amp;VALUEID=02101&amp;SDATE=200702&amp;PERIODTYPE=QTR_STD&amp;window=popup_no_bar&amp;width=385&amp;height=120&amp;START_MAXIMIZED=FALSE&amp;creator=factset&amp;display_string=Audit"}</definedName>
    <definedName name="_685__FDSAUDITLINK__" hidden="1">{"fdsup://Directions/FactSet Auditing Viewer?action=AUDIT_VALUE&amp;DB=129&amp;ID1=91704710&amp;VALUEID=01001&amp;SDATE=200702&amp;PERIODTYPE=QTR_STD&amp;window=popup_no_bar&amp;width=385&amp;height=120&amp;START_MAXIMIZED=FALSE&amp;creator=factset&amp;display_string=Audit"}</definedName>
    <definedName name="_686__FDSAUDITLINK__" hidden="1">{"fdsup://Directions/FactSet Auditing Viewer?action=AUDIT_VALUE&amp;DB=129&amp;ID1=91704710&amp;VALUEID=13040&amp;SDATE=200702&amp;PERIODTYPE=QTR_STD&amp;window=popup_no_bar&amp;width=385&amp;height=120&amp;START_MAXIMIZED=FALSE&amp;creator=factset&amp;display_string=Audit"}</definedName>
    <definedName name="_687__FDSAUDITLINK__" hidden="1">{"fdsup://Directions/FactSet Auditing Viewer?action=AUDIT_VALUE&amp;DB=129&amp;ID1=02553E10&amp;VALUEID=02101&amp;SDATE=200702&amp;PERIODTYPE=QTR_STD&amp;window=popup_no_bar&amp;width=385&amp;height=120&amp;START_MAXIMIZED=FALSE&amp;creator=factset&amp;display_string=Audit"}</definedName>
    <definedName name="_688__FDSAUDITLINK__" hidden="1">{"fdsup://Directions/FactSet Auditing Viewer?action=AUDIT_VALUE&amp;DB=129&amp;ID1=02553E10&amp;VALUEID=01001&amp;SDATE=200702&amp;PERIODTYPE=QTR_STD&amp;window=popup_no_bar&amp;width=385&amp;height=120&amp;START_MAXIMIZED=FALSE&amp;creator=factset&amp;display_string=Audit"}</definedName>
    <definedName name="_689__FDSAUDITLINK__" hidden="1">{"fdsup://Directions/FactSet Auditing Viewer?action=AUDIT_VALUE&amp;DB=129&amp;ID1=02553E10&amp;VALUEID=13040&amp;SDATE=200702&amp;PERIODTYPE=QTR_STD&amp;window=popup_no_bar&amp;width=385&amp;height=120&amp;START_MAXIMIZED=FALSE&amp;creator=factset&amp;display_string=Audit"}</definedName>
    <definedName name="_69__FDSAUDITLINK__" hidden="1">{"fdsup://Directions/FactSet Auditing Viewer?action=AUDIT_VALUE&amp;DB=129&amp;ID1=36476010&amp;VALUEID=13040&amp;SDATE=200902&amp;PERIODTYPE=QTR_STD&amp;window=popup_no_bar&amp;width=385&amp;height=120&amp;START_MAXIMIZED=FALSE&amp;creator=factset&amp;display_string=Audit"}</definedName>
    <definedName name="_690__FDSAUDITLINK__" hidden="1">{"fdsup://Directions/FactSet Auditing Viewer?action=AUDIT_VALUE&amp;DB=129&amp;ID1=00786510&amp;VALUEID=02101&amp;SDATE=200702&amp;PERIODTYPE=QTR_STD&amp;window=popup_no_bar&amp;width=385&amp;height=120&amp;START_MAXIMIZED=FALSE&amp;creator=factset&amp;display_string=Audit"}</definedName>
    <definedName name="_691__FDSAUDITLINK__" hidden="1">{"fdsup://Directions/FactSet Auditing Viewer?action=AUDIT_VALUE&amp;DB=129&amp;ID1=00786510&amp;VALUEID=01001&amp;SDATE=200702&amp;PERIODTYPE=QTR_STD&amp;window=popup_no_bar&amp;width=385&amp;height=120&amp;START_MAXIMIZED=FALSE&amp;creator=factset&amp;display_string=Audit"}</definedName>
    <definedName name="_692__FDSAUDITLINK__" hidden="1">{"fdsup://Directions/FactSet Auditing Viewer?action=AUDIT_VALUE&amp;DB=129&amp;ID1=00786510&amp;VALUEID=13040&amp;SDATE=200702&amp;PERIODTYPE=QTR_STD&amp;window=popup_no_bar&amp;width=385&amp;height=120&amp;START_MAXIMIZED=FALSE&amp;creator=factset&amp;display_string=Audit"}</definedName>
    <definedName name="_693__FDSAUDITLINK__" hidden="1">{"fdsup://Directions/FactSet Auditing Viewer?action=AUDIT_VALUE&amp;DB=129&amp;ID1=00289620&amp;VALUEID=02101&amp;SDATE=200702&amp;PERIODTYPE=QTR_STD&amp;window=popup_no_bar&amp;width=385&amp;height=120&amp;START_MAXIMIZED=FALSE&amp;creator=factset&amp;display_string=Audit"}</definedName>
    <definedName name="_694__FDSAUDITLINK__" hidden="1">{"fdsup://Directions/FactSet Auditing Viewer?action=AUDIT_VALUE&amp;DB=129&amp;ID1=00289620&amp;VALUEID=01001&amp;SDATE=200702&amp;PERIODTYPE=QTR_STD&amp;window=popup_no_bar&amp;width=385&amp;height=120&amp;START_MAXIMIZED=FALSE&amp;creator=factset&amp;display_string=Audit"}</definedName>
    <definedName name="_695__FDSAUDITLINK__" hidden="1">{"fdsup://Directions/FactSet Auditing Viewer?action=AUDIT_VALUE&amp;DB=129&amp;ID1=87416110&amp;VALUEID=02101&amp;SDATE=200701&amp;PERIODTYPE=QTR_STD&amp;window=popup_no_bar&amp;width=385&amp;height=120&amp;START_MAXIMIZED=FALSE&amp;creator=factset&amp;display_string=Audit"}</definedName>
    <definedName name="_696__FDSAUDITLINK__" hidden="1">{"fdsup://Directions/FactSet Auditing Viewer?action=AUDIT_VALUE&amp;DB=129&amp;ID1=87416110&amp;VALUEID=01001&amp;SDATE=200701&amp;PERIODTYPE=QTR_STD&amp;window=popup_no_bar&amp;width=385&amp;height=120&amp;START_MAXIMIZED=FALSE&amp;creator=factset&amp;display_string=Audit"}</definedName>
    <definedName name="_697__FDSAUDITLINK__" hidden="1">{"fdsup://Directions/FactSet Auditing Viewer?action=AUDIT_VALUE&amp;DB=129&amp;ID1=53271610&amp;VALUEID=02101&amp;SDATE=200701&amp;PERIODTYPE=QTR_STD&amp;window=popup_no_bar&amp;width=385&amp;height=120&amp;START_MAXIMIZED=FALSE&amp;creator=factset&amp;display_string=Audit"}</definedName>
    <definedName name="_698__FDSAUDITLINK__" hidden="1">{"fdsup://Directions/FactSet Auditing Viewer?action=AUDIT_VALUE&amp;DB=129&amp;ID1=53271610&amp;VALUEID=01001&amp;SDATE=200701&amp;PERIODTYPE=QTR_STD&amp;window=popup_no_bar&amp;width=385&amp;height=120&amp;START_MAXIMIZED=FALSE&amp;creator=factset&amp;display_string=Audit"}</definedName>
    <definedName name="_699__FDSAUDITLINK__" hidden="1">{"fdsup://Directions/FactSet Auditing Viewer?action=AUDIT_VALUE&amp;DB=129&amp;ID1=53271610&amp;VALUEID=13040&amp;SDATE=200701&amp;PERIODTYPE=QTR_STD&amp;window=popup_no_bar&amp;width=385&amp;height=120&amp;START_MAXIMIZED=FALSE&amp;creator=factset&amp;display_string=Audit"}</definedName>
    <definedName name="_7__FDSAUDITLINK__" hidden="1">{"fdsup://Directions/FactSet Auditing Viewer?action=AUDIT_VALUE&amp;DB=129&amp;ID1=46612H40&amp;VALUEID=13040&amp;SDATE=201001&amp;PERIODTYPE=QTR_STD&amp;window=popup_no_bar&amp;width=385&amp;height=120&amp;START_MAXIMIZED=FALSE&amp;creator=factset&amp;display_string=Audit"}</definedName>
    <definedName name="_70__FDSAUDITLINK__" hidden="1">{"fdsup://Directions/FactSet Auditing Viewer?action=AUDIT_VALUE&amp;DB=129&amp;ID1=03611510&amp;VALUEID=02101&amp;SDATE=200902&amp;PERIODTYPE=QTR_STD&amp;window=popup_no_bar&amp;width=385&amp;height=120&amp;START_MAXIMIZED=FALSE&amp;creator=factset&amp;display_string=Audit"}</definedName>
    <definedName name="_700__FDSAUDITLINK__" hidden="1">{"fdsup://Directions/FactSet Auditing Viewer?action=AUDIT_VALUE&amp;DB=129&amp;ID1=46612H40&amp;VALUEID=02101&amp;SDATE=200701&amp;PERIODTYPE=QTR_STD&amp;window=popup_no_bar&amp;width=385&amp;height=120&amp;START_MAXIMIZED=FALSE&amp;creator=factset&amp;display_string=Audit"}</definedName>
    <definedName name="_701__FDSAUDITLINK__" hidden="1">{"fdsup://Directions/FactSet Auditing Viewer?action=AUDIT_VALUE&amp;DB=129&amp;ID1=46612H40&amp;VALUEID=01001&amp;SDATE=200701&amp;PERIODTYPE=QTR_STD&amp;window=popup_no_bar&amp;width=385&amp;height=120&amp;START_MAXIMIZED=FALSE&amp;creator=factset&amp;display_string=Audit"}</definedName>
    <definedName name="_702__FDSAUDITLINK__" hidden="1">{"fdsup://Directions/FactSet Auditing Viewer?action=AUDIT_VALUE&amp;DB=129&amp;ID1=46612H40&amp;VALUEID=13040&amp;SDATE=200701&amp;PERIODTYPE=QTR_STD&amp;window=popup_no_bar&amp;width=385&amp;height=120&amp;START_MAXIMIZED=FALSE&amp;creator=factset&amp;display_string=Audit"}</definedName>
    <definedName name="_703__FDSAUDITLINK__" hidden="1">{"fdsup://Directions/FactSet Auditing Viewer?action=AUDIT_VALUE&amp;DB=129&amp;ID1=36476010&amp;VALUEID=02101&amp;SDATE=200701&amp;PERIODTYPE=QTR_STD&amp;window=popup_no_bar&amp;width=385&amp;height=120&amp;START_MAXIMIZED=FALSE&amp;creator=factset&amp;display_string=Audit"}</definedName>
    <definedName name="_704__FDSAUDITLINK__" hidden="1">{"fdsup://Directions/FactSet Auditing Viewer?action=AUDIT_VALUE&amp;DB=129&amp;ID1=36476010&amp;VALUEID=01001&amp;SDATE=200701&amp;PERIODTYPE=QTR_STD&amp;window=popup_no_bar&amp;width=385&amp;height=120&amp;START_MAXIMIZED=FALSE&amp;creator=factset&amp;display_string=Audit"}</definedName>
    <definedName name="_705__FDSAUDITLINK__" hidden="1">{"fdsup://Directions/FactSet Auditing Viewer?action=AUDIT_VALUE&amp;DB=129&amp;ID1=36476010&amp;VALUEID=13040&amp;SDATE=200701&amp;PERIODTYPE=QTR_STD&amp;window=popup_no_bar&amp;width=385&amp;height=120&amp;START_MAXIMIZED=FALSE&amp;creator=factset&amp;display_string=Audit"}</definedName>
    <definedName name="_706__FDSAUDITLINK__" hidden="1">{"fdsup://Directions/FactSet Auditing Viewer?action=AUDIT_VALUE&amp;DB=129&amp;ID1=03611510&amp;VALUEID=02101&amp;SDATE=200701&amp;PERIODTYPE=QTR_STD&amp;window=popup_no_bar&amp;width=385&amp;height=120&amp;START_MAXIMIZED=FALSE&amp;creator=factset&amp;display_string=Audit"}</definedName>
    <definedName name="_707__FDSAUDITLINK__" hidden="1">{"fdsup://Directions/FactSet Auditing Viewer?action=AUDIT_VALUE&amp;DB=129&amp;ID1=03611510&amp;VALUEID=01001&amp;SDATE=200701&amp;PERIODTYPE=QTR_STD&amp;window=popup_no_bar&amp;width=385&amp;height=120&amp;START_MAXIMIZED=FALSE&amp;creator=factset&amp;display_string=Audit"}</definedName>
    <definedName name="_708__FDSAUDITLINK__" hidden="1">{"fdsup://Directions/FactSet Auditing Viewer?action=AUDIT_VALUE&amp;DB=129&amp;ID1=03611510&amp;VALUEID=13040&amp;SDATE=200701&amp;PERIODTYPE=QTR_STD&amp;window=popup_no_bar&amp;width=385&amp;height=120&amp;START_MAXIMIZED=FALSE&amp;creator=factset&amp;display_string=Audit"}</definedName>
    <definedName name="_709__FDSAUDITLINK__" hidden="1">{"fdsup://Directions/FactSet Auditing Viewer?action=AUDIT_VALUE&amp;DB=129&amp;ID1=16890510&amp;VALUEID=02101&amp;SDATE=200701&amp;PERIODTYPE=QTR_STD&amp;window=popup_no_bar&amp;width=385&amp;height=120&amp;START_MAXIMIZED=FALSE&amp;creator=factset&amp;display_string=Audit"}</definedName>
    <definedName name="_71__FDSAUDITLINK__" hidden="1">{"fdsup://Directions/FactSet Auditing Viewer?action=AUDIT_VALUE&amp;DB=129&amp;ID1=03611510&amp;VALUEID=01001&amp;SDATE=200902&amp;PERIODTYPE=QTR_STD&amp;window=popup_no_bar&amp;width=385&amp;height=120&amp;START_MAXIMIZED=FALSE&amp;creator=factset&amp;display_string=Audit"}</definedName>
    <definedName name="_710__FDSAUDITLINK__" hidden="1">{"fdsup://Directions/FactSet Auditing Viewer?action=AUDIT_VALUE&amp;DB=129&amp;ID1=16890510&amp;VALUEID=01001&amp;SDATE=200701&amp;PERIODTYPE=QTR_STD&amp;window=popup_no_bar&amp;width=385&amp;height=120&amp;START_MAXIMIZED=FALSE&amp;creator=factset&amp;display_string=Audit"}</definedName>
    <definedName name="_711__FDSAUDITLINK__" hidden="1">{"fdsup://Directions/FactSet Auditing Viewer?action=AUDIT_VALUE&amp;DB=129&amp;ID1=91704710&amp;VALUEID=02101&amp;SDATE=200701&amp;PERIODTYPE=QTR_STD&amp;window=popup_no_bar&amp;width=385&amp;height=120&amp;START_MAXIMIZED=FALSE&amp;creator=factset&amp;display_string=Audit"}</definedName>
    <definedName name="_712__FDSAUDITLINK__" hidden="1">{"fdsup://Directions/FactSet Auditing Viewer?action=AUDIT_VALUE&amp;DB=129&amp;ID1=91704710&amp;VALUEID=01001&amp;SDATE=200701&amp;PERIODTYPE=QTR_STD&amp;window=popup_no_bar&amp;width=385&amp;height=120&amp;START_MAXIMIZED=FALSE&amp;creator=factset&amp;display_string=Audit"}</definedName>
    <definedName name="_713__FDSAUDITLINK__" hidden="1">{"fdsup://Directions/FactSet Auditing Viewer?action=AUDIT_VALUE&amp;DB=129&amp;ID1=91704710&amp;VALUEID=13040&amp;SDATE=200701&amp;PERIODTYPE=QTR_STD&amp;window=popup_no_bar&amp;width=385&amp;height=120&amp;START_MAXIMIZED=FALSE&amp;creator=factset&amp;display_string=Audit"}</definedName>
    <definedName name="_714__FDSAUDITLINK__" hidden="1">{"fdsup://Directions/FactSet Auditing Viewer?action=AUDIT_VALUE&amp;DB=129&amp;ID1=02553E10&amp;VALUEID=02101&amp;SDATE=200701&amp;PERIODTYPE=QTR_STD&amp;window=popup_no_bar&amp;width=385&amp;height=120&amp;START_MAXIMIZED=FALSE&amp;creator=factset&amp;display_string=Audit"}</definedName>
    <definedName name="_715__FDSAUDITLINK__" hidden="1">{"fdsup://Directions/FactSet Auditing Viewer?action=AUDIT_VALUE&amp;DB=129&amp;ID1=02553E10&amp;VALUEID=01001&amp;SDATE=200701&amp;PERIODTYPE=QTR_STD&amp;window=popup_no_bar&amp;width=385&amp;height=120&amp;START_MAXIMIZED=FALSE&amp;creator=factset&amp;display_string=Audit"}</definedName>
    <definedName name="_716__FDSAUDITLINK__" hidden="1">{"fdsup://Directions/FactSet Auditing Viewer?action=AUDIT_VALUE&amp;DB=129&amp;ID1=02553E10&amp;VALUEID=13040&amp;SDATE=200701&amp;PERIODTYPE=QTR_STD&amp;window=popup_no_bar&amp;width=385&amp;height=120&amp;START_MAXIMIZED=FALSE&amp;creator=factset&amp;display_string=Audit"}</definedName>
    <definedName name="_717__FDSAUDITLINK__" hidden="1">{"fdsup://Directions/FactSet Auditing Viewer?action=AUDIT_VALUE&amp;DB=129&amp;ID1=00786510&amp;VALUEID=02101&amp;SDATE=200701&amp;PERIODTYPE=QTR_STD&amp;window=popup_no_bar&amp;width=385&amp;height=120&amp;START_MAXIMIZED=FALSE&amp;creator=factset&amp;display_string=Audit"}</definedName>
    <definedName name="_718__FDSAUDITLINK__" hidden="1">{"fdsup://Directions/FactSet Auditing Viewer?action=AUDIT_VALUE&amp;DB=129&amp;ID1=00786510&amp;VALUEID=01001&amp;SDATE=200701&amp;PERIODTYPE=QTR_STD&amp;window=popup_no_bar&amp;width=385&amp;height=120&amp;START_MAXIMIZED=FALSE&amp;creator=factset&amp;display_string=Audit"}</definedName>
    <definedName name="_719__FDSAUDITLINK__" hidden="1">{"fdsup://Directions/FactSet Auditing Viewer?action=AUDIT_VALUE&amp;DB=129&amp;ID1=00786510&amp;VALUEID=13040&amp;SDATE=200701&amp;PERIODTYPE=QTR_STD&amp;window=popup_no_bar&amp;width=385&amp;height=120&amp;START_MAXIMIZED=FALSE&amp;creator=factset&amp;display_string=Audit"}</definedName>
    <definedName name="_72__FDSAUDITLINK__" hidden="1">{"fdsup://Directions/FactSet Auditing Viewer?action=AUDIT_VALUE&amp;DB=129&amp;ID1=03611510&amp;VALUEID=13040&amp;SDATE=200902&amp;PERIODTYPE=QTR_STD&amp;window=popup_no_bar&amp;width=385&amp;height=120&amp;START_MAXIMIZED=FALSE&amp;creator=factset&amp;display_string=Audit"}</definedName>
    <definedName name="_720__FDSAUDITLINK__" hidden="1">{"fdsup://Directions/FactSet Auditing Viewer?action=AUDIT_VALUE&amp;DB=129&amp;ID1=00289620&amp;VALUEID=02101&amp;SDATE=200701&amp;PERIODTYPE=QTR_STD&amp;window=popup_no_bar&amp;width=385&amp;height=120&amp;START_MAXIMIZED=FALSE&amp;creator=factset&amp;display_string=Audit"}</definedName>
    <definedName name="_721__FDSAUDITLINK__" hidden="1">{"fdsup://Directions/FactSet Auditing Viewer?action=AUDIT_VALUE&amp;DB=129&amp;ID1=00289620&amp;VALUEID=01001&amp;SDATE=200701&amp;PERIODTYPE=QTR_STD&amp;window=popup_no_bar&amp;width=385&amp;height=120&amp;START_MAXIMIZED=FALSE&amp;creator=factset&amp;display_string=Audit"}</definedName>
    <definedName name="_722__FDSAUDITLINK__" hidden="1">{"fdsup://Directions/FactSet Auditing Viewer?action=AUDIT_VALUE&amp;DB=129&amp;ID1=00289620&amp;VALUEID=13040&amp;SDATE=200701&amp;PERIODTYPE=QTR_STD&amp;window=popup_no_bar&amp;width=385&amp;height=120&amp;START_MAXIMIZED=FALSE&amp;creator=factset&amp;display_string=Audit"}</definedName>
    <definedName name="_723__FDSAUDITLINK__" hidden="1">{"fdsup://Directions/FactSet Auditing Viewer?action=AUDIT_VALUE&amp;DB=129&amp;ID1=87416110&amp;VALUEID=01001&amp;SDATE=200604&amp;PERIODTYPE=QTR_STD&amp;window=popup_no_bar&amp;width=385&amp;height=120&amp;START_MAXIMIZED=FALSE&amp;creator=factset&amp;display_string=Audit"}</definedName>
    <definedName name="_724__FDSAUDITLINK__" hidden="1">{"fdsup://Directions/FactSet Auditing Viewer?action=AUDIT_VALUE&amp;DB=129&amp;ID1=46612H40&amp;VALUEID=01001&amp;SDATE=200604&amp;PERIODTYPE=QTR_STD&amp;window=popup_no_bar&amp;width=385&amp;height=120&amp;START_MAXIMIZED=FALSE&amp;creator=factset&amp;display_string=Audit"}</definedName>
    <definedName name="_725__FDSAUDITLINK__" hidden="1">{"fdsup://Directions/FactSet Auditing Viewer?action=AUDIT_VALUE&amp;DB=129&amp;ID1=36476010&amp;VALUEID=01001&amp;SDATE=200604&amp;PERIODTYPE=QTR_STD&amp;window=popup_no_bar&amp;width=385&amp;height=120&amp;START_MAXIMIZED=FALSE&amp;creator=factset&amp;display_string=Audit"}</definedName>
    <definedName name="_726__FDSAUDITLINK__" hidden="1">{"fdsup://Directions/FactSet Auditing Viewer?action=AUDIT_VALUE&amp;DB=129&amp;ID1=03611510&amp;VALUEID=01001&amp;SDATE=200604&amp;PERIODTYPE=QTR_STD&amp;window=popup_no_bar&amp;width=385&amp;height=120&amp;START_MAXIMIZED=FALSE&amp;creator=factset&amp;display_string=Audit"}</definedName>
    <definedName name="_727__FDSAUDITLINK__" hidden="1">{"fdsup://Directions/FactSet Auditing Viewer?action=AUDIT_VALUE&amp;DB=129&amp;ID1=16890510&amp;VALUEID=01001&amp;SDATE=200604&amp;PERIODTYPE=QTR_STD&amp;window=popup_no_bar&amp;width=385&amp;height=120&amp;START_MAXIMIZED=FALSE&amp;creator=factset&amp;display_string=Audit"}</definedName>
    <definedName name="_728__FDSAUDITLINK__" hidden="1">{"fdsup://directions/FAT Viewer?action=UPDATE&amp;creator=factset&amp;DYN_ARGS=TRUE&amp;DOC_NAME=FAT:FQL_AUDITING_CLIENT_TEMPLATE.FAT&amp;display_string=Audit&amp;VAR:KEY=BONMBKFGLQ&amp;VAR:QUERY=RkZfUlRfU0ZfVE9UX0dST1NTKFFUUiwtMTMp&amp;WINDOW=FIRST_POPUP&amp;HEIGHT=450&amp;WIDTH=450&amp;START_MA","XIMIZED=FALSE&amp;VAR:CALENDAR=US&amp;VAR:SYMBOL=AEO&amp;VAR:INDEX=0"}</definedName>
    <definedName name="_729__FDSAUDITLINK__" hidden="1">{"fdsup://Directions/FactSet Auditing Viewer?action=AUDIT_VALUE&amp;DB=129&amp;ID1=00786510&amp;VALUEID=01001&amp;SDATE=200604&amp;PERIODTYPE=QTR_STD&amp;window=popup_no_bar&amp;width=385&amp;height=120&amp;START_MAXIMIZED=FALSE&amp;creator=factset&amp;display_string=Audit"}</definedName>
    <definedName name="_73__FDSAUDITLINK__" hidden="1">{"fdsup://Directions/FactSet Auditing Viewer?action=AUDIT_VALUE&amp;DB=129&amp;ID1=16890510&amp;VALUEID=02101&amp;SDATE=200902&amp;PERIODTYPE=QTR_STD&amp;window=popup_no_bar&amp;width=385&amp;height=120&amp;START_MAXIMIZED=FALSE&amp;creator=factset&amp;display_string=Audit"}</definedName>
    <definedName name="_730__FDSAUDITLINK__" hidden="1">{"fdsup://Directions/FactSet Auditing Viewer?action=AUDIT_VALUE&amp;DB=129&amp;ID1=87416110&amp;VALUEID=02101&amp;SDATE=200603&amp;PERIODTYPE=QTR_STD&amp;window=popup_no_bar&amp;width=385&amp;height=120&amp;START_MAXIMIZED=FALSE&amp;creator=factset&amp;display_string=Audit"}</definedName>
    <definedName name="_731__FDSAUDITLINK__" hidden="1">{"fdsup://Directions/FactSet Auditing Viewer?action=AUDIT_VALUE&amp;DB=129&amp;ID1=87416110&amp;VALUEID=01001&amp;SDATE=200603&amp;PERIODTYPE=QTR_STD&amp;window=popup_no_bar&amp;width=385&amp;height=120&amp;START_MAXIMIZED=FALSE&amp;creator=factset&amp;display_string=Audit"}</definedName>
    <definedName name="_732__FDSAUDITLINK__" hidden="1">{"fdsup://Directions/FactSet Auditing Viewer?action=AUDIT_VALUE&amp;DB=129&amp;ID1=53271610&amp;VALUEID=02101&amp;SDATE=200603&amp;PERIODTYPE=QTR_STD&amp;window=popup_no_bar&amp;width=385&amp;height=120&amp;START_MAXIMIZED=FALSE&amp;creator=factset&amp;display_string=Audit"}</definedName>
    <definedName name="_733__FDSAUDITLINK__" hidden="1">{"fdsup://Directions/FactSet Auditing Viewer?action=AUDIT_VALUE&amp;DB=129&amp;ID1=53271610&amp;VALUEID=01001&amp;SDATE=200603&amp;PERIODTYPE=QTR_STD&amp;window=popup_no_bar&amp;width=385&amp;height=120&amp;START_MAXIMIZED=FALSE&amp;creator=factset&amp;display_string=Audit"}</definedName>
    <definedName name="_734__FDSAUDITLINK__" hidden="1">{"fdsup://Directions/FactSet Auditing Viewer?action=AUDIT_VALUE&amp;DB=129&amp;ID1=53271610&amp;VALUEID=13040&amp;SDATE=200603&amp;PERIODTYPE=QTR_STD&amp;window=popup_no_bar&amp;width=385&amp;height=120&amp;START_MAXIMIZED=FALSE&amp;creator=factset&amp;display_string=Audit"}</definedName>
    <definedName name="_735__FDSAUDITLINK__" hidden="1">{"fdsup://Directions/FactSet Auditing Viewer?action=AUDIT_VALUE&amp;DB=129&amp;ID1=46612H40&amp;VALUEID=02101&amp;SDATE=200603&amp;PERIODTYPE=QTR_STD&amp;window=popup_no_bar&amp;width=385&amp;height=120&amp;START_MAXIMIZED=FALSE&amp;creator=factset&amp;display_string=Audit"}</definedName>
    <definedName name="_736__FDSAUDITLINK__" hidden="1">{"fdsup://Directions/FactSet Auditing Viewer?action=AUDIT_VALUE&amp;DB=129&amp;ID1=46612H40&amp;VALUEID=01001&amp;SDATE=200603&amp;PERIODTYPE=QTR_STD&amp;window=popup_no_bar&amp;width=385&amp;height=120&amp;START_MAXIMIZED=FALSE&amp;creator=factset&amp;display_string=Audit"}</definedName>
    <definedName name="_737__FDSAUDITLINK__" hidden="1">{"fdsup://Directions/FactSet Auditing Viewer?action=AUDIT_VALUE&amp;DB=129&amp;ID1=46612H40&amp;VALUEID=13040&amp;SDATE=200603&amp;PERIODTYPE=QTR_STD&amp;window=popup_no_bar&amp;width=385&amp;height=120&amp;START_MAXIMIZED=FALSE&amp;creator=factset&amp;display_string=Audit"}</definedName>
    <definedName name="_738__FDSAUDITLINK__" hidden="1">{"fdsup://Directions/FactSet Auditing Viewer?action=AUDIT_VALUE&amp;DB=129&amp;ID1=36476010&amp;VALUEID=02101&amp;SDATE=200603&amp;PERIODTYPE=QTR_STD&amp;window=popup_no_bar&amp;width=385&amp;height=120&amp;START_MAXIMIZED=FALSE&amp;creator=factset&amp;display_string=Audit"}</definedName>
    <definedName name="_739__FDSAUDITLINK__" hidden="1">{"fdsup://Directions/FactSet Auditing Viewer?action=AUDIT_VALUE&amp;DB=129&amp;ID1=36476010&amp;VALUEID=01001&amp;SDATE=200603&amp;PERIODTYPE=QTR_STD&amp;window=popup_no_bar&amp;width=385&amp;height=120&amp;START_MAXIMIZED=FALSE&amp;creator=factset&amp;display_string=Audit"}</definedName>
    <definedName name="_74__FDSAUDITLINK__" hidden="1">{"fdsup://Directions/FactSet Auditing Viewer?action=AUDIT_VALUE&amp;DB=129&amp;ID1=16890510&amp;VALUEID=01001&amp;SDATE=200902&amp;PERIODTYPE=QTR_STD&amp;window=popup_no_bar&amp;width=385&amp;height=120&amp;START_MAXIMIZED=FALSE&amp;creator=factset&amp;display_string=Audit"}</definedName>
    <definedName name="_740__FDSAUDITLINK__" hidden="1">{"fdsup://Directions/FactSet Auditing Viewer?action=AUDIT_VALUE&amp;DB=129&amp;ID1=36476010&amp;VALUEID=13040&amp;SDATE=200603&amp;PERIODTYPE=QTR_STD&amp;window=popup_no_bar&amp;width=385&amp;height=120&amp;START_MAXIMIZED=FALSE&amp;creator=factset&amp;display_string=Audit"}</definedName>
    <definedName name="_741__FDSAUDITLINK__" hidden="1">{"fdsup://Directions/FactSet Auditing Viewer?action=AUDIT_VALUE&amp;DB=129&amp;ID1=03611510&amp;VALUEID=02101&amp;SDATE=200603&amp;PERIODTYPE=QTR_STD&amp;window=popup_no_bar&amp;width=385&amp;height=120&amp;START_MAXIMIZED=FALSE&amp;creator=factset&amp;display_string=Audit"}</definedName>
    <definedName name="_742__FDSAUDITLINK__" hidden="1">{"fdsup://Directions/FactSet Auditing Viewer?action=AUDIT_VALUE&amp;DB=129&amp;ID1=03611510&amp;VALUEID=01001&amp;SDATE=200603&amp;PERIODTYPE=QTR_STD&amp;window=popup_no_bar&amp;width=385&amp;height=120&amp;START_MAXIMIZED=FALSE&amp;creator=factset&amp;display_string=Audit"}</definedName>
    <definedName name="_743__FDSAUDITLINK__" hidden="1">{"fdsup://Directions/FactSet Auditing Viewer?action=AUDIT_VALUE&amp;DB=129&amp;ID1=03611510&amp;VALUEID=13040&amp;SDATE=200603&amp;PERIODTYPE=QTR_STD&amp;window=popup_no_bar&amp;width=385&amp;height=120&amp;START_MAXIMIZED=FALSE&amp;creator=factset&amp;display_string=Audit"}</definedName>
    <definedName name="_744__FDSAUDITLINK__" hidden="1">{"fdsup://Directions/FactSet Auditing Viewer?action=AUDIT_VALUE&amp;DB=129&amp;ID1=16890510&amp;VALUEID=02101&amp;SDATE=200603&amp;PERIODTYPE=QTR_STD&amp;window=popup_no_bar&amp;width=385&amp;height=120&amp;START_MAXIMIZED=FALSE&amp;creator=factset&amp;display_string=Audit"}</definedName>
    <definedName name="_745__FDSAUDITLINK__" hidden="1">{"fdsup://Directions/FactSet Auditing Viewer?action=AUDIT_VALUE&amp;DB=129&amp;ID1=16890510&amp;VALUEID=01001&amp;SDATE=200603&amp;PERIODTYPE=QTR_STD&amp;window=popup_no_bar&amp;width=385&amp;height=120&amp;START_MAXIMIZED=FALSE&amp;creator=factset&amp;display_string=Audit"}</definedName>
    <definedName name="_746__FDSAUDITLINK__" hidden="1">{"fdsup://Directions/FactSet Auditing Viewer?action=AUDIT_VALUE&amp;DB=129&amp;ID1=91704710&amp;VALUEID=02101&amp;SDATE=200603&amp;PERIODTYPE=QTR_STD&amp;window=popup_no_bar&amp;width=385&amp;height=120&amp;START_MAXIMIZED=FALSE&amp;creator=factset&amp;display_string=Audit"}</definedName>
    <definedName name="_747__FDSAUDITLINK__" hidden="1">{"fdsup://Directions/FactSet Auditing Viewer?action=AUDIT_VALUE&amp;DB=129&amp;ID1=91704710&amp;VALUEID=01001&amp;SDATE=200603&amp;PERIODTYPE=QTR_STD&amp;window=popup_no_bar&amp;width=385&amp;height=120&amp;START_MAXIMIZED=FALSE&amp;creator=factset&amp;display_string=Audit"}</definedName>
    <definedName name="_748__FDSAUDITLINK__" hidden="1">{"fdsup://Directions/FactSet Auditing Viewer?action=AUDIT_VALUE&amp;DB=129&amp;ID1=91704710&amp;VALUEID=13040&amp;SDATE=200603&amp;PERIODTYPE=QTR_STD&amp;window=popup_no_bar&amp;width=385&amp;height=120&amp;START_MAXIMIZED=FALSE&amp;creator=factset&amp;display_string=Audit"}</definedName>
    <definedName name="_749__FDSAUDITLINK__" hidden="1">{"fdsup://directions/FAT Viewer?action=UPDATE&amp;creator=factset&amp;DYN_ARGS=TRUE&amp;DOC_NAME=FAT:FQL_AUDITING_CLIENT_TEMPLATE.FAT&amp;display_string=Audit&amp;VAR:KEY=NGXYHSLMBY&amp;VAR:QUERY=RkZfUlRfU0ZfVE9UX0dST1NTKFFUUiwtMTQp&amp;WINDOW=FIRST_POPUP&amp;HEIGHT=450&amp;WIDTH=450&amp;START_MA","XIMIZED=FALSE&amp;VAR:CALENDAR=US&amp;VAR:SYMBOL=AEO&amp;VAR:INDEX=0"}</definedName>
    <definedName name="_75__FDSAUDITLINK__" hidden="1">{"fdsup://Directions/FactSet Auditing Viewer?action=AUDIT_VALUE&amp;DB=129&amp;ID1=91704710&amp;VALUEID=02101&amp;SDATE=200902&amp;PERIODTYPE=QTR_STD&amp;window=popup_no_bar&amp;width=385&amp;height=120&amp;START_MAXIMIZED=FALSE&amp;creator=factset&amp;display_string=Audit"}</definedName>
    <definedName name="_750__FDSAUDITLINK__" hidden="1">{"fdsup://Directions/FactSet Auditing Viewer?action=AUDIT_VALUE&amp;DB=129&amp;ID1=00786510&amp;VALUEID=02101&amp;SDATE=200603&amp;PERIODTYPE=QTR_STD&amp;window=popup_no_bar&amp;width=385&amp;height=120&amp;START_MAXIMIZED=FALSE&amp;creator=factset&amp;display_string=Audit"}</definedName>
    <definedName name="_751__FDSAUDITLINK__" hidden="1">{"fdsup://Directions/FactSet Auditing Viewer?action=AUDIT_VALUE&amp;DB=129&amp;ID1=00786510&amp;VALUEID=01001&amp;SDATE=200603&amp;PERIODTYPE=QTR_STD&amp;window=popup_no_bar&amp;width=385&amp;height=120&amp;START_MAXIMIZED=FALSE&amp;creator=factset&amp;display_string=Audit"}</definedName>
    <definedName name="_752__FDSAUDITLINK__" hidden="1">{"fdsup://Directions/FactSet Auditing Viewer?action=AUDIT_VALUE&amp;DB=129&amp;ID1=00786510&amp;VALUEID=13040&amp;SDATE=200603&amp;PERIODTYPE=QTR_STD&amp;window=popup_no_bar&amp;width=385&amp;height=120&amp;START_MAXIMIZED=FALSE&amp;creator=factset&amp;display_string=Audit"}</definedName>
    <definedName name="_753__FDSAUDITLINK__" hidden="1">{"fdsup://Directions/FactSet Auditing Viewer?action=AUDIT_VALUE&amp;DB=129&amp;ID1=00289620&amp;VALUEID=02101&amp;SDATE=200603&amp;PERIODTYPE=QTR_STD&amp;window=popup_no_bar&amp;width=385&amp;height=120&amp;START_MAXIMIZED=FALSE&amp;creator=factset&amp;display_string=Audit"}</definedName>
    <definedName name="_754__FDSAUDITLINK__" hidden="1">{"fdsup://Directions/FactSet Auditing Viewer?action=AUDIT_VALUE&amp;DB=129&amp;ID1=00289620&amp;VALUEID=01001&amp;SDATE=200603&amp;PERIODTYPE=QTR_STD&amp;window=popup_no_bar&amp;width=385&amp;height=120&amp;START_MAXIMIZED=FALSE&amp;creator=factset&amp;display_string=Audit"}</definedName>
    <definedName name="_755__FDSAUDITLINK__" hidden="1">{"fdsup://Directions/FactSet Auditing Viewer?action=AUDIT_VALUE&amp;DB=129&amp;ID1=00289620&amp;VALUEID=13040&amp;SDATE=200603&amp;PERIODTYPE=QTR_STD&amp;window=popup_no_bar&amp;width=385&amp;height=120&amp;START_MAXIMIZED=FALSE&amp;creator=factset&amp;display_string=Audit"}</definedName>
    <definedName name="_756__FDSAUDITLINK__" hidden="1">{"fdsup://Directions/FactSet Auditing Viewer?action=AUDIT_VALUE&amp;DB=129&amp;ID1=87416110&amp;VALUEID=02101&amp;SDATE=200602&amp;PERIODTYPE=QTR_STD&amp;window=popup_no_bar&amp;width=385&amp;height=120&amp;START_MAXIMIZED=FALSE&amp;creator=factset&amp;display_string=Audit"}</definedName>
    <definedName name="_757__FDSAUDITLINK__" hidden="1">{"fdsup://Directions/FactSet Auditing Viewer?action=AUDIT_VALUE&amp;DB=129&amp;ID1=87416110&amp;VALUEID=01001&amp;SDATE=200602&amp;PERIODTYPE=QTR_STD&amp;window=popup_no_bar&amp;width=385&amp;height=120&amp;START_MAXIMIZED=FALSE&amp;creator=factset&amp;display_string=Audit"}</definedName>
    <definedName name="_758__FDSAUDITLINK__" hidden="1">{"fdsup://Directions/FactSet Auditing Viewer?action=AUDIT_VALUE&amp;DB=129&amp;ID1=53271610&amp;VALUEID=02101&amp;SDATE=200602&amp;PERIODTYPE=QTR_STD&amp;window=popup_no_bar&amp;width=385&amp;height=120&amp;START_MAXIMIZED=FALSE&amp;creator=factset&amp;display_string=Audit"}</definedName>
    <definedName name="_759__FDSAUDITLINK__" hidden="1">{"fdsup://Directions/FactSet Auditing Viewer?action=AUDIT_VALUE&amp;DB=129&amp;ID1=53271610&amp;VALUEID=01001&amp;SDATE=200602&amp;PERIODTYPE=QTR_STD&amp;window=popup_no_bar&amp;width=385&amp;height=120&amp;START_MAXIMIZED=FALSE&amp;creator=factset&amp;display_string=Audit"}</definedName>
    <definedName name="_76__FDSAUDITLINK__" hidden="1">{"fdsup://Directions/FactSet Auditing Viewer?action=AUDIT_VALUE&amp;DB=129&amp;ID1=91704710&amp;VALUEID=01001&amp;SDATE=200902&amp;PERIODTYPE=QTR_STD&amp;window=popup_no_bar&amp;width=385&amp;height=120&amp;START_MAXIMIZED=FALSE&amp;creator=factset&amp;display_string=Audit"}</definedName>
    <definedName name="_760__FDSAUDITLINK__" hidden="1">{"fdsup://Directions/FactSet Auditing Viewer?action=AUDIT_VALUE&amp;DB=129&amp;ID1=53271610&amp;VALUEID=13040&amp;SDATE=200602&amp;PERIODTYPE=QTR_STD&amp;window=popup_no_bar&amp;width=385&amp;height=120&amp;START_MAXIMIZED=FALSE&amp;creator=factset&amp;display_string=Audit"}</definedName>
    <definedName name="_761__FDSAUDITLINK__" hidden="1">{"fdsup://Directions/FactSet Auditing Viewer?action=AUDIT_VALUE&amp;DB=129&amp;ID1=46612H40&amp;VALUEID=02101&amp;SDATE=200602&amp;PERIODTYPE=QTR_STD&amp;window=popup_no_bar&amp;width=385&amp;height=120&amp;START_MAXIMIZED=FALSE&amp;creator=factset&amp;display_string=Audit"}</definedName>
    <definedName name="_762__FDSAUDITLINK__" hidden="1">{"fdsup://Directions/FactSet Auditing Viewer?action=AUDIT_VALUE&amp;DB=129&amp;ID1=46612H40&amp;VALUEID=01001&amp;SDATE=200602&amp;PERIODTYPE=QTR_STD&amp;window=popup_no_bar&amp;width=385&amp;height=120&amp;START_MAXIMIZED=FALSE&amp;creator=factset&amp;display_string=Audit"}</definedName>
    <definedName name="_763__FDSAUDITLINK__" hidden="1">{"fdsup://Directions/FactSet Auditing Viewer?action=AUDIT_VALUE&amp;DB=129&amp;ID1=46612H40&amp;VALUEID=13040&amp;SDATE=200602&amp;PERIODTYPE=QTR_STD&amp;window=popup_no_bar&amp;width=385&amp;height=120&amp;START_MAXIMIZED=FALSE&amp;creator=factset&amp;display_string=Audit"}</definedName>
    <definedName name="_764__FDSAUDITLINK__" hidden="1">{"fdsup://Directions/FactSet Auditing Viewer?action=AUDIT_VALUE&amp;DB=129&amp;ID1=36476010&amp;VALUEID=02101&amp;SDATE=200602&amp;PERIODTYPE=QTR_STD&amp;window=popup_no_bar&amp;width=385&amp;height=120&amp;START_MAXIMIZED=FALSE&amp;creator=factset&amp;display_string=Audit"}</definedName>
    <definedName name="_765__FDSAUDITLINK__" hidden="1">{"fdsup://Directions/FactSet Auditing Viewer?action=AUDIT_VALUE&amp;DB=129&amp;ID1=36476010&amp;VALUEID=01001&amp;SDATE=200602&amp;PERIODTYPE=QTR_STD&amp;window=popup_no_bar&amp;width=385&amp;height=120&amp;START_MAXIMIZED=FALSE&amp;creator=factset&amp;display_string=Audit"}</definedName>
    <definedName name="_766__FDSAUDITLINK__" hidden="1">{"fdsup://Directions/FactSet Auditing Viewer?action=AUDIT_VALUE&amp;DB=129&amp;ID1=36476010&amp;VALUEID=13040&amp;SDATE=200602&amp;PERIODTYPE=QTR_STD&amp;window=popup_no_bar&amp;width=385&amp;height=120&amp;START_MAXIMIZED=FALSE&amp;creator=factset&amp;display_string=Audit"}</definedName>
    <definedName name="_767__FDSAUDITLINK__" hidden="1">{"fdsup://Directions/FactSet Auditing Viewer?action=AUDIT_VALUE&amp;DB=129&amp;ID1=03611510&amp;VALUEID=02101&amp;SDATE=200602&amp;PERIODTYPE=QTR_STD&amp;window=popup_no_bar&amp;width=385&amp;height=120&amp;START_MAXIMIZED=FALSE&amp;creator=factset&amp;display_string=Audit"}</definedName>
    <definedName name="_768__FDSAUDITLINK__" hidden="1">{"fdsup://Directions/FactSet Auditing Viewer?action=AUDIT_VALUE&amp;DB=129&amp;ID1=03611510&amp;VALUEID=01001&amp;SDATE=200602&amp;PERIODTYPE=QTR_STD&amp;window=popup_no_bar&amp;width=385&amp;height=120&amp;START_MAXIMIZED=FALSE&amp;creator=factset&amp;display_string=Audit"}</definedName>
    <definedName name="_769__FDSAUDITLINK__" hidden="1">{"fdsup://Directions/FactSet Auditing Viewer?action=AUDIT_VALUE&amp;DB=129&amp;ID1=03611510&amp;VALUEID=13040&amp;SDATE=200602&amp;PERIODTYPE=QTR_STD&amp;window=popup_no_bar&amp;width=385&amp;height=120&amp;START_MAXIMIZED=FALSE&amp;creator=factset&amp;display_string=Audit"}</definedName>
    <definedName name="_77__FDSAUDITLINK__" hidden="1">{"fdsup://Directions/FactSet Auditing Viewer?action=AUDIT_VALUE&amp;DB=129&amp;ID1=02553E10&amp;VALUEID=02101&amp;SDATE=200902&amp;PERIODTYPE=QTR_STD&amp;window=popup_no_bar&amp;width=385&amp;height=120&amp;START_MAXIMIZED=FALSE&amp;creator=factset&amp;display_string=Audit"}</definedName>
    <definedName name="_770__FDSAUDITLINK__" hidden="1">{"fdsup://Directions/FactSet Auditing Viewer?action=AUDIT_VALUE&amp;DB=129&amp;ID1=16890510&amp;VALUEID=02101&amp;SDATE=200602&amp;PERIODTYPE=QTR_STD&amp;window=popup_no_bar&amp;width=385&amp;height=120&amp;START_MAXIMIZED=FALSE&amp;creator=factset&amp;display_string=Audit"}</definedName>
    <definedName name="_771__FDSAUDITLINK__" hidden="1">{"fdsup://Directions/FactSet Auditing Viewer?action=AUDIT_VALUE&amp;DB=129&amp;ID1=16890510&amp;VALUEID=01001&amp;SDATE=200602&amp;PERIODTYPE=QTR_STD&amp;window=popup_no_bar&amp;width=385&amp;height=120&amp;START_MAXIMIZED=FALSE&amp;creator=factset&amp;display_string=Audit"}</definedName>
    <definedName name="_772__FDSAUDITLINK__" hidden="1">{"fdsup://Directions/FactSet Auditing Viewer?action=AUDIT_VALUE&amp;DB=129&amp;ID1=91704710&amp;VALUEID=02101&amp;SDATE=200602&amp;PERIODTYPE=QTR_STD&amp;window=popup_no_bar&amp;width=385&amp;height=120&amp;START_MAXIMIZED=FALSE&amp;creator=factset&amp;display_string=Audit"}</definedName>
    <definedName name="_773__FDSAUDITLINK__" hidden="1">{"fdsup://Directions/FactSet Auditing Viewer?action=AUDIT_VALUE&amp;DB=129&amp;ID1=91704710&amp;VALUEID=01001&amp;SDATE=200602&amp;PERIODTYPE=QTR_STD&amp;window=popup_no_bar&amp;width=385&amp;height=120&amp;START_MAXIMIZED=FALSE&amp;creator=factset&amp;display_string=Audit"}</definedName>
    <definedName name="_774__FDSAUDITLINK__" hidden="1">{"fdsup://Directions/FactSet Auditing Viewer?action=AUDIT_VALUE&amp;DB=129&amp;ID1=91704710&amp;VALUEID=13040&amp;SDATE=200602&amp;PERIODTYPE=QTR_STD&amp;window=popup_no_bar&amp;width=385&amp;height=120&amp;START_MAXIMIZED=FALSE&amp;creator=factset&amp;display_string=Audit"}</definedName>
    <definedName name="_775__FDSAUDITLINK__" hidden="1">{"fdsup://directions/FAT Viewer?action=UPDATE&amp;creator=factset&amp;DYN_ARGS=TRUE&amp;DOC_NAME=FAT:FQL_AUDITING_CLIENT_TEMPLATE.FAT&amp;display_string=Audit&amp;VAR:KEY=VUNQJUHWBQ&amp;VAR:QUERY=RkZfUlRfU0ZfVE9UX0dST1NTKFFUUiwtMTUp&amp;WINDOW=FIRST_POPUP&amp;HEIGHT=450&amp;WIDTH=450&amp;START_MA","XIMIZED=FALSE&amp;VAR:CALENDAR=US&amp;VAR:SYMBOL=AEO&amp;VAR:INDEX=0"}</definedName>
    <definedName name="_776__FDSAUDITLINK__" hidden="1">{"fdsup://Directions/FactSet Auditing Viewer?action=AUDIT_VALUE&amp;DB=129&amp;ID1=00786510&amp;VALUEID=02101&amp;SDATE=200602&amp;PERIODTYPE=QTR_STD&amp;window=popup_no_bar&amp;width=385&amp;height=120&amp;START_MAXIMIZED=FALSE&amp;creator=factset&amp;display_string=Audit"}</definedName>
    <definedName name="_777__FDSAUDITLINK__" hidden="1">{"fdsup://Directions/FactSet Auditing Viewer?action=AUDIT_VALUE&amp;DB=129&amp;ID1=00786510&amp;VALUEID=01001&amp;SDATE=200602&amp;PERIODTYPE=QTR_STD&amp;window=popup_no_bar&amp;width=385&amp;height=120&amp;START_MAXIMIZED=FALSE&amp;creator=factset&amp;display_string=Audit"}</definedName>
    <definedName name="_778__FDSAUDITLINK__" hidden="1">{"fdsup://Directions/FactSet Auditing Viewer?action=AUDIT_VALUE&amp;DB=129&amp;ID1=00786510&amp;VALUEID=13040&amp;SDATE=200602&amp;PERIODTYPE=QTR_STD&amp;window=popup_no_bar&amp;width=385&amp;height=120&amp;START_MAXIMIZED=FALSE&amp;creator=factset&amp;display_string=Audit"}</definedName>
    <definedName name="_779__FDSAUDITLINK__" hidden="1">{"fdsup://Directions/FactSet Auditing Viewer?action=AUDIT_VALUE&amp;DB=129&amp;ID1=00289620&amp;VALUEID=02101&amp;SDATE=200602&amp;PERIODTYPE=QTR_STD&amp;window=popup_no_bar&amp;width=385&amp;height=120&amp;START_MAXIMIZED=FALSE&amp;creator=factset&amp;display_string=Audit"}</definedName>
    <definedName name="_78__FDSAUDITLINK__" hidden="1">{"fdsup://Directions/FactSet Auditing Viewer?action=AUDIT_VALUE&amp;DB=129&amp;ID1=02553E10&amp;VALUEID=01001&amp;SDATE=200902&amp;PERIODTYPE=QTR_STD&amp;window=popup_no_bar&amp;width=385&amp;height=120&amp;START_MAXIMIZED=FALSE&amp;creator=factset&amp;display_string=Audit"}</definedName>
    <definedName name="_780__FDSAUDITLINK__" hidden="1">{"fdsup://Directions/FactSet Auditing Viewer?action=AUDIT_VALUE&amp;DB=129&amp;ID1=00289620&amp;VALUEID=01001&amp;SDATE=200602&amp;PERIODTYPE=QTR_STD&amp;window=popup_no_bar&amp;width=385&amp;height=120&amp;START_MAXIMIZED=FALSE&amp;creator=factset&amp;display_string=Audit"}</definedName>
    <definedName name="_781__FDSAUDITLINK__" hidden="1">{"fdsup://Directions/FactSet Auditing Viewer?action=AUDIT_VALUE&amp;DB=129&amp;ID1=00289620&amp;VALUEID=13040&amp;SDATE=200602&amp;PERIODTYPE=QTR_STD&amp;window=popup_no_bar&amp;width=385&amp;height=120&amp;START_MAXIMIZED=FALSE&amp;creator=factset&amp;display_string=Audit"}</definedName>
    <definedName name="_782__FDSAUDITLINK__" hidden="1">{"fdsup://Directions/FactSet Auditing Viewer?action=AUDIT_VALUE&amp;DB=129&amp;ID1=87416110&amp;VALUEID=02101&amp;SDATE=200601&amp;PERIODTYPE=QTR_STD&amp;window=popup_no_bar&amp;width=385&amp;height=120&amp;START_MAXIMIZED=FALSE&amp;creator=factset&amp;display_string=Audit"}</definedName>
    <definedName name="_783__FDSAUDITLINK__" hidden="1">{"fdsup://Directions/FactSet Auditing Viewer?action=AUDIT_VALUE&amp;DB=129&amp;ID1=87416110&amp;VALUEID=01001&amp;SDATE=200601&amp;PERIODTYPE=QTR_STD&amp;window=popup_no_bar&amp;width=385&amp;height=120&amp;START_MAXIMIZED=FALSE&amp;creator=factset&amp;display_string=Audit"}</definedName>
    <definedName name="_784__FDSAUDITLINK__" hidden="1">{"fdsup://Directions/FactSet Auditing Viewer?action=AUDIT_VALUE&amp;DB=129&amp;ID1=87416110&amp;VALUEID=13040&amp;SDATE=200601&amp;PERIODTYPE=QTR_STD&amp;window=popup_no_bar&amp;width=385&amp;height=120&amp;START_MAXIMIZED=FALSE&amp;creator=factset&amp;display_string=Audit"}</definedName>
    <definedName name="_785__FDSAUDITLINK__" hidden="1">{"fdsup://directions/FAT Viewer?action=UPDATE&amp;creator=factset&amp;DYN_ARGS=TRUE&amp;DOC_NAME=FAT:FQL_AUDITING_CLIENT_TEMPLATE.FAT&amp;display_string=Audit&amp;VAR:KEY=NUZUBWRSBA&amp;VAR:QUERY=RkZfUlRfU0ZfVE9UX0dST1NTKFFUUiwtMTYp&amp;WINDOW=FIRST_POPUP&amp;HEIGHT=450&amp;WIDTH=450&amp;START_MA","XIMIZED=FALSE&amp;VAR:CALENDAR=US&amp;VAR:SYMBOL=TLB&amp;VAR:INDEX=0"}</definedName>
    <definedName name="_786__FDSAUDITLINK__" hidden="1">{"fdsup://Directions/FactSet Auditing Viewer?action=AUDIT_VALUE&amp;DB=129&amp;ID1=53271610&amp;VALUEID=02101&amp;SDATE=200601&amp;PERIODTYPE=QTR_STD&amp;window=popup_no_bar&amp;width=385&amp;height=120&amp;START_MAXIMIZED=FALSE&amp;creator=factset&amp;display_string=Audit"}</definedName>
    <definedName name="_787__FDSAUDITLINK__" hidden="1">{"fdsup://Directions/FactSet Auditing Viewer?action=AUDIT_VALUE&amp;DB=129&amp;ID1=53271610&amp;VALUEID=01001&amp;SDATE=200601&amp;PERIODTYPE=QTR_STD&amp;window=popup_no_bar&amp;width=385&amp;height=120&amp;START_MAXIMIZED=FALSE&amp;creator=factset&amp;display_string=Audit"}</definedName>
    <definedName name="_788__FDSAUDITLINK__" hidden="1">{"fdsup://Directions/FactSet Auditing Viewer?action=AUDIT_VALUE&amp;DB=129&amp;ID1=53271610&amp;VALUEID=13040&amp;SDATE=200601&amp;PERIODTYPE=QTR_STD&amp;window=popup_no_bar&amp;width=385&amp;height=120&amp;START_MAXIMIZED=FALSE&amp;creator=factset&amp;display_string=Audit"}</definedName>
    <definedName name="_789__FDSAUDITLINK__" hidden="1">{"fdsup://Directions/FactSet Auditing Viewer?action=AUDIT_VALUE&amp;DB=129&amp;ID1=46612H40&amp;VALUEID=02101&amp;SDATE=200601&amp;PERIODTYPE=QTR_STD&amp;window=popup_no_bar&amp;width=385&amp;height=120&amp;START_MAXIMIZED=FALSE&amp;creator=factset&amp;display_string=Audit"}</definedName>
    <definedName name="_79__FDSAUDITLINK__" hidden="1">{"fdsup://Directions/FactSet Auditing Viewer?action=AUDIT_VALUE&amp;DB=129&amp;ID1=02553E10&amp;VALUEID=13040&amp;SDATE=200902&amp;PERIODTYPE=QTR_STD&amp;window=popup_no_bar&amp;width=385&amp;height=120&amp;START_MAXIMIZED=FALSE&amp;creator=factset&amp;display_string=Audit"}</definedName>
    <definedName name="_790__FDSAUDITLINK__" hidden="1">{"fdsup://Directions/FactSet Auditing Viewer?action=AUDIT_VALUE&amp;DB=129&amp;ID1=46612H40&amp;VALUEID=01001&amp;SDATE=200601&amp;PERIODTYPE=QTR_STD&amp;window=popup_no_bar&amp;width=385&amp;height=120&amp;START_MAXIMIZED=FALSE&amp;creator=factset&amp;display_string=Audit"}</definedName>
    <definedName name="_791__FDSAUDITLINK__" hidden="1">{"fdsup://Directions/FactSet Auditing Viewer?action=AUDIT_VALUE&amp;DB=129&amp;ID1=46612H40&amp;VALUEID=13040&amp;SDATE=200601&amp;PERIODTYPE=QTR_STD&amp;window=popup_no_bar&amp;width=385&amp;height=120&amp;START_MAXIMIZED=FALSE&amp;creator=factset&amp;display_string=Audit"}</definedName>
    <definedName name="_792__FDSAUDITLINK__" hidden="1">{"fdsup://Directions/FactSet Auditing Viewer?action=AUDIT_VALUE&amp;DB=129&amp;ID1=36476010&amp;VALUEID=02101&amp;SDATE=200601&amp;PERIODTYPE=QTR_STD&amp;window=popup_no_bar&amp;width=385&amp;height=120&amp;START_MAXIMIZED=FALSE&amp;creator=factset&amp;display_string=Audit"}</definedName>
    <definedName name="_793__FDSAUDITLINK__" hidden="1">{"fdsup://Directions/FactSet Auditing Viewer?action=AUDIT_VALUE&amp;DB=129&amp;ID1=36476010&amp;VALUEID=01001&amp;SDATE=200601&amp;PERIODTYPE=QTR_STD&amp;window=popup_no_bar&amp;width=385&amp;height=120&amp;START_MAXIMIZED=FALSE&amp;creator=factset&amp;display_string=Audit"}</definedName>
    <definedName name="_794__FDSAUDITLINK__" hidden="1">{"fdsup://Directions/FactSet Auditing Viewer?action=AUDIT_VALUE&amp;DB=129&amp;ID1=36476010&amp;VALUEID=13040&amp;SDATE=200601&amp;PERIODTYPE=QTR_STD&amp;window=popup_no_bar&amp;width=385&amp;height=120&amp;START_MAXIMIZED=FALSE&amp;creator=factset&amp;display_string=Audit"}</definedName>
    <definedName name="_795__FDSAUDITLINK__" hidden="1">{"fdsup://Directions/FactSet Auditing Viewer?action=AUDIT_VALUE&amp;DB=129&amp;ID1=03611510&amp;VALUEID=02101&amp;SDATE=200601&amp;PERIODTYPE=QTR_STD&amp;window=popup_no_bar&amp;width=385&amp;height=120&amp;START_MAXIMIZED=FALSE&amp;creator=factset&amp;display_string=Audit"}</definedName>
    <definedName name="_796__FDSAUDITLINK__" hidden="1">{"fdsup://Directions/FactSet Auditing Viewer?action=AUDIT_VALUE&amp;DB=129&amp;ID1=03611510&amp;VALUEID=13040&amp;SDATE=200601&amp;PERIODTYPE=QTR_STD&amp;window=popup_no_bar&amp;width=385&amp;height=120&amp;START_MAXIMIZED=FALSE&amp;creator=factset&amp;display_string=Audit"}</definedName>
    <definedName name="_797__FDSAUDITLINK__" hidden="1">{"fdsup://Directions/FactSet Auditing Viewer?action=AUDIT_VALUE&amp;DB=129&amp;ID1=16890510&amp;VALUEID=02101&amp;SDATE=200601&amp;PERIODTYPE=QTR_STD&amp;window=popup_no_bar&amp;width=385&amp;height=120&amp;START_MAXIMIZED=FALSE&amp;creator=factset&amp;display_string=Audit"}</definedName>
    <definedName name="_798__FDSAUDITLINK__" hidden="1">{"fdsup://Directions/FactSet Auditing Viewer?action=AUDIT_VALUE&amp;DB=129&amp;ID1=16890510&amp;VALUEID=01001&amp;SDATE=200601&amp;PERIODTYPE=QTR_STD&amp;window=popup_no_bar&amp;width=385&amp;height=120&amp;START_MAXIMIZED=FALSE&amp;creator=factset&amp;display_string=Audit"}</definedName>
    <definedName name="_799__FDSAUDITLINK__" hidden="1">{"fdsup://Directions/FactSet Auditing Viewer?action=AUDIT_VALUE&amp;DB=129&amp;ID1=91704710&amp;VALUEID=02101&amp;SDATE=200601&amp;PERIODTYPE=QTR_STD&amp;window=popup_no_bar&amp;width=385&amp;height=120&amp;START_MAXIMIZED=FALSE&amp;creator=factset&amp;display_string=Audit"}</definedName>
    <definedName name="_8__123Graph_Bｸﾞﾗﾌ_1" hidden="1">[2]ｾｸﾞﾒﾝﾄ!$E$165:$I$165</definedName>
    <definedName name="_8__FDSAUDITLINK__" hidden="1">{"fdsup://Directions/FactSet Auditing Viewer?action=AUDIT_VALUE&amp;DB=129&amp;ID1=36476010&amp;VALUEID=02101&amp;SDATE=201001&amp;PERIODTYPE=QTR_STD&amp;window=popup_no_bar&amp;width=385&amp;height=120&amp;START_MAXIMIZED=FALSE&amp;creator=factset&amp;display_string=Audit"}</definedName>
    <definedName name="_80__FDSAUDITLINK__" hidden="1">{"fdsup://Directions/FactSet Auditing Viewer?action=AUDIT_VALUE&amp;DB=129&amp;ID1=00786510&amp;VALUEID=02101&amp;SDATE=200902&amp;PERIODTYPE=QTR_STD&amp;window=popup_no_bar&amp;width=385&amp;height=120&amp;START_MAXIMIZED=FALSE&amp;creator=factset&amp;display_string=Audit"}</definedName>
    <definedName name="_800__FDSAUDITLINK__" hidden="1">{"fdsup://Directions/FactSet Auditing Viewer?action=AUDIT_VALUE&amp;DB=129&amp;ID1=91704710&amp;VALUEID=01001&amp;SDATE=200601&amp;PERIODTYPE=QTR_STD&amp;window=popup_no_bar&amp;width=385&amp;height=120&amp;START_MAXIMIZED=FALSE&amp;creator=factset&amp;display_string=Audit"}</definedName>
    <definedName name="_801__FDSAUDITLINK__" hidden="1">{"fdsup://Directions/FactSet Auditing Viewer?action=AUDIT_VALUE&amp;DB=129&amp;ID1=91704710&amp;VALUEID=13040&amp;SDATE=200601&amp;PERIODTYPE=QTR_STD&amp;window=popup_no_bar&amp;width=385&amp;height=120&amp;START_MAXIMIZED=FALSE&amp;creator=factset&amp;display_string=Audit"}</definedName>
    <definedName name="_802__FDSAUDITLINK__" hidden="1">{"fdsup://Directions/FactSet Auditing Viewer?action=AUDIT_VALUE&amp;DB=129&amp;ID1=02553E10&amp;VALUEID=02101&amp;SDATE=200601&amp;PERIODTYPE=QTR_STD&amp;window=popup_no_bar&amp;width=385&amp;height=120&amp;START_MAXIMIZED=FALSE&amp;creator=factset&amp;display_string=Audit"}</definedName>
    <definedName name="_803__FDSAUDITLINK__" hidden="1">{"fdsup://Directions/FactSet Auditing Viewer?action=AUDIT_VALUE&amp;DB=129&amp;ID1=02553E10&amp;VALUEID=01001&amp;SDATE=200601&amp;PERIODTYPE=QTR_STD&amp;window=popup_no_bar&amp;width=385&amp;height=120&amp;START_MAXIMIZED=FALSE&amp;creator=factset&amp;display_string=Audit"}</definedName>
    <definedName name="_804__FDSAUDITLINK__" hidden="1">{"fdsup://Directions/FactSet Auditing Viewer?action=AUDIT_VALUE&amp;DB=129&amp;ID1=02553E10&amp;VALUEID=13040&amp;SDATE=200601&amp;PERIODTYPE=QTR_STD&amp;window=popup_no_bar&amp;width=385&amp;height=120&amp;START_MAXIMIZED=FALSE&amp;creator=factset&amp;display_string=Audit"}</definedName>
    <definedName name="_805__FDSAUDITLINK__" hidden="1">{"fdsup://directions/FAT Viewer?action=UPDATE&amp;creator=factset&amp;DYN_ARGS=TRUE&amp;DOC_NAME=FAT:FQL_AUDITING_CLIENT_TEMPLATE.FAT&amp;display_string=Audit&amp;VAR:KEY=RUROHMBELS&amp;VAR:QUERY=RkZfUlRfU0ZfVE9UX0dST1NTKFFUUiwtMTYp&amp;WINDOW=FIRST_POPUP&amp;HEIGHT=450&amp;WIDTH=450&amp;START_MA","XIMIZED=FALSE&amp;VAR:CALENDAR=US&amp;VAR:SYMBOL=AEO&amp;VAR:INDEX=0"}</definedName>
    <definedName name="_806__FDSAUDITLINK__" hidden="1">{"fdsup://Directions/FactSet Auditing Viewer?action=AUDIT_VALUE&amp;DB=129&amp;ID1=00786510&amp;VALUEID=02101&amp;SDATE=200601&amp;PERIODTYPE=QTR_STD&amp;window=popup_no_bar&amp;width=385&amp;height=120&amp;START_MAXIMIZED=FALSE&amp;creator=factset&amp;display_string=Audit"}</definedName>
    <definedName name="_807__FDSAUDITLINK__" hidden="1">{"fdsup://Directions/FactSet Auditing Viewer?action=AUDIT_VALUE&amp;DB=129&amp;ID1=00786510&amp;VALUEID=01001&amp;SDATE=200601&amp;PERIODTYPE=QTR_STD&amp;window=popup_no_bar&amp;width=385&amp;height=120&amp;START_MAXIMIZED=FALSE&amp;creator=factset&amp;display_string=Audit"}</definedName>
    <definedName name="_808__FDSAUDITLINK__" hidden="1">{"fdsup://Directions/FactSet Auditing Viewer?action=AUDIT_VALUE&amp;DB=129&amp;ID1=00786510&amp;VALUEID=13040&amp;SDATE=200601&amp;PERIODTYPE=QTR_STD&amp;window=popup_no_bar&amp;width=385&amp;height=120&amp;START_MAXIMIZED=FALSE&amp;creator=factset&amp;display_string=Audit"}</definedName>
    <definedName name="_809__FDSAUDITLINK__" hidden="1">{"fdsup://Directions/FactSet Auditing Viewer?action=AUDIT_VALUE&amp;DB=129&amp;ID1=00289620&amp;VALUEID=02101&amp;SDATE=200601&amp;PERIODTYPE=QTR_STD&amp;window=popup_no_bar&amp;width=385&amp;height=120&amp;START_MAXIMIZED=FALSE&amp;creator=factset&amp;display_string=Audit"}</definedName>
    <definedName name="_81__FDSAUDITLINK__" hidden="1">{"fdsup://Directions/FactSet Auditing Viewer?action=AUDIT_VALUE&amp;DB=129&amp;ID1=00786510&amp;VALUEID=01001&amp;SDATE=200902&amp;PERIODTYPE=QTR_STD&amp;window=popup_no_bar&amp;width=385&amp;height=120&amp;START_MAXIMIZED=FALSE&amp;creator=factset&amp;display_string=Audit"}</definedName>
    <definedName name="_810__FDSAUDITLINK__" hidden="1">{"fdsup://Directions/FactSet Auditing Viewer?action=AUDIT_VALUE&amp;DB=129&amp;ID1=00289620&amp;VALUEID=01001&amp;SDATE=200601&amp;PERIODTYPE=QTR_STD&amp;window=popup_no_bar&amp;width=385&amp;height=120&amp;START_MAXIMIZED=FALSE&amp;creator=factset&amp;display_string=Audit"}</definedName>
    <definedName name="_811__FDSAUDITLINK__" hidden="1">{"fdsup://Directions/FactSet Auditing Viewer?action=AUDIT_VALUE&amp;DB=129&amp;ID1=00289620&amp;VALUEID=13040&amp;SDATE=200601&amp;PERIODTYPE=QTR_STD&amp;window=popup_no_bar&amp;width=385&amp;height=120&amp;START_MAXIMIZED=FALSE&amp;creator=factset&amp;display_string=Audit"}</definedName>
    <definedName name="_812__FDSAUDITLINK__" hidden="1">{"fdsup://directions/FAT Viewer?action=UPDATE&amp;creator=factset&amp;DYN_ARGS=TRUE&amp;DOC_NAME=FAT:FQL_AUDITING_CLIENT_TEMPLATE.FAT&amp;display_string=Audit&amp;VAR:KEY=NKDWDYVSJA&amp;VAR:QUERY=RkZfUlRfU0ZfVE9UX0dST1NTKFFUUiwtMTcp&amp;WINDOW=FIRST_POPUP&amp;HEIGHT=450&amp;WIDTH=450&amp;START_MA","XIMIZED=FALSE&amp;VAR:CALENDAR=US&amp;VAR:SYMBOL=TLB&amp;VAR:INDEX=0"}</definedName>
    <definedName name="_813__FDSAUDITLINK__" hidden="1">{"fdsup://directions/FAT Viewer?action=UPDATE&amp;creator=factset&amp;DYN_ARGS=TRUE&amp;DOC_NAME=FAT:FQL_AUDITING_CLIENT_TEMPLATE.FAT&amp;display_string=Audit&amp;VAR:KEY=DEZSPEHMVA&amp;VAR:QUERY=RkZfUlRfU0ZfVE9UX0dST1NTKFFUUiwtMTcp&amp;WINDOW=FIRST_POPUP&amp;HEIGHT=450&amp;WIDTH=450&amp;START_MA","XIMIZED=FALSE&amp;VAR:CALENDAR=US&amp;VAR:SYMBOL=AEO&amp;VAR:INDEX=0"}</definedName>
    <definedName name="_814__FDSAUDITLINK__" hidden="1">{"fdsup://directions/FAT Viewer?action=UPDATE&amp;creator=factset&amp;DYN_ARGS=TRUE&amp;DOC_NAME=FAT:FQL_AUDITING_CLIENT_TEMPLATE.FAT&amp;display_string=Audit&amp;VAR:KEY=TURKDOPIZG&amp;VAR:QUERY=RkZfUlRfU0ZfVE9UX0dST1NTKFFUUiwtMTgp&amp;WINDOW=FIRST_POPUP&amp;HEIGHT=450&amp;WIDTH=450&amp;START_MA","XIMIZED=FALSE&amp;VAR:CALENDAR=US&amp;VAR:SYMBOL=TLB&amp;VAR:INDEX=0"}</definedName>
    <definedName name="_815__FDSAUDITLINK__" hidden="1">{"fdsup://Directions/FactSet Auditing Viewer?action=AUDIT_VALUE&amp;DB=129&amp;ID1=03611510&amp;VALUEID=13040&amp;SDATE=200503&amp;PERIODTYPE=QTR_STD&amp;window=popup_no_bar&amp;width=385&amp;height=120&amp;START_MAXIMIZED=FALSE&amp;creator=factset&amp;display_string=Audit"}</definedName>
    <definedName name="_816__FDSAUDITLINK__" hidden="1">{"fdsup://directions/FAT Viewer?action=UPDATE&amp;creator=factset&amp;DYN_ARGS=TRUE&amp;DOC_NAME=FAT:FQL_AUDITING_CLIENT_TEMPLATE.FAT&amp;display_string=Audit&amp;VAR:KEY=NUJIDQTCDM&amp;VAR:QUERY=RkZfUlRfU0ZfVE9UX0dST1NTKFFUUiwtMTgp&amp;WINDOW=FIRST_POPUP&amp;HEIGHT=450&amp;WIDTH=450&amp;START_MA","XIMIZED=FALSE&amp;VAR:CALENDAR=US&amp;VAR:SYMBOL=AEO&amp;VAR:INDEX=0"}</definedName>
    <definedName name="_817__FDSAUDITLINK__" hidden="1">{"fdsup://directions/FAT Viewer?action=UPDATE&amp;creator=factset&amp;DYN_ARGS=TRUE&amp;DOC_NAME=FAT:FQL_AUDITING_CLIENT_TEMPLATE.FAT&amp;display_string=Audit&amp;VAR:KEY=HIHSXILWDI&amp;VAR:QUERY=RkZfUlRfU0ZfVE9UX0dST1NTKFFUUiwtMTkp&amp;WINDOW=FIRST_POPUP&amp;HEIGHT=450&amp;WIDTH=450&amp;START_MA","XIMIZED=FALSE&amp;VAR:CALENDAR=US&amp;VAR:SYMBOL=TLB&amp;VAR:INDEX=0"}</definedName>
    <definedName name="_818__FDSAUDITLINK__" hidden="1">{"fdsup://Directions/FactSet Auditing Viewer?action=AUDIT_VALUE&amp;DB=129&amp;ID1=03611510&amp;VALUEID=13040&amp;SDATE=200502&amp;PERIODTYPE=QTR_STD&amp;window=popup_no_bar&amp;width=385&amp;height=120&amp;START_MAXIMIZED=FALSE&amp;creator=factset&amp;display_string=Audit"}</definedName>
    <definedName name="_819__FDSAUDITLINK__" hidden="1">{"fdsup://directions/FAT Viewer?action=UPDATE&amp;creator=factset&amp;DYN_ARGS=TRUE&amp;DOC_NAME=FAT:FQL_AUDITING_CLIENT_TEMPLATE.FAT&amp;display_string=Audit&amp;VAR:KEY=BKDCTGPMZY&amp;VAR:QUERY=RkZfUlRfU0ZfVE9UX0dST1NTKFFUUiwtMTkp&amp;WINDOW=FIRST_POPUP&amp;HEIGHT=450&amp;WIDTH=450&amp;START_MA","XIMIZED=FALSE&amp;VAR:CALENDAR=US&amp;VAR:SYMBOL=AEO&amp;VAR:INDEX=0"}</definedName>
    <definedName name="_82__FDSAUDITLINK__" hidden="1">{"fdsup://Directions/FactSet Auditing Viewer?action=AUDIT_VALUE&amp;DB=129&amp;ID1=00786510&amp;VALUEID=13040&amp;SDATE=200902&amp;PERIODTYPE=QTR_STD&amp;window=popup_no_bar&amp;width=385&amp;height=120&amp;START_MAXIMIZED=FALSE&amp;creator=factset&amp;display_string=Audit"}</definedName>
    <definedName name="_820__FDSAUDITLINK__" hidden="1">{"fdsup://directions/FAT Viewer?action=UPDATE&amp;creator=factset&amp;DYN_ARGS=TRUE&amp;DOC_NAME=FAT:FQL_AUDITING_CLIENT_TEMPLATE.FAT&amp;display_string=Audit&amp;VAR:KEY=VABGPMHULC&amp;VAR:QUERY=RkZfUlRfU0ZfVE9UX0dST1NTKFFUUiwtMjAp&amp;WINDOW=FIRST_POPUP&amp;HEIGHT=450&amp;WIDTH=450&amp;START_MA","XIMIZED=FALSE&amp;VAR:CALENDAR=US&amp;VAR:SYMBOL=TLB&amp;VAR:INDEX=0"}</definedName>
    <definedName name="_821__FDSAUDITLINK__" hidden="1">{"fdsup://Directions/FactSet Auditing Viewer?action=AUDIT_VALUE&amp;DB=129&amp;ID1=03611510&amp;VALUEID=13040&amp;SDATE=200501&amp;PERIODTYPE=QTR_STD&amp;window=popup_no_bar&amp;width=385&amp;height=120&amp;START_MAXIMIZED=FALSE&amp;creator=factset&amp;display_string=Audit"}</definedName>
    <definedName name="_822__FDSAUDITLINK__" hidden="1">{"fdsup://directions/FAT Viewer?action=UPDATE&amp;creator=factset&amp;DYN_ARGS=TRUE&amp;DOC_NAME=FAT:FQL_AUDITING_CLIENT_TEMPLATE.FAT&amp;display_string=Audit&amp;VAR:KEY=VMROTQVYPS&amp;VAR:QUERY=RkZfUlRfU0ZfVE9UX0dST1NTKFFUUiwtMjAp&amp;WINDOW=FIRST_POPUP&amp;HEIGHT=450&amp;WIDTH=450&amp;START_MA","XIMIZED=FALSE&amp;VAR:CALENDAR=US&amp;VAR:SYMBOL=AEO&amp;VAR:INDEX=0"}</definedName>
    <definedName name="_823__FDSAUDITLINK__" hidden="1">{"fdsup://Directions/FactSet Auditing Viewer?action=AUDIT_VALUE&amp;DB=129&amp;ID1=16890510&amp;VALUEID=13040&amp;SDATE=200602&amp;PERIODTYPE=QTR_STD&amp;window=popup_no_bar&amp;width=385&amp;height=120&amp;START_MAXIMIZED=FALSE&amp;creator=factset&amp;display_string=Audit"}</definedName>
    <definedName name="_824__FDSAUDITLINK__" hidden="1">{"fdsup://Directions/FactSet Auditing Viewer?action=AUDIT_VALUE&amp;DB=129&amp;ID1=16890510&amp;VALUEID=13040&amp;SDATE=200601&amp;PERIODTYPE=QTR_STD&amp;window=popup_no_bar&amp;width=385&amp;height=120&amp;START_MAXIMIZED=FALSE&amp;creator=factset&amp;display_string=Audit"}</definedName>
    <definedName name="_825__FDSAUDITLINK__" hidden="1">{"fdsup://Directions/FactSet Auditing Viewer?action=AUDIT_VALUE&amp;DB=129&amp;ID1=16890510&amp;VALUEID=13040&amp;SDATE=200603&amp;PERIODTYPE=QTR_STD&amp;window=popup_no_bar&amp;width=385&amp;height=120&amp;START_MAXIMIZED=FALSE&amp;creator=factset&amp;display_string=Audit"}</definedName>
    <definedName name="_826__FDSAUDITLINK__" hidden="1">{"fdsup://Directions/FactSet Auditing Viewer?action=AUDIT_VALUE&amp;DB=129&amp;ID1=16890510&amp;VALUEID=13040&amp;SDATE=200702&amp;PERIODTYPE=QTR_STD&amp;window=popup_no_bar&amp;width=385&amp;height=120&amp;START_MAXIMIZED=FALSE&amp;creator=factset&amp;display_string=Audit"}</definedName>
    <definedName name="_827__FDSAUDITLINK__" hidden="1">{"fdsup://Directions/FactSet Auditing Viewer?action=AUDIT_VALUE&amp;DB=129&amp;ID1=16890510&amp;VALUEID=13040&amp;SDATE=200701&amp;PERIODTYPE=QTR_STD&amp;window=popup_no_bar&amp;width=385&amp;height=120&amp;START_MAXIMIZED=FALSE&amp;creator=factset&amp;display_string=Audit"}</definedName>
    <definedName name="_828__FDSAUDITLINK__" hidden="1">{"fdsup://Directions/FactSet Auditing Viewer?action=AUDIT_VALUE&amp;DB=129&amp;ID1=16890510&amp;VALUEID=13040&amp;SDATE=200703&amp;PERIODTYPE=QTR_STD&amp;window=popup_no_bar&amp;width=385&amp;height=120&amp;START_MAXIMIZED=FALSE&amp;creator=factset&amp;display_string=Audit"}</definedName>
    <definedName name="_829__FDSAUDITLINK__" hidden="1">{"fdsup://Directions/FactSet Auditing Viewer?action=AUDIT_VALUE&amp;DB=129&amp;ID1=16890510&amp;VALUEID=13040&amp;SDATE=200802&amp;PERIODTYPE=QTR_STD&amp;window=popup_no_bar&amp;width=385&amp;height=120&amp;START_MAXIMIZED=FALSE&amp;creator=factset&amp;display_string=Audit"}</definedName>
    <definedName name="_83__FDSAUDITLINK__" hidden="1">{"fdsup://Directions/FactSet Auditing Viewer?action=AUDIT_VALUE&amp;DB=129&amp;ID1=00289620&amp;VALUEID=02101&amp;SDATE=200902&amp;PERIODTYPE=QTR_STD&amp;window=popup_no_bar&amp;width=385&amp;height=120&amp;START_MAXIMIZED=FALSE&amp;creator=factset&amp;display_string=Audit"}</definedName>
    <definedName name="_830__FDSAUDITLINK__" hidden="1">{"fdsup://Directions/FactSet Auditing Viewer?action=AUDIT_VALUE&amp;DB=129&amp;ID1=16890510&amp;VALUEID=13040&amp;SDATE=200801&amp;PERIODTYPE=QTR_STD&amp;window=popup_no_bar&amp;width=385&amp;height=120&amp;START_MAXIMIZED=FALSE&amp;creator=factset&amp;display_string=Audit"}</definedName>
    <definedName name="_831__FDSAUDITLINK__" hidden="1">{"fdsup://Directions/FactSet Auditing Viewer?action=AUDIT_VALUE&amp;DB=129&amp;ID1=16890510&amp;VALUEID=13040&amp;SDATE=200803&amp;PERIODTYPE=QTR_STD&amp;window=popup_no_bar&amp;width=385&amp;height=120&amp;START_MAXIMIZED=FALSE&amp;creator=factset&amp;display_string=Audit"}</definedName>
    <definedName name="_832__FDSAUDITLINK__" hidden="1">{"fdsup://Directions/FactSet Auditing Viewer?action=AUDIT_VALUE&amp;DB=129&amp;ID1=16890510&amp;VALUEID=13040&amp;SDATE=200902&amp;PERIODTYPE=QTR_STD&amp;window=popup_no_bar&amp;width=385&amp;height=120&amp;START_MAXIMIZED=FALSE&amp;creator=factset&amp;display_string=Audit"}</definedName>
    <definedName name="_833__FDSAUDITLINK__" hidden="1">{"fdsup://Directions/FactSet Auditing Viewer?action=AUDIT_VALUE&amp;DB=129&amp;ID1=16890510&amp;VALUEID=13040&amp;SDATE=200903&amp;PERIODTYPE=QTR_STD&amp;window=popup_no_bar&amp;width=385&amp;height=120&amp;START_MAXIMIZED=FALSE&amp;creator=factset&amp;display_string=Audit"}</definedName>
    <definedName name="_834__FDSAUDITLINK__" hidden="1">{"fdsup://Directions/FactSet Auditing Viewer?action=AUDIT_VALUE&amp;DB=129&amp;ID1=16890510&amp;VALUEID=13040&amp;SDATE=201001&amp;PERIODTYPE=QTR_STD&amp;window=popup_no_bar&amp;width=385&amp;height=120&amp;START_MAXIMIZED=FALSE&amp;creator=factset&amp;display_string=Audit"}</definedName>
    <definedName name="_835__FDSAUDITLINK__" hidden="1">{"fdsup://Directions/FactSet Auditing Viewer?action=AUDIT_VALUE&amp;DB=129&amp;ID1=87416110&amp;VALUEID=01001&amp;SDATE=201001&amp;PERIODTYPE=QTR_STD&amp;window=popup_no_bar&amp;width=385&amp;height=120&amp;START_MAXIMIZED=FALSE&amp;creator=factset&amp;display_string=Audit"}</definedName>
    <definedName name="_836__FDSAUDITLINK__" hidden="1">{"fdsup://Directions/FactSet Auditing Viewer?action=AUDIT_VALUE&amp;DB=129&amp;ID1=46612H40&amp;VALUEID=01001&amp;SDATE=201001&amp;PERIODTYPE=QTR_STD&amp;window=popup_no_bar&amp;width=385&amp;height=120&amp;START_MAXIMIZED=FALSE&amp;creator=factset&amp;display_string=Audit"}</definedName>
    <definedName name="_837__FDSAUDITLINK__" hidden="1">{"fdsup://Directions/FactSet Auditing Viewer?action=AUDIT_VALUE&amp;DB=129&amp;ID1=03611510&amp;VALUEID=01001&amp;SDATE=201001&amp;PERIODTYPE=QTR_STD&amp;window=popup_no_bar&amp;width=385&amp;height=120&amp;START_MAXIMIZED=FALSE&amp;creator=factset&amp;display_string=Audit"}</definedName>
    <definedName name="_838__FDSAUDITLINK__" hidden="1">{"fdsup://Directions/FactSet Auditing Viewer?action=AUDIT_VALUE&amp;DB=129&amp;ID1=16890510&amp;VALUEID=01001&amp;SDATE=201001&amp;PERIODTYPE=QTR_STD&amp;window=popup_no_bar&amp;width=385&amp;height=120&amp;START_MAXIMIZED=FALSE&amp;creator=factset&amp;display_string=Audit"}</definedName>
    <definedName name="_839__FDSAUDITLINK__" hidden="1">{"fdsup://Directions/FactSet Auditing Viewer?action=AUDIT_VALUE&amp;DB=129&amp;ID1=91704710&amp;VALUEID=01001&amp;SDATE=201001&amp;PERIODTYPE=QTR_STD&amp;window=popup_no_bar&amp;width=385&amp;height=120&amp;START_MAXIMIZED=FALSE&amp;creator=factset&amp;display_string=Audit"}</definedName>
    <definedName name="_84__FDSAUDITLINK__" hidden="1">{"fdsup://Directions/FactSet Auditing Viewer?action=AUDIT_VALUE&amp;DB=129&amp;ID1=00289620&amp;VALUEID=01001&amp;SDATE=200902&amp;PERIODTYPE=QTR_STD&amp;window=popup_no_bar&amp;width=385&amp;height=120&amp;START_MAXIMIZED=FALSE&amp;creator=factset&amp;display_string=Audit"}</definedName>
    <definedName name="_840__FDSAUDITLINK__" hidden="1">{"fdsup://Directions/FactSet Auditing Viewer?action=AUDIT_VALUE&amp;DB=129&amp;ID1=02553E10&amp;VALUEID=01001&amp;SDATE=201001&amp;PERIODTYPE=QTR_STD&amp;window=popup_no_bar&amp;width=385&amp;height=120&amp;START_MAXIMIZED=FALSE&amp;creator=factset&amp;display_string=Audit"}</definedName>
    <definedName name="_841__FDSAUDITLINK__" hidden="1">{"fdsup://Directions/FactSet Auditing Viewer?action=AUDIT_VALUE&amp;DB=129&amp;ID1=00786510&amp;VALUEID=01001&amp;SDATE=201001&amp;PERIODTYPE=QTR_STD&amp;window=popup_no_bar&amp;width=385&amp;height=120&amp;START_MAXIMIZED=FALSE&amp;creator=factset&amp;display_string=Audit"}</definedName>
    <definedName name="_842__FDSAUDITLINK__" hidden="1">{"fdsup://Directions/FactSet Auditing Viewer?action=AUDIT_VALUE&amp;DB=129&amp;ID1=00289620&amp;VALUEID=01001&amp;SDATE=201001&amp;PERIODTYPE=QTR_STD&amp;window=popup_no_bar&amp;width=385&amp;height=120&amp;START_MAXIMIZED=FALSE&amp;creator=factset&amp;display_string=Audit"}</definedName>
    <definedName name="_843__FDSAUDITLINK__" hidden="1">{"fdsup://Directions/FactSet Auditing Viewer?action=AUDIT_VALUE&amp;DB=129&amp;ID1=53271610&amp;VALUEID=01001&amp;SDATE=201001&amp;PERIODTYPE=QTR_STD&amp;window=popup_no_bar&amp;width=385&amp;height=120&amp;START_MAXIMIZED=FALSE&amp;creator=factset&amp;display_string=Audit"}</definedName>
    <definedName name="_844__FDSAUDITLINK__" hidden="1">{"fdsup://Directions/FactSet Auditing Viewer?action=AUDIT_VALUE&amp;DB=129&amp;ID1=36476010&amp;VALUEID=01001&amp;SDATE=201001&amp;PERIODTYPE=QTR_STD&amp;window=popup_no_bar&amp;width=385&amp;height=120&amp;START_MAXIMIZED=FALSE&amp;creator=factset&amp;display_string=Audit"}</definedName>
    <definedName name="_845__FDSAUDITLINK__" hidden="1">{"fdsup://Directions/FactSet Auditing Viewer?action=AUDIT_VALUE&amp;DB=129&amp;ID1=40377710&amp;VALUEID=01001&amp;SDATE=200601&amp;PERIODTYPE=QTR_STD&amp;window=popup_no_bar&amp;width=385&amp;height=120&amp;START_MAXIMIZED=FALSE&amp;creator=factset&amp;display_string=Audit"}</definedName>
    <definedName name="_846__FDSAUDITLINK__" hidden="1">{"fdsup://Directions/FactSet Auditing Viewer?action=AUDIT_VALUE&amp;DB=129&amp;ID1=40377710&amp;VALUEID=02101&amp;SDATE=200601&amp;PERIODTYPE=QTR_STD&amp;window=popup_no_bar&amp;width=385&amp;height=120&amp;START_MAXIMIZED=FALSE&amp;creator=factset&amp;display_string=Audit"}</definedName>
    <definedName name="_847__FDSAUDITLINK__" hidden="1">{"fdsup://Directions/FactSet Auditing Viewer?action=AUDIT_VALUE&amp;DB=129&amp;ID1=40377710&amp;VALUEID=13040&amp;SDATE=200601&amp;PERIODTYPE=QTR_STD&amp;window=popup_no_bar&amp;width=385&amp;height=120&amp;START_MAXIMIZED=FALSE&amp;creator=factset&amp;display_string=Audit"}</definedName>
    <definedName name="_848__FDSAUDITLINK__" hidden="1">{"fdsup://Directions/FactSet Auditing Viewer?action=AUDIT_VALUE&amp;DB=129&amp;ID1=40377710&amp;VALUEID=13040&amp;SDATE=200602&amp;PERIODTYPE=QTR_STD&amp;window=popup_no_bar&amp;width=385&amp;height=120&amp;START_MAXIMIZED=FALSE&amp;creator=factset&amp;display_string=Audit"}</definedName>
    <definedName name="_849__FDSAUDITLINK__" hidden="1">{"fdsup://Directions/FactSet Auditing Viewer?action=AUDIT_VALUE&amp;DB=129&amp;ID1=40377710&amp;VALUEID=01001&amp;SDATE=200602&amp;PERIODTYPE=QTR_STD&amp;window=popup_no_bar&amp;width=385&amp;height=120&amp;START_MAXIMIZED=FALSE&amp;creator=factset&amp;display_string=Audit"}</definedName>
    <definedName name="_85__FDSAUDITLINK__" hidden="1">{"fdsup://Directions/FactSet Auditing Viewer?action=AUDIT_VALUE&amp;DB=129&amp;ID1=00289620&amp;VALUEID=13040&amp;SDATE=200902&amp;PERIODTYPE=QTR_STD&amp;window=popup_no_bar&amp;width=385&amp;height=120&amp;START_MAXIMIZED=FALSE&amp;creator=factset&amp;display_string=Audit"}</definedName>
    <definedName name="_850__FDSAUDITLINK__" hidden="1">{"fdsup://Directions/FactSet Auditing Viewer?action=AUDIT_VALUE&amp;DB=129&amp;ID1=40377710&amp;VALUEID=02101&amp;SDATE=200602&amp;PERIODTYPE=QTR_STD&amp;window=popup_no_bar&amp;width=385&amp;height=120&amp;START_MAXIMIZED=FALSE&amp;creator=factset&amp;display_string=Audit"}</definedName>
    <definedName name="_851__FDSAUDITLINK__" hidden="1">{"fdsup://Directions/FactSet Auditing Viewer?action=AUDIT_VALUE&amp;DB=129&amp;ID1=40377710&amp;VALUEID=13040&amp;SDATE=200603&amp;PERIODTYPE=QTR_STD&amp;window=popup_no_bar&amp;width=385&amp;height=120&amp;START_MAXIMIZED=FALSE&amp;creator=factset&amp;display_string=Audit"}</definedName>
    <definedName name="_852__FDSAUDITLINK__" hidden="1">{"fdsup://Directions/FactSet Auditing Viewer?action=AUDIT_VALUE&amp;DB=129&amp;ID1=40377710&amp;VALUEID=01001&amp;SDATE=200603&amp;PERIODTYPE=QTR_STD&amp;window=popup_no_bar&amp;width=385&amp;height=120&amp;START_MAXIMIZED=FALSE&amp;creator=factset&amp;display_string=Audit"}</definedName>
    <definedName name="_853__FDSAUDITLINK__" hidden="1">{"fdsup://Directions/FactSet Auditing Viewer?action=AUDIT_VALUE&amp;DB=129&amp;ID1=40377710&amp;VALUEID=02101&amp;SDATE=200603&amp;PERIODTYPE=QTR_STD&amp;window=popup_no_bar&amp;width=385&amp;height=120&amp;START_MAXIMIZED=FALSE&amp;creator=factset&amp;display_string=Audit"}</definedName>
    <definedName name="_854__FDSAUDITLINK__" hidden="1">{"fdsup://Directions/FactSet Auditing Viewer?action=AUDIT_VALUE&amp;DB=129&amp;ID1=40377710&amp;VALUEID=01001&amp;SDATE=200604&amp;PERIODTYPE=QTR_STD&amp;window=popup_no_bar&amp;width=385&amp;height=120&amp;START_MAXIMIZED=FALSE&amp;creator=factset&amp;display_string=Audit"}</definedName>
    <definedName name="_855__FDSAUDITLINK__" hidden="1">{"fdsup://Directions/FactSet Auditing Viewer?action=AUDIT_VALUE&amp;DB=129&amp;ID1=40377710&amp;VALUEID=01001&amp;SDATE=200701&amp;PERIODTYPE=QTR_STD&amp;window=popup_no_bar&amp;width=385&amp;height=120&amp;START_MAXIMIZED=FALSE&amp;creator=factset&amp;display_string=Audit"}</definedName>
    <definedName name="_856__FDSAUDITLINK__" hidden="1">{"fdsup://Directions/FactSet Auditing Viewer?action=AUDIT_VALUE&amp;DB=129&amp;ID1=40377710&amp;VALUEID=02101&amp;SDATE=200701&amp;PERIODTYPE=QTR_STD&amp;window=popup_no_bar&amp;width=385&amp;height=120&amp;START_MAXIMIZED=FALSE&amp;creator=factset&amp;display_string=Audit"}</definedName>
    <definedName name="_857__FDSAUDITLINK__" hidden="1">{"fdsup://Directions/FactSet Auditing Viewer?action=AUDIT_VALUE&amp;DB=129&amp;ID1=40377710&amp;VALUEID=13040&amp;SDATE=200701&amp;PERIODTYPE=QTR_STD&amp;window=popup_no_bar&amp;width=385&amp;height=120&amp;START_MAXIMIZED=FALSE&amp;creator=factset&amp;display_string=Audit"}</definedName>
    <definedName name="_858__FDSAUDITLINK__" hidden="1">{"fdsup://Directions/FactSet Auditing Viewer?action=AUDIT_VALUE&amp;DB=129&amp;ID1=40377710&amp;VALUEID=13040&amp;SDATE=200702&amp;PERIODTYPE=QTR_STD&amp;window=popup_no_bar&amp;width=385&amp;height=120&amp;START_MAXIMIZED=FALSE&amp;creator=factset&amp;display_string=Audit"}</definedName>
    <definedName name="_859__FDSAUDITLINK__" hidden="1">{"fdsup://Directions/FactSet Auditing Viewer?action=AUDIT_VALUE&amp;DB=129&amp;ID1=40377710&amp;VALUEID=01001&amp;SDATE=200702&amp;PERIODTYPE=QTR_STD&amp;window=popup_no_bar&amp;width=385&amp;height=120&amp;START_MAXIMIZED=FALSE&amp;creator=factset&amp;display_string=Audit"}</definedName>
    <definedName name="_86__FDSAUDITLINK__" hidden="1">{"fdsup://Directions/FactSet Auditing Viewer?action=AUDIT_VALUE&amp;DB=129&amp;ID1=87416110&amp;VALUEID=02101&amp;SDATE=200901&amp;PERIODTYPE=QTR_STD&amp;window=popup_no_bar&amp;width=385&amp;height=120&amp;START_MAXIMIZED=FALSE&amp;creator=factset&amp;display_string=Audit"}</definedName>
    <definedName name="_860__FDSAUDITLINK__" hidden="1">{"fdsup://Directions/FactSet Auditing Viewer?action=AUDIT_VALUE&amp;DB=129&amp;ID1=40377710&amp;VALUEID=02101&amp;SDATE=200702&amp;PERIODTYPE=QTR_STD&amp;window=popup_no_bar&amp;width=385&amp;height=120&amp;START_MAXIMIZED=FALSE&amp;creator=factset&amp;display_string=Audit"}</definedName>
    <definedName name="_861__FDSAUDITLINK__" hidden="1">{"fdsup://Directions/FactSet Auditing Viewer?action=AUDIT_VALUE&amp;DB=129&amp;ID1=40377710&amp;VALUEID=13040&amp;SDATE=200703&amp;PERIODTYPE=QTR_STD&amp;window=popup_no_bar&amp;width=385&amp;height=120&amp;START_MAXIMIZED=FALSE&amp;creator=factset&amp;display_string=Audit"}</definedName>
    <definedName name="_862__FDSAUDITLINK__" hidden="1">{"fdsup://Directions/FactSet Auditing Viewer?action=AUDIT_VALUE&amp;DB=129&amp;ID1=40377710&amp;VALUEID=01001&amp;SDATE=200703&amp;PERIODTYPE=QTR_STD&amp;window=popup_no_bar&amp;width=385&amp;height=120&amp;START_MAXIMIZED=FALSE&amp;creator=factset&amp;display_string=Audit"}</definedName>
    <definedName name="_863__FDSAUDITLINK__" hidden="1">{"fdsup://Directions/FactSet Auditing Viewer?action=AUDIT_VALUE&amp;DB=129&amp;ID1=40377710&amp;VALUEID=02101&amp;SDATE=200703&amp;PERIODTYPE=QTR_STD&amp;window=popup_no_bar&amp;width=385&amp;height=120&amp;START_MAXIMIZED=FALSE&amp;creator=factset&amp;display_string=Audit"}</definedName>
    <definedName name="_864__FDSAUDITLINK__" hidden="1">{"fdsup://Directions/FactSet Auditing Viewer?action=AUDIT_VALUE&amp;DB=129&amp;ID1=40377710&amp;VALUEID=01001&amp;SDATE=200704&amp;PERIODTYPE=QTR_STD&amp;window=popup_no_bar&amp;width=385&amp;height=120&amp;START_MAXIMIZED=FALSE&amp;creator=factset&amp;display_string=Audit"}</definedName>
    <definedName name="_865__FDSAUDITLINK__" hidden="1">{"fdsup://Directions/FactSet Auditing Viewer?action=AUDIT_VALUE&amp;DB=129&amp;ID1=40377710&amp;VALUEID=01001&amp;SDATE=200801&amp;PERIODTYPE=QTR_STD&amp;window=popup_no_bar&amp;width=385&amp;height=120&amp;START_MAXIMIZED=FALSE&amp;creator=factset&amp;display_string=Audit"}</definedName>
    <definedName name="_866__FDSAUDITLINK__" hidden="1">{"fdsup://Directions/FactSet Auditing Viewer?action=AUDIT_VALUE&amp;DB=129&amp;ID1=40377710&amp;VALUEID=02101&amp;SDATE=200801&amp;PERIODTYPE=QTR_STD&amp;window=popup_no_bar&amp;width=385&amp;height=120&amp;START_MAXIMIZED=FALSE&amp;creator=factset&amp;display_string=Audit"}</definedName>
    <definedName name="_867__FDSAUDITLINK__" hidden="1">{"fdsup://Directions/FactSet Auditing Viewer?action=AUDIT_VALUE&amp;DB=129&amp;ID1=40377710&amp;VALUEID=13040&amp;SDATE=200801&amp;PERIODTYPE=QTR_STD&amp;window=popup_no_bar&amp;width=385&amp;height=120&amp;START_MAXIMIZED=FALSE&amp;creator=factset&amp;display_string=Audit"}</definedName>
    <definedName name="_868__FDSAUDITLINK__" hidden="1">{"fdsup://Directions/FactSet Auditing Viewer?action=AUDIT_VALUE&amp;DB=129&amp;ID1=40377710&amp;VALUEID=13040&amp;SDATE=200704&amp;PERIODTYPE=QTR_STD&amp;window=popup_no_bar&amp;width=385&amp;height=120&amp;START_MAXIMIZED=FALSE&amp;creator=factset&amp;display_string=Audit"}</definedName>
    <definedName name="_869__FDSAUDITLINK__" hidden="1">{"fdsup://Directions/FactSet Auditing Viewer?action=AUDIT_VALUE&amp;DB=129&amp;ID1=40377710&amp;VALUEID=13040&amp;SDATE=200802&amp;PERIODTYPE=QTR_STD&amp;window=popup_no_bar&amp;width=385&amp;height=120&amp;START_MAXIMIZED=FALSE&amp;creator=factset&amp;display_string=Audit"}</definedName>
    <definedName name="_87__FDSAUDITLINK__" hidden="1">{"fdsup://Directions/FactSet Auditing Viewer?action=AUDIT_VALUE&amp;DB=129&amp;ID1=87416110&amp;VALUEID=01001&amp;SDATE=200901&amp;PERIODTYPE=QTR_STD&amp;window=popup_no_bar&amp;width=385&amp;height=120&amp;START_MAXIMIZED=FALSE&amp;creator=factset&amp;display_string=Audit"}</definedName>
    <definedName name="_870__FDSAUDITLINK__" hidden="1">{"fdsup://Directions/FactSet Auditing Viewer?action=AUDIT_VALUE&amp;DB=129&amp;ID1=40377710&amp;VALUEID=01001&amp;SDATE=200802&amp;PERIODTYPE=QTR_STD&amp;window=popup_no_bar&amp;width=385&amp;height=120&amp;START_MAXIMIZED=FALSE&amp;creator=factset&amp;display_string=Audit"}</definedName>
    <definedName name="_871__FDSAUDITLINK__" hidden="1">{"fdsup://Directions/FactSet Auditing Viewer?action=AUDIT_VALUE&amp;DB=129&amp;ID1=40377710&amp;VALUEID=02101&amp;SDATE=200802&amp;PERIODTYPE=QTR_STD&amp;window=popup_no_bar&amp;width=385&amp;height=120&amp;START_MAXIMIZED=FALSE&amp;creator=factset&amp;display_string=Audit"}</definedName>
    <definedName name="_872__FDSAUDITLINK__" hidden="1">{"fdsup://Directions/FactSet Auditing Viewer?action=AUDIT_VALUE&amp;DB=129&amp;ID1=40377710&amp;VALUEID=13040&amp;SDATE=200803&amp;PERIODTYPE=QTR_STD&amp;window=popup_no_bar&amp;width=385&amp;height=120&amp;START_MAXIMIZED=FALSE&amp;creator=factset&amp;display_string=Audit"}</definedName>
    <definedName name="_873__FDSAUDITLINK__" hidden="1">{"fdsup://Directions/FactSet Auditing Viewer?action=AUDIT_VALUE&amp;DB=129&amp;ID1=40377710&amp;VALUEID=01001&amp;SDATE=200803&amp;PERIODTYPE=QTR_STD&amp;window=popup_no_bar&amp;width=385&amp;height=120&amp;START_MAXIMIZED=FALSE&amp;creator=factset&amp;display_string=Audit"}</definedName>
    <definedName name="_874__FDSAUDITLINK__" hidden="1">{"fdsup://Directions/FactSet Auditing Viewer?action=AUDIT_VALUE&amp;DB=129&amp;ID1=40377710&amp;VALUEID=02101&amp;SDATE=200803&amp;PERIODTYPE=QTR_STD&amp;window=popup_no_bar&amp;width=385&amp;height=120&amp;START_MAXIMIZED=FALSE&amp;creator=factset&amp;display_string=Audit"}</definedName>
    <definedName name="_875__FDSAUDITLINK__" hidden="1">{"fdsup://Directions/FactSet Auditing Viewer?action=AUDIT_VALUE&amp;DB=129&amp;ID1=40377710&amp;VALUEID=01001&amp;SDATE=200804&amp;PERIODTYPE=QTR_STD&amp;window=popup_no_bar&amp;width=385&amp;height=120&amp;START_MAXIMIZED=FALSE&amp;creator=factset&amp;display_string=Audit"}</definedName>
    <definedName name="_876__FDSAUDITLINK__" hidden="1">{"fdsup://Directions/FactSet Auditing Viewer?action=AUDIT_VALUE&amp;DB=129&amp;ID1=40377710&amp;VALUEID=01001&amp;SDATE=200901&amp;PERIODTYPE=QTR_STD&amp;window=popup_no_bar&amp;width=385&amp;height=120&amp;START_MAXIMIZED=FALSE&amp;creator=factset&amp;display_string=Audit"}</definedName>
    <definedName name="_877__FDSAUDITLINK__" hidden="1">{"fdsup://Directions/FactSet Auditing Viewer?action=AUDIT_VALUE&amp;DB=129&amp;ID1=40377710&amp;VALUEID=02101&amp;SDATE=200901&amp;PERIODTYPE=QTR_STD&amp;window=popup_no_bar&amp;width=385&amp;height=120&amp;START_MAXIMIZED=FALSE&amp;creator=factset&amp;display_string=Audit"}</definedName>
    <definedName name="_878__FDSAUDITLINK__" hidden="1">{"fdsup://Directions/FactSet Auditing Viewer?action=AUDIT_VALUE&amp;DB=129&amp;ID1=40377710&amp;VALUEID=13040&amp;SDATE=200901&amp;PERIODTYPE=QTR_STD&amp;window=popup_no_bar&amp;width=385&amp;height=120&amp;START_MAXIMIZED=FALSE&amp;creator=factset&amp;display_string=Audit"}</definedName>
    <definedName name="_879__FDSAUDITLINK__" hidden="1">{"fdsup://Directions/FactSet Auditing Viewer?action=AUDIT_VALUE&amp;DB=129&amp;ID1=40377710&amp;VALUEID=13040&amp;SDATE=200902&amp;PERIODTYPE=QTR_STD&amp;window=popup_no_bar&amp;width=385&amp;height=120&amp;START_MAXIMIZED=FALSE&amp;creator=factset&amp;display_string=Audit"}</definedName>
    <definedName name="_88__FDSAUDITLINK__" hidden="1">{"fdsup://Directions/FactSet Auditing Viewer?action=AUDIT_VALUE&amp;DB=129&amp;ID1=87416110&amp;VALUEID=13040&amp;SDATE=200901&amp;PERIODTYPE=QTR_STD&amp;window=popup_no_bar&amp;width=385&amp;height=120&amp;START_MAXIMIZED=FALSE&amp;creator=factset&amp;display_string=Audit"}</definedName>
    <definedName name="_880__FDSAUDITLINK__" hidden="1">{"fdsup://Directions/FactSet Auditing Viewer?action=AUDIT_VALUE&amp;DB=129&amp;ID1=40377710&amp;VALUEID=01001&amp;SDATE=200902&amp;PERIODTYPE=QTR_STD&amp;window=popup_no_bar&amp;width=385&amp;height=120&amp;START_MAXIMIZED=FALSE&amp;creator=factset&amp;display_string=Audit"}</definedName>
    <definedName name="_881__FDSAUDITLINK__" hidden="1">{"fdsup://Directions/FactSet Auditing Viewer?action=AUDIT_VALUE&amp;DB=129&amp;ID1=40377710&amp;VALUEID=02101&amp;SDATE=200902&amp;PERIODTYPE=QTR_STD&amp;window=popup_no_bar&amp;width=385&amp;height=120&amp;START_MAXIMIZED=FALSE&amp;creator=factset&amp;display_string=Audit"}</definedName>
    <definedName name="_882__FDSAUDITLINK__" hidden="1">{"fdsup://Directions/FactSet Auditing Viewer?action=AUDIT_VALUE&amp;DB=129&amp;ID1=40377710&amp;VALUEID=13040&amp;SDATE=200903&amp;PERIODTYPE=QTR_STD&amp;window=popup_no_bar&amp;width=385&amp;height=120&amp;START_MAXIMIZED=FALSE&amp;creator=factset&amp;display_string=Audit"}</definedName>
    <definedName name="_883__FDSAUDITLINK__" hidden="1">{"fdsup://Directions/FactSet Auditing Viewer?action=AUDIT_VALUE&amp;DB=129&amp;ID1=40377710&amp;VALUEID=01001&amp;SDATE=200903&amp;PERIODTYPE=QTR_STD&amp;window=popup_no_bar&amp;width=385&amp;height=120&amp;START_MAXIMIZED=FALSE&amp;creator=factset&amp;display_string=Audit"}</definedName>
    <definedName name="_884__FDSAUDITLINK__" hidden="1">{"fdsup://Directions/FactSet Auditing Viewer?action=AUDIT_VALUE&amp;DB=129&amp;ID1=40377710&amp;VALUEID=02101&amp;SDATE=200903&amp;PERIODTYPE=QTR_STD&amp;window=popup_no_bar&amp;width=385&amp;height=120&amp;START_MAXIMIZED=FALSE&amp;creator=factset&amp;display_string=Audit"}</definedName>
    <definedName name="_885__FDSAUDITLINK__" hidden="1">{"fdsup://Directions/FactSet Auditing Viewer?action=AUDIT_VALUE&amp;DB=129&amp;ID1=40377710&amp;VALUEID=01001&amp;SDATE=200904&amp;PERIODTYPE=QTR_STD&amp;window=popup_no_bar&amp;width=385&amp;height=120&amp;START_MAXIMIZED=FALSE&amp;creator=factset&amp;display_string=Audit"}</definedName>
    <definedName name="_886__FDSAUDITLINK__" hidden="1">{"fdsup://Directions/FactSet Auditing Viewer?action=AUDIT_VALUE&amp;DB=129&amp;ID1=40377710&amp;VALUEID=13040&amp;SDATE=201001&amp;PERIODTYPE=QTR_STD&amp;window=popup_no_bar&amp;width=385&amp;height=120&amp;START_MAXIMIZED=FALSE&amp;creator=factset&amp;display_string=Audit"}</definedName>
    <definedName name="_887__FDSAUDITLINK__" hidden="1">{"fdsup://Directions/FactSet Auditing Viewer?action=AUDIT_VALUE&amp;DB=129&amp;ID1=40377710&amp;VALUEID=01001&amp;SDATE=201001&amp;PERIODTYPE=QTR_STD&amp;window=popup_no_bar&amp;width=385&amp;height=120&amp;START_MAXIMIZED=FALSE&amp;creator=factset&amp;display_string=Audit"}</definedName>
    <definedName name="_888__FDSAUDITLINK__" hidden="1">{"fdsup://Directions/FactSet Auditing Viewer?action=AUDIT_VALUE&amp;DB=129&amp;ID1=40377710&amp;VALUEID=02101&amp;SDATE=201001&amp;PERIODTYPE=QTR_STD&amp;window=popup_no_bar&amp;width=385&amp;height=120&amp;START_MAXIMIZED=FALSE&amp;creator=factset&amp;display_string=Audit"}</definedName>
    <definedName name="_889__FDSAUDITLINK__" hidden="1">{"fdsup://Directions/FactSet Auditing Viewer?action=AUDIT_VALUE&amp;DB=129&amp;ID1=40377710&amp;VALUEID=13040&amp;SDATE=200601&amp;PERIODTYPE=QTR_STD&amp;window=popup_no_bar&amp;width=385&amp;height=120&amp;START_MAXIMIZED=FALSE&amp;creator=factset&amp;display_string=Audit"}</definedName>
    <definedName name="_89__FDSAUDITLINK__" hidden="1">{"fdsup://directions/FAT Viewer?action=UPDATE&amp;creator=factset&amp;DYN_ARGS=TRUE&amp;DOC_NAME=FAT:FQL_AUDITING_CLIENT_TEMPLATE.FAT&amp;display_string=Audit&amp;VAR:KEY=RSZCXYZEJW&amp;VAR:QUERY=RkZfUlRfU0ZfVE9UX0dST1NTKFFUUiwtNCk=&amp;WINDOW=FIRST_POPUP&amp;HEIGHT=450&amp;WIDTH=450&amp;START_MA","XIMIZED=FALSE&amp;VAR:CALENDAR=US&amp;VAR:SYMBOL=TLB&amp;VAR:INDEX=0"}</definedName>
    <definedName name="_890__FDSAUDITLINK__" hidden="1">{"fdsup://Directions/FactSet Auditing Viewer?action=AUDIT_VALUE&amp;DB=129&amp;ID1=40377710&amp;VALUEID=13040&amp;SDATE=200602&amp;PERIODTYPE=QTR_STD&amp;window=popup_no_bar&amp;width=385&amp;height=120&amp;START_MAXIMIZED=FALSE&amp;creator=factset&amp;display_string=Audit"}</definedName>
    <definedName name="_891__FDSAUDITLINK__" hidden="1">{"fdsup://Directions/FactSet Auditing Viewer?action=AUDIT_VALUE&amp;DB=129&amp;ID1=40377710&amp;VALUEID=13040&amp;SDATE=200603&amp;PERIODTYPE=QTR_STD&amp;window=popup_no_bar&amp;width=385&amp;height=120&amp;START_MAXIMIZED=FALSE&amp;creator=factset&amp;display_string=Audit"}</definedName>
    <definedName name="_892__FDSAUDITLINK__" hidden="1">{"fdsup://Directions/FactSet Auditing Viewer?action=AUDIT_VALUE&amp;DB=129&amp;ID1=40377710&amp;VALUEID=13040&amp;SDATE=200701&amp;PERIODTYPE=QTR_STD&amp;window=popup_no_bar&amp;width=385&amp;height=120&amp;START_MAXIMIZED=FALSE&amp;creator=factset&amp;display_string=Audit"}</definedName>
    <definedName name="_893__FDSAUDITLINK__" hidden="1">{"fdsup://Directions/FactSet Auditing Viewer?action=AUDIT_VALUE&amp;DB=129&amp;ID1=40377710&amp;VALUEID=13040&amp;SDATE=200702&amp;PERIODTYPE=QTR_STD&amp;window=popup_no_bar&amp;width=385&amp;height=120&amp;START_MAXIMIZED=FALSE&amp;creator=factset&amp;display_string=Audit"}</definedName>
    <definedName name="_894__FDSAUDITLINK__" hidden="1">{"fdsup://Directions/FactSet Auditing Viewer?action=AUDIT_VALUE&amp;DB=129&amp;ID1=40377710&amp;VALUEID=13040&amp;SDATE=200703&amp;PERIODTYPE=QTR_STD&amp;window=popup_no_bar&amp;width=385&amp;height=120&amp;START_MAXIMIZED=FALSE&amp;creator=factset&amp;display_string=Audit"}</definedName>
    <definedName name="_895__FDSAUDITLINK__" hidden="1">{"fdsup://Directions/FactSet Auditing Viewer?action=AUDIT_VALUE&amp;DB=129&amp;ID1=40377710&amp;VALUEID=13040&amp;SDATE=200704&amp;PERIODTYPE=QTR_STD&amp;window=popup_no_bar&amp;width=385&amp;height=120&amp;START_MAXIMIZED=FALSE&amp;creator=factset&amp;display_string=Audit"}</definedName>
    <definedName name="_896__FDSAUDITLINK__" hidden="1">{"fdsup://Directions/FactSet Auditing Viewer?action=AUDIT_VALUE&amp;DB=129&amp;ID1=40377710&amp;VALUEID=13040&amp;SDATE=200801&amp;PERIODTYPE=QTR_STD&amp;window=popup_no_bar&amp;width=385&amp;height=120&amp;START_MAXIMIZED=FALSE&amp;creator=factset&amp;display_string=Audit"}</definedName>
    <definedName name="_897__FDSAUDITLINK__" hidden="1">{"fdsup://Directions/FactSet Auditing Viewer?action=AUDIT_VALUE&amp;DB=129&amp;ID1=40377710&amp;VALUEID=13040&amp;SDATE=200802&amp;PERIODTYPE=QTR_STD&amp;window=popup_no_bar&amp;width=385&amp;height=120&amp;START_MAXIMIZED=FALSE&amp;creator=factset&amp;display_string=Audit"}</definedName>
    <definedName name="_898__FDSAUDITLINK__" hidden="1">{"fdsup://Directions/FactSet Auditing Viewer?action=AUDIT_VALUE&amp;DB=129&amp;ID1=40377710&amp;VALUEID=13040&amp;SDATE=200803&amp;PERIODTYPE=QTR_STD&amp;window=popup_no_bar&amp;width=385&amp;height=120&amp;START_MAXIMIZED=FALSE&amp;creator=factset&amp;display_string=Audit"}</definedName>
    <definedName name="_899__FDSAUDITLINK__" hidden="1">{"fdsup://Directions/FactSet Auditing Viewer?action=AUDIT_VALUE&amp;DB=129&amp;ID1=40377710&amp;VALUEID=13040&amp;SDATE=200901&amp;PERIODTYPE=QTR_STD&amp;window=popup_no_bar&amp;width=385&amp;height=120&amp;START_MAXIMIZED=FALSE&amp;creator=factset&amp;display_string=Audit"}</definedName>
    <definedName name="_9__123Graph_Dｸﾞﾗﾌ_1" hidden="1">[2]ｾｸﾞﾒﾝﾄ!$E$167:$I$167</definedName>
    <definedName name="_9__FDSAUDITLINK__" hidden="1">{"fdsup://Directions/FactSet Auditing Viewer?action=AUDIT_VALUE&amp;DB=129&amp;ID1=36476010&amp;VALUEID=13040&amp;SDATE=201001&amp;PERIODTYPE=QTR_STD&amp;window=popup_no_bar&amp;width=385&amp;height=120&amp;START_MAXIMIZED=FALSE&amp;creator=factset&amp;display_string=Audit"}</definedName>
    <definedName name="_90__FDSAUDITLINK__" hidden="1">{"fdsup://Directions/FactSet Auditing Viewer?action=AUDIT_VALUE&amp;DB=129&amp;ID1=53271610&amp;VALUEID=13040&amp;SDATE=200901&amp;PERIODTYPE=QTR_STD&amp;window=popup_no_bar&amp;width=385&amp;height=120&amp;START_MAXIMIZED=FALSE&amp;creator=factset&amp;display_string=Audit"}</definedName>
    <definedName name="_900__FDSAUDITLINK__" hidden="1">{"fdsup://Directions/FactSet Auditing Viewer?action=AUDIT_VALUE&amp;DB=129&amp;ID1=40377710&amp;VALUEID=13040&amp;SDATE=200902&amp;PERIODTYPE=QTR_STD&amp;window=popup_no_bar&amp;width=385&amp;height=120&amp;START_MAXIMIZED=FALSE&amp;creator=factset&amp;display_string=Audit"}</definedName>
    <definedName name="_901__FDSAUDITLINK__" hidden="1">{"fdsup://Directions/FactSet Auditing Viewer?action=AUDIT_VALUE&amp;DB=129&amp;ID1=40377710&amp;VALUEID=13040&amp;SDATE=200903&amp;PERIODTYPE=QTR_STD&amp;window=popup_no_bar&amp;width=385&amp;height=120&amp;START_MAXIMIZED=FALSE&amp;creator=factset&amp;display_string=Audit"}</definedName>
    <definedName name="_902__FDSAUDITLINK__" hidden="1">{"fdsup://Directions/FactSet Auditing Viewer?action=AUDIT_VALUE&amp;DB=129&amp;ID1=40377710&amp;VALUEID=13040&amp;SDATE=201001&amp;PERIODTYPE=QTR_STD&amp;window=popup_no_bar&amp;width=385&amp;height=120&amp;START_MAXIMIZED=FALSE&amp;creator=factset&amp;display_string=Audit"}</definedName>
    <definedName name="_903__FDSAUDITLINK__" hidden="1">{"fdsup://directions/FAT Viewer?action=UPDATE&amp;creator=factset&amp;DYN_ARGS=TRUE&amp;DOC_NAME=FAT:FQL_AUDITING_CLIENT_TEMPLATE.FAT&amp;display_string=Audit&amp;VAR:KEY=TIVULSDMDS&amp;VAR:QUERY=RkZfUlRfU0ZfVE9UX0dST1NTKFFUUiwtNDQp&amp;WINDOW=FIRST_POPUP&amp;HEIGHT=450&amp;WIDTH=450&amp;START_MA","XIMIZED=FALSE&amp;VAR:CALENDAR=US&amp;VAR:SYMBOL=GYMB&amp;VAR:INDEX=0"}</definedName>
    <definedName name="_904__FDSAUDITLINK__" hidden="1">{"fdsup://directions/FAT Viewer?action=UPDATE&amp;creator=factset&amp;DYN_ARGS=TRUE&amp;DOC_NAME=FAT:FQL_AUDITING_CLIENT_TEMPLATE.FAT&amp;display_string=Audit&amp;VAR:KEY=LGPIREFUFO&amp;VAR:QUERY=RkZfUlRfU0ZfVE9UX0dST1NTKFFUUiwtNDMp&amp;WINDOW=FIRST_POPUP&amp;HEIGHT=450&amp;WIDTH=450&amp;START_MA","XIMIZED=FALSE&amp;VAR:CALENDAR=US&amp;VAR:SYMBOL=GYMB&amp;VAR:INDEX=0"}</definedName>
    <definedName name="_905__FDSAUDITLINK__" hidden="1">{"fdsup://directions/FAT Viewer?action=UPDATE&amp;creator=factset&amp;DYN_ARGS=TRUE&amp;DOC_NAME=FAT:FQL_AUDITING_CLIENT_TEMPLATE.FAT&amp;display_string=Audit&amp;VAR:KEY=JYTABURKFY&amp;VAR:QUERY=RkZfUlRfU0ZfVE9UX0dST1NTKFFUUiwtNDIp&amp;WINDOW=FIRST_POPUP&amp;HEIGHT=450&amp;WIDTH=450&amp;START_MA","XIMIZED=FALSE&amp;VAR:CALENDAR=US&amp;VAR:SYMBOL=GYMB&amp;VAR:INDEX=0"}</definedName>
    <definedName name="_906__FDSAUDITLINK__" hidden="1">{"fdsup://directions/FAT Viewer?action=UPDATE&amp;creator=factset&amp;DYN_ARGS=TRUE&amp;DOC_NAME=FAT:FQL_AUDITING_CLIENT_TEMPLATE.FAT&amp;display_string=Audit&amp;VAR:KEY=NQZSJEVCTC&amp;VAR:QUERY=RkZfUlRfU0ZfVE9UX0dST1NTKFFUUiwtNDEp&amp;WINDOW=FIRST_POPUP&amp;HEIGHT=450&amp;WIDTH=450&amp;START_MA","XIMIZED=FALSE&amp;VAR:CALENDAR=US&amp;VAR:SYMBOL=GYMB&amp;VAR:INDEX=0"}</definedName>
    <definedName name="_907__FDSAUDITLINK__" hidden="1">{"fdsup://directions/FAT Viewer?action=UPDATE&amp;creator=factset&amp;DYN_ARGS=TRUE&amp;DOC_NAME=FAT:FQL_AUDITING_CLIENT_TEMPLATE.FAT&amp;display_string=Audit&amp;VAR:KEY=VAXEBONQHK&amp;VAR:QUERY=RkZfUlRfU0ZfVE9UX0dST1NTKFFUUiwtNDAp&amp;WINDOW=FIRST_POPUP&amp;HEIGHT=450&amp;WIDTH=450&amp;START_MA","XIMIZED=FALSE&amp;VAR:CALENDAR=US&amp;VAR:SYMBOL=GYMB&amp;VAR:INDEX=0"}</definedName>
    <definedName name="_908__FDSAUDITLINK__" hidden="1">{"fdsup://directions/FAT Viewer?action=UPDATE&amp;creator=factset&amp;DYN_ARGS=TRUE&amp;DOC_NAME=FAT:FQL_AUDITING_CLIENT_TEMPLATE.FAT&amp;display_string=Audit&amp;VAR:KEY=PIHQPQTEFG&amp;VAR:QUERY=RkZfUlRfU0ZfVE9UX0dST1NTKFFUUiwtMzkp&amp;WINDOW=FIRST_POPUP&amp;HEIGHT=450&amp;WIDTH=450&amp;START_MA","XIMIZED=FALSE&amp;VAR:CALENDAR=US&amp;VAR:SYMBOL=GYMB&amp;VAR:INDEX=0"}</definedName>
    <definedName name="_909__FDSAUDITLINK__" hidden="1">{"fdsup://directions/FAT Viewer?action=UPDATE&amp;creator=factset&amp;DYN_ARGS=TRUE&amp;DOC_NAME=FAT:FQL_AUDITING_CLIENT_TEMPLATE.FAT&amp;display_string=Audit&amp;VAR:KEY=PWPALKRENU&amp;VAR:QUERY=RkZfUlRfU0ZfVE9UX0dST1NTKFFUUiwtMzgp&amp;WINDOW=FIRST_POPUP&amp;HEIGHT=450&amp;WIDTH=450&amp;START_MA","XIMIZED=FALSE&amp;VAR:CALENDAR=US&amp;VAR:SYMBOL=GYMB&amp;VAR:INDEX=0"}</definedName>
    <definedName name="_91__FDSAUDITLINK__" hidden="1">{"fdsup://Directions/FactSet Auditing Viewer?action=AUDIT_VALUE&amp;DB=129&amp;ID1=46612H40&amp;VALUEID=02101&amp;SDATE=200901&amp;PERIODTYPE=QTR_STD&amp;window=popup_no_bar&amp;width=385&amp;height=120&amp;START_MAXIMIZED=FALSE&amp;creator=factset&amp;display_string=Audit"}</definedName>
    <definedName name="_910__FDSAUDITLINK__" hidden="1">{"fdsup://directions/FAT Viewer?action=UPDATE&amp;creator=factset&amp;DYN_ARGS=TRUE&amp;DOC_NAME=FAT:FQL_AUDITING_CLIENT_TEMPLATE.FAT&amp;display_string=Audit&amp;VAR:KEY=FKZQDQZSLI&amp;VAR:QUERY=RkZfUlRfU0ZfVE9UX0dST1NTKFFUUiwtMzcp&amp;WINDOW=FIRST_POPUP&amp;HEIGHT=450&amp;WIDTH=450&amp;START_MA","XIMIZED=FALSE&amp;VAR:CALENDAR=US&amp;VAR:SYMBOL=GYMB&amp;VAR:INDEX=0"}</definedName>
    <definedName name="_911__FDSAUDITLINK__" hidden="1">{"fdsup://directions/FAT Viewer?action=UPDATE&amp;creator=factset&amp;DYN_ARGS=TRUE&amp;DOC_NAME=FAT:FQL_AUDITING_CLIENT_TEMPLATE.FAT&amp;display_string=Audit&amp;VAR:KEY=HQVKRWHAXM&amp;VAR:QUERY=RkZfUlRfU0ZfVE9UX0dST1NTKFFUUiwtMzYp&amp;WINDOW=FIRST_POPUP&amp;HEIGHT=450&amp;WIDTH=450&amp;START_MA","XIMIZED=FALSE&amp;VAR:CALENDAR=US&amp;VAR:SYMBOL=GYMB&amp;VAR:INDEX=0"}</definedName>
    <definedName name="_912__FDSAUDITLINK__" hidden="1">{"fdsup://directions/FAT Viewer?action=UPDATE&amp;creator=factset&amp;DYN_ARGS=TRUE&amp;DOC_NAME=FAT:FQL_AUDITING_CLIENT_TEMPLATE.FAT&amp;display_string=Audit&amp;VAR:KEY=FKDCROBATC&amp;VAR:QUERY=RkZfUlRfU0ZfVE9UX0dST1NTKFFUUiwtMzUp&amp;WINDOW=FIRST_POPUP&amp;HEIGHT=450&amp;WIDTH=450&amp;START_MA","XIMIZED=FALSE&amp;VAR:CALENDAR=US&amp;VAR:SYMBOL=GYMB&amp;VAR:INDEX=0"}</definedName>
    <definedName name="_913__FDSAUDITLINK__" hidden="1">{"fdsup://directions/FAT Viewer?action=UPDATE&amp;creator=factset&amp;DYN_ARGS=TRUE&amp;DOC_NAME=FAT:FQL_AUDITING_CLIENT_TEMPLATE.FAT&amp;display_string=Audit&amp;VAR:KEY=RGXKJGXSRY&amp;VAR:QUERY=RkZfUlRfU0ZfVE9UX0dST1NTKFFUUiwtMzQp&amp;WINDOW=FIRST_POPUP&amp;HEIGHT=450&amp;WIDTH=450&amp;START_MA","XIMIZED=FALSE&amp;VAR:CALENDAR=US&amp;VAR:SYMBOL=GYMB&amp;VAR:INDEX=0"}</definedName>
    <definedName name="_914__FDSAUDITLINK__" hidden="1">{"fdsup://directions/FAT Viewer?action=UPDATE&amp;creator=factset&amp;DYN_ARGS=TRUE&amp;DOC_NAME=FAT:FQL_AUDITING_CLIENT_TEMPLATE.FAT&amp;display_string=Audit&amp;VAR:KEY=NEDCPADABM&amp;VAR:QUERY=RkZfUlRfU0ZfVE9UX0dST1NTKFFUUiwtMzMp&amp;WINDOW=FIRST_POPUP&amp;HEIGHT=450&amp;WIDTH=450&amp;START_MA","XIMIZED=FALSE&amp;VAR:CALENDAR=US&amp;VAR:SYMBOL=GYMB&amp;VAR:INDEX=0"}</definedName>
    <definedName name="_915__FDSAUDITLINK__" hidden="1">{"fdsup://directions/FAT Viewer?action=UPDATE&amp;creator=factset&amp;DYN_ARGS=TRUE&amp;DOC_NAME=FAT:FQL_AUDITING_CLIENT_TEMPLATE.FAT&amp;display_string=Audit&amp;VAR:KEY=LSHCBIVWFW&amp;VAR:QUERY=RkZfUlRfU0ZfVE9UX0dST1NTKFFUUiwtMzIp&amp;WINDOW=FIRST_POPUP&amp;HEIGHT=450&amp;WIDTH=450&amp;START_MA","XIMIZED=FALSE&amp;VAR:CALENDAR=US&amp;VAR:SYMBOL=GYMB&amp;VAR:INDEX=0"}</definedName>
    <definedName name="_916__FDSAUDITLINK__" hidden="1">{"fdsup://directions/FAT Viewer?action=UPDATE&amp;creator=factset&amp;DYN_ARGS=TRUE&amp;DOC_NAME=FAT:FQL_AUDITING_CLIENT_TEMPLATE.FAT&amp;display_string=Audit&amp;VAR:KEY=RIBYZAVYBO&amp;VAR:QUERY=RkZfUlRfU0ZfVE9UX0dST1NTKFFUUiwtMzEp&amp;WINDOW=FIRST_POPUP&amp;HEIGHT=450&amp;WIDTH=450&amp;START_MA","XIMIZED=FALSE&amp;VAR:CALENDAR=US&amp;VAR:SYMBOL=GYMB&amp;VAR:INDEX=0"}</definedName>
    <definedName name="_917__FDSAUDITLINK__" hidden="1">{"fdsup://directions/FAT Viewer?action=UPDATE&amp;creator=factset&amp;DYN_ARGS=TRUE&amp;DOC_NAME=FAT:FQL_AUDITING_CLIENT_TEMPLATE.FAT&amp;display_string=Audit&amp;VAR:KEY=DKPUNITODE&amp;VAR:QUERY=RkZfUlRfU0ZfVE9UX0dST1NTKFFUUiwtMzAp&amp;WINDOW=FIRST_POPUP&amp;HEIGHT=450&amp;WIDTH=450&amp;START_MA","XIMIZED=FALSE&amp;VAR:CALENDAR=US&amp;VAR:SYMBOL=GYMB&amp;VAR:INDEX=0"}</definedName>
    <definedName name="_918__FDSAUDITLINK__" hidden="1">{"fdsup://directions/FAT Viewer?action=UPDATE&amp;creator=factset&amp;DYN_ARGS=TRUE&amp;DOC_NAME=FAT:FQL_AUDITING_CLIENT_TEMPLATE.FAT&amp;display_string=Audit&amp;VAR:KEY=DCZMDKFYDS&amp;VAR:QUERY=RkZfUlRfU0ZfVE9UX0dST1NTKFFUUiwtMjkp&amp;WINDOW=FIRST_POPUP&amp;HEIGHT=450&amp;WIDTH=450&amp;START_MA","XIMIZED=FALSE&amp;VAR:CALENDAR=US&amp;VAR:SYMBOL=GYMB&amp;VAR:INDEX=0"}</definedName>
    <definedName name="_919__FDSAUDITLINK__" hidden="1">{"fdsup://directions/FAT Viewer?action=UPDATE&amp;creator=factset&amp;DYN_ARGS=TRUE&amp;DOC_NAME=FAT:FQL_AUDITING_CLIENT_TEMPLATE.FAT&amp;display_string=Audit&amp;VAR:KEY=REBEDKBEJS&amp;VAR:QUERY=RkZfUlRfU0ZfVE9UX0dST1NTKFFUUiwtMjgp&amp;WINDOW=FIRST_POPUP&amp;HEIGHT=450&amp;WIDTH=450&amp;START_MA","XIMIZED=FALSE&amp;VAR:CALENDAR=US&amp;VAR:SYMBOL=GYMB&amp;VAR:INDEX=0"}</definedName>
    <definedName name="_92__FDSAUDITLINK__" hidden="1">{"fdsup://Directions/FactSet Auditing Viewer?action=AUDIT_VALUE&amp;DB=129&amp;ID1=46612H40&amp;VALUEID=01001&amp;SDATE=200901&amp;PERIODTYPE=QTR_STD&amp;window=popup_no_bar&amp;width=385&amp;height=120&amp;START_MAXIMIZED=FALSE&amp;creator=factset&amp;display_string=Audit"}</definedName>
    <definedName name="_920__FDSAUDITLINK__" hidden="1">{"fdsup://directions/FAT Viewer?action=UPDATE&amp;creator=factset&amp;DYN_ARGS=TRUE&amp;DOC_NAME=FAT:FQL_AUDITING_CLIENT_TEMPLATE.FAT&amp;display_string=Audit&amp;VAR:KEY=LOPKLIVKBE&amp;VAR:QUERY=RkZfUlRfU0ZfVE9UX0dST1NTKFFUUiwtMjcp&amp;WINDOW=FIRST_POPUP&amp;HEIGHT=450&amp;WIDTH=450&amp;START_MA","XIMIZED=FALSE&amp;VAR:CALENDAR=US&amp;VAR:SYMBOL=GYMB&amp;VAR:INDEX=0"}</definedName>
    <definedName name="_921__FDSAUDITLINK__" hidden="1">{"fdsup://directions/FAT Viewer?action=UPDATE&amp;creator=factset&amp;DYN_ARGS=TRUE&amp;DOC_NAME=FAT:FQL_AUDITING_CLIENT_TEMPLATE.FAT&amp;display_string=Audit&amp;VAR:KEY=HWTMTYBQHY&amp;VAR:QUERY=RkZfUlRfU0ZfVE9UX0dST1NTKFFUUiwtMjYp&amp;WINDOW=FIRST_POPUP&amp;HEIGHT=450&amp;WIDTH=450&amp;START_MA","XIMIZED=FALSE&amp;VAR:CALENDAR=US&amp;VAR:SYMBOL=GYMB&amp;VAR:INDEX=0"}</definedName>
    <definedName name="_922__FDSAUDITLINK__" hidden="1">{"fdsup://directions/FAT Viewer?action=UPDATE&amp;creator=factset&amp;DYN_ARGS=TRUE&amp;DOC_NAME=FAT:FQL_AUDITING_CLIENT_TEMPLATE.FAT&amp;display_string=Audit&amp;VAR:KEY=PUPOZEVABO&amp;VAR:QUERY=RkZfUlRfU0ZfVE9UX0dST1NTKFFUUiwtMjUp&amp;WINDOW=FIRST_POPUP&amp;HEIGHT=450&amp;WIDTH=450&amp;START_MA","XIMIZED=FALSE&amp;VAR:CALENDAR=US&amp;VAR:SYMBOL=GYMB&amp;VAR:INDEX=0"}</definedName>
    <definedName name="_923__FDSAUDITLINK__" hidden="1">{"fdsup://directions/FAT Viewer?action=UPDATE&amp;creator=factset&amp;DYN_ARGS=TRUE&amp;DOC_NAME=FAT:FQL_AUDITING_CLIENT_TEMPLATE.FAT&amp;display_string=Audit&amp;VAR:KEY=DCZYDEDCZQ&amp;VAR:QUERY=RkZfUlRfU0ZfVE9UX0dST1NTKFFUUiwtMjQp&amp;WINDOW=FIRST_POPUP&amp;HEIGHT=450&amp;WIDTH=450&amp;START_MA","XIMIZED=FALSE&amp;VAR:CALENDAR=US&amp;VAR:SYMBOL=GYMB&amp;VAR:INDEX=0"}</definedName>
    <definedName name="_924__FDSAUDITLINK__" hidden="1">{"fdsup://directions/FAT Viewer?action=UPDATE&amp;creator=factset&amp;DYN_ARGS=TRUE&amp;DOC_NAME=FAT:FQL_AUDITING_CLIENT_TEMPLATE.FAT&amp;display_string=Audit&amp;VAR:KEY=FOBGXGRATQ&amp;VAR:QUERY=RkZfUlRfU0ZfVE9UX0dST1NTKFFUUiwtMjMp&amp;WINDOW=FIRST_POPUP&amp;HEIGHT=450&amp;WIDTH=450&amp;START_MA","XIMIZED=FALSE&amp;VAR:CALENDAR=US&amp;VAR:SYMBOL=GYMB&amp;VAR:INDEX=0"}</definedName>
    <definedName name="_925__FDSAUDITLINK__" hidden="1">{"fdsup://directions/FAT Viewer?action=UPDATE&amp;creator=factset&amp;DYN_ARGS=TRUE&amp;DOC_NAME=FAT:FQL_AUDITING_CLIENT_TEMPLATE.FAT&amp;display_string=Audit&amp;VAR:KEY=HIRWDWNUXK&amp;VAR:QUERY=RkZfUlRfU0ZfVE9UX0dST1NTKFFUUiwtMjIp&amp;WINDOW=FIRST_POPUP&amp;HEIGHT=450&amp;WIDTH=450&amp;START_MA","XIMIZED=FALSE&amp;VAR:CALENDAR=US&amp;VAR:SYMBOL=GYMB&amp;VAR:INDEX=0"}</definedName>
    <definedName name="_926__FDSAUDITLINK__" hidden="1">{"fdsup://directions/FAT Viewer?action=UPDATE&amp;creator=factset&amp;DYN_ARGS=TRUE&amp;DOC_NAME=FAT:FQL_AUDITING_CLIENT_TEMPLATE.FAT&amp;display_string=Audit&amp;VAR:KEY=JURGFOXYHE&amp;VAR:QUERY=RkZfUlRfU0ZfVE9UX0dST1NTKFFUUiwtMjEp&amp;WINDOW=FIRST_POPUP&amp;HEIGHT=450&amp;WIDTH=450&amp;START_MA","XIMIZED=FALSE&amp;VAR:CALENDAR=US&amp;VAR:SYMBOL=GYMB&amp;VAR:INDEX=0"}</definedName>
    <definedName name="_927__FDSAUDITLINK__" hidden="1">{"fdsup://directions/FAT Viewer?action=UPDATE&amp;creator=factset&amp;DYN_ARGS=TRUE&amp;DOC_NAME=FAT:FQL_AUDITING_CLIENT_TEMPLATE.FAT&amp;display_string=Audit&amp;VAR:KEY=DSNMNEJEJG&amp;VAR:QUERY=RkZfUlRfU0ZfVE9UX0dST1NTKFFUUiwtMjAp&amp;WINDOW=FIRST_POPUP&amp;HEIGHT=450&amp;WIDTH=450&amp;START_MA","XIMIZED=FALSE&amp;VAR:CALENDAR=US&amp;VAR:SYMBOL=GYMB&amp;VAR:INDEX=0"}</definedName>
    <definedName name="_928__FDSAUDITLINK__" hidden="1">{"fdsup://directions/FAT Viewer?action=UPDATE&amp;creator=factset&amp;DYN_ARGS=TRUE&amp;DOC_NAME=FAT:FQL_AUDITING_CLIENT_TEMPLATE.FAT&amp;display_string=Audit&amp;VAR:KEY=PWTUNSTSTY&amp;VAR:QUERY=RkZfUlRfU0ZfVE9UX0dST1NTKFFUUiwtMTkp&amp;WINDOW=FIRST_POPUP&amp;HEIGHT=450&amp;WIDTH=450&amp;START_MA","XIMIZED=FALSE&amp;VAR:CALENDAR=US&amp;VAR:SYMBOL=GYMB&amp;VAR:INDEX=0"}</definedName>
    <definedName name="_929__FDSAUDITLINK__" hidden="1">{"fdsup://directions/FAT Viewer?action=UPDATE&amp;creator=factset&amp;DYN_ARGS=TRUE&amp;DOC_NAME=FAT:FQL_AUDITING_CLIENT_TEMPLATE.FAT&amp;display_string=Audit&amp;VAR:KEY=ZQNKHKRKLC&amp;VAR:QUERY=RkZfUlRfU0ZfVE9UX0dST1NTKFFUUiwtMTgp&amp;WINDOW=FIRST_POPUP&amp;HEIGHT=450&amp;WIDTH=450&amp;START_MA","XIMIZED=FALSE&amp;VAR:CALENDAR=US&amp;VAR:SYMBOL=GYMB&amp;VAR:INDEX=0"}</definedName>
    <definedName name="_93__FDSAUDITLINK__" hidden="1">{"fdsup://Directions/FactSet Auditing Viewer?action=AUDIT_VALUE&amp;DB=129&amp;ID1=46612H40&amp;VALUEID=13040&amp;SDATE=200901&amp;PERIODTYPE=QTR_STD&amp;window=popup_no_bar&amp;width=385&amp;height=120&amp;START_MAXIMIZED=FALSE&amp;creator=factset&amp;display_string=Audit"}</definedName>
    <definedName name="_930__FDSAUDITLINK__" hidden="1">{"fdsup://directions/FAT Viewer?action=UPDATE&amp;creator=factset&amp;DYN_ARGS=TRUE&amp;DOC_NAME=FAT:FQL_AUDITING_CLIENT_TEMPLATE.FAT&amp;display_string=Audit&amp;VAR:KEY=XGDODMRERE&amp;VAR:QUERY=RkZfUlRfU0ZfVE9UX0dST1NTKFFUUiwtMTcp&amp;WINDOW=FIRST_POPUP&amp;HEIGHT=450&amp;WIDTH=450&amp;START_MA","XIMIZED=FALSE&amp;VAR:CALENDAR=US&amp;VAR:SYMBOL=GYMB&amp;VAR:INDEX=0"}</definedName>
    <definedName name="_931__FDSAUDITLINK__" hidden="1">{"fdsup://directions/FAT Viewer?action=UPDATE&amp;creator=factset&amp;DYN_ARGS=TRUE&amp;DOC_NAME=FAT:FQL_AUDITING_CLIENT_TEMPLATE.FAT&amp;display_string=Audit&amp;VAR:KEY=TKVMRALGPI&amp;VAR:QUERY=RkZfUlRfU0ZfVE9UX0dST1NTKFFUUiwtMTYp&amp;WINDOW=FIRST_POPUP&amp;HEIGHT=450&amp;WIDTH=450&amp;START_MA","XIMIZED=FALSE&amp;VAR:CALENDAR=US&amp;VAR:SYMBOL=GYMB&amp;VAR:INDEX=0"}</definedName>
    <definedName name="_932__FDSAUDITLINK__" hidden="1">{"fdsup://directions/FAT Viewer?action=UPDATE&amp;creator=factset&amp;DYN_ARGS=TRUE&amp;DOC_NAME=FAT:FQL_AUDITING_CLIENT_TEMPLATE.FAT&amp;display_string=Audit&amp;VAR:KEY=XWBCDMJGPU&amp;VAR:QUERY=RkZfUlRfU0ZfVE9UX0dST1NTKFFUUiwtMTUp&amp;WINDOW=FIRST_POPUP&amp;HEIGHT=450&amp;WIDTH=450&amp;START_MA","XIMIZED=FALSE&amp;VAR:CALENDAR=US&amp;VAR:SYMBOL=GYMB&amp;VAR:INDEX=0"}</definedName>
    <definedName name="_933__FDSAUDITLINK__" hidden="1">{"fdsup://directions/FAT Viewer?action=UPDATE&amp;creator=factset&amp;DYN_ARGS=TRUE&amp;DOC_NAME=FAT:FQL_AUDITING_CLIENT_TEMPLATE.FAT&amp;display_string=Audit&amp;VAR:KEY=JENWXOZCJS&amp;VAR:QUERY=RkZfUlRfU0ZfVE9UX0dST1NTKFFUUiwtMTQp&amp;WINDOW=FIRST_POPUP&amp;HEIGHT=450&amp;WIDTH=450&amp;START_MA","XIMIZED=FALSE&amp;VAR:CALENDAR=US&amp;VAR:SYMBOL=GYMB&amp;VAR:INDEX=0"}</definedName>
    <definedName name="_934__FDSAUDITLINK__" hidden="1">{"fdsup://directions/FAT Viewer?action=UPDATE&amp;creator=factset&amp;DYN_ARGS=TRUE&amp;DOC_NAME=FAT:FQL_AUDITING_CLIENT_TEMPLATE.FAT&amp;display_string=Audit&amp;VAR:KEY=TCTMPMPOZI&amp;VAR:QUERY=RkZfUlRfU0ZfVE9UX0dST1NTKFFUUiwtMTMp&amp;WINDOW=FIRST_POPUP&amp;HEIGHT=450&amp;WIDTH=450&amp;START_MA","XIMIZED=FALSE&amp;VAR:CALENDAR=US&amp;VAR:SYMBOL=GYMB&amp;VAR:INDEX=0"}</definedName>
    <definedName name="_935__FDSAUDITLINK__" hidden="1">{"fdsup://directions/FAT Viewer?action=UPDATE&amp;creator=factset&amp;DYN_ARGS=TRUE&amp;DOC_NAME=FAT:FQL_AUDITING_CLIENT_TEMPLATE.FAT&amp;display_string=Audit&amp;VAR:KEY=DWXWHUPIHW&amp;VAR:QUERY=RkZfUlRfU0ZfVE9UX0dST1NTKFFUUiwtMTIp&amp;WINDOW=FIRST_POPUP&amp;HEIGHT=450&amp;WIDTH=450&amp;START_MA","XIMIZED=FALSE&amp;VAR:CALENDAR=US&amp;VAR:SYMBOL=GYMB&amp;VAR:INDEX=0"}</definedName>
    <definedName name="_936__FDSAUDITLINK__" hidden="1">{"fdsup://directions/FAT Viewer?action=UPDATE&amp;creator=factset&amp;DYN_ARGS=TRUE&amp;DOC_NAME=FAT:FQL_AUDITING_CLIENT_TEMPLATE.FAT&amp;display_string=Audit&amp;VAR:KEY=NQVAXKPMVA&amp;VAR:QUERY=RkZfUlRfU0ZfVE9UX0dST1NTKFFUUiwtMTEp&amp;WINDOW=FIRST_POPUP&amp;HEIGHT=450&amp;WIDTH=450&amp;START_MA","XIMIZED=FALSE&amp;VAR:CALENDAR=US&amp;VAR:SYMBOL=GYMB&amp;VAR:INDEX=0"}</definedName>
    <definedName name="_937__FDSAUDITLINK__" hidden="1">{"fdsup://directions/FAT Viewer?action=UPDATE&amp;creator=factset&amp;DYN_ARGS=TRUE&amp;DOC_NAME=FAT:FQL_AUDITING_CLIENT_TEMPLATE.FAT&amp;display_string=Audit&amp;VAR:KEY=ZONMZAPSJI&amp;VAR:QUERY=RkZfUlRfU0ZfVE9UX0dST1NTKFFUUiwtMTAp&amp;WINDOW=FIRST_POPUP&amp;HEIGHT=450&amp;WIDTH=450&amp;START_MA","XIMIZED=FALSE&amp;VAR:CALENDAR=US&amp;VAR:SYMBOL=GYMB&amp;VAR:INDEX=0"}</definedName>
    <definedName name="_938__FDSAUDITLINK__" hidden="1">{"fdsup://directions/FAT Viewer?action=UPDATE&amp;creator=factset&amp;DYN_ARGS=TRUE&amp;DOC_NAME=FAT:FQL_AUDITING_CLIENT_TEMPLATE.FAT&amp;display_string=Audit&amp;VAR:KEY=TERAZMHAFK&amp;VAR:QUERY=RkZfUlRfU0ZfVE9UX0dST1NTKFFUUiwtOSk=&amp;WINDOW=FIRST_POPUP&amp;HEIGHT=450&amp;WIDTH=450&amp;START_MA","XIMIZED=FALSE&amp;VAR:CALENDAR=US&amp;VAR:SYMBOL=GYMB&amp;VAR:INDEX=0"}</definedName>
    <definedName name="_939__FDSAUDITLINK__" hidden="1">{"fdsup://directions/FAT Viewer?action=UPDATE&amp;creator=factset&amp;DYN_ARGS=TRUE&amp;DOC_NAME=FAT:FQL_AUDITING_CLIENT_TEMPLATE.FAT&amp;display_string=Audit&amp;VAR:KEY=TSDWNSLQPS&amp;VAR:QUERY=RkZfUlRfU0ZfVE9UX0dST1NTKFFUUiwtOCk=&amp;WINDOW=FIRST_POPUP&amp;HEIGHT=450&amp;WIDTH=450&amp;START_MA","XIMIZED=FALSE&amp;VAR:CALENDAR=US&amp;VAR:SYMBOL=GYMB&amp;VAR:INDEX=0"}</definedName>
    <definedName name="_94__FDSAUDITLINK__" hidden="1">{"fdsup://Directions/FactSet Auditing Viewer?action=AUDIT_VALUE&amp;DB=129&amp;ID1=03611510&amp;VALUEID=02101&amp;SDATE=200901&amp;PERIODTYPE=QTR_STD&amp;window=popup_no_bar&amp;width=385&amp;height=120&amp;START_MAXIMIZED=FALSE&amp;creator=factset&amp;display_string=Audit"}</definedName>
    <definedName name="_940__FDSAUDITLINK__" hidden="1">{"fdsup://directions/FAT Viewer?action=UPDATE&amp;creator=factset&amp;DYN_ARGS=TRUE&amp;DOC_NAME=FAT:FQL_AUDITING_CLIENT_TEMPLATE.FAT&amp;display_string=Audit&amp;VAR:KEY=NUNSNKTEFS&amp;VAR:QUERY=RkZfUlRfU0ZfVE9UX0dST1NTKFFUUiwtNyk=&amp;WINDOW=FIRST_POPUP&amp;HEIGHT=450&amp;WIDTH=450&amp;START_MA","XIMIZED=FALSE&amp;VAR:CALENDAR=US&amp;VAR:SYMBOL=GYMB&amp;VAR:INDEX=0"}</definedName>
    <definedName name="_941__FDSAUDITLINK__" hidden="1">{"fdsup://directions/FAT Viewer?action=UPDATE&amp;creator=factset&amp;DYN_ARGS=TRUE&amp;DOC_NAME=FAT:FQL_AUDITING_CLIENT_TEMPLATE.FAT&amp;display_string=Audit&amp;VAR:KEY=BGRGLCFUJA&amp;VAR:QUERY=RkZfUlRfU0ZfVE9UX0dST1NTKFFUUiwtNik=&amp;WINDOW=FIRST_POPUP&amp;HEIGHT=450&amp;WIDTH=450&amp;START_MA","XIMIZED=FALSE&amp;VAR:CALENDAR=US&amp;VAR:SYMBOL=GYMB&amp;VAR:INDEX=0"}</definedName>
    <definedName name="_942__FDSAUDITLINK__" hidden="1">{"fdsup://directions/FAT Viewer?action=UPDATE&amp;creator=factset&amp;DYN_ARGS=TRUE&amp;DOC_NAME=FAT:FQL_AUDITING_CLIENT_TEMPLATE.FAT&amp;display_string=Audit&amp;VAR:KEY=FQBWFOZQXU&amp;VAR:QUERY=RkZfUlRfU0ZfVE9UX0dST1NTKFFUUiwtNSk=&amp;WINDOW=FIRST_POPUP&amp;HEIGHT=450&amp;WIDTH=450&amp;START_MA","XIMIZED=FALSE&amp;VAR:CALENDAR=US&amp;VAR:SYMBOL=GYMB&amp;VAR:INDEX=0"}</definedName>
    <definedName name="_943__FDSAUDITLINK__" hidden="1">{"fdsup://directions/FAT Viewer?action=UPDATE&amp;creator=factset&amp;DYN_ARGS=TRUE&amp;DOC_NAME=FAT:FQL_AUDITING_CLIENT_TEMPLATE.FAT&amp;display_string=Audit&amp;VAR:KEY=JGROVCLUZW&amp;VAR:QUERY=RkZfUlRfU0ZfVE9UX0dST1NTKFFUUiwtNCk=&amp;WINDOW=FIRST_POPUP&amp;HEIGHT=450&amp;WIDTH=450&amp;START_MA","XIMIZED=FALSE&amp;VAR:CALENDAR=US&amp;VAR:SYMBOL=GYMB&amp;VAR:INDEX=0"}</definedName>
    <definedName name="_944__FDSAUDITLINK__" hidden="1">{"fdsup://directions/FAT Viewer?action=UPDATE&amp;creator=factset&amp;DYN_ARGS=TRUE&amp;DOC_NAME=FAT:FQL_AUDITING_CLIENT_TEMPLATE.FAT&amp;display_string=Audit&amp;VAR:KEY=VSNOZWVYLU&amp;VAR:QUERY=RkZfUlRfU0ZfVE9UX0dST1NTKFFUUiwtMyk=&amp;WINDOW=FIRST_POPUP&amp;HEIGHT=450&amp;WIDTH=450&amp;START_MA","XIMIZED=FALSE&amp;VAR:CALENDAR=US&amp;VAR:SYMBOL=GYMB&amp;VAR:INDEX=0"}</definedName>
    <definedName name="_945__FDSAUDITLINK__" hidden="1">{"fdsup://directions/FAT Viewer?action=UPDATE&amp;creator=factset&amp;DYN_ARGS=TRUE&amp;DOC_NAME=FAT:FQL_AUDITING_CLIENT_TEMPLATE.FAT&amp;display_string=Audit&amp;VAR:KEY=PKPWPYPSJW&amp;VAR:QUERY=RkZfUlRfU0ZfVE9UX0dST1NTKFFUUiwtMik=&amp;WINDOW=FIRST_POPUP&amp;HEIGHT=450&amp;WIDTH=450&amp;START_MA","XIMIZED=FALSE&amp;VAR:CALENDAR=US&amp;VAR:SYMBOL=GYMB&amp;VAR:INDEX=0"}</definedName>
    <definedName name="_946__FDSAUDITLINK__" hidden="1">{"fdsup://directions/FAT Viewer?action=UPDATE&amp;creator=factset&amp;DYN_ARGS=TRUE&amp;DOC_NAME=FAT:FQL_AUDITING_CLIENT_TEMPLATE.FAT&amp;display_string=Audit&amp;VAR:KEY=XSVCHMLSHM&amp;VAR:QUERY=RkZfUlRfU0ZfVE9UX0dST1NTKFFUUiwtMSk=&amp;WINDOW=FIRST_POPUP&amp;HEIGHT=450&amp;WIDTH=450&amp;START_MA","XIMIZED=FALSE&amp;VAR:CALENDAR=US&amp;VAR:SYMBOL=GYMB&amp;VAR:INDEX=0"}</definedName>
    <definedName name="_947__FDSAUDITLINK__" hidden="1">{"fdsup://directions/FAT Viewer?action=UPDATE&amp;creator=factset&amp;DYN_ARGS=TRUE&amp;DOC_NAME=FAT:FQL_AUDITING_CLIENT_TEMPLATE.FAT&amp;display_string=Audit&amp;VAR:KEY=DYNCLOXCRA&amp;VAR:QUERY=RkZfUlRfU0ZfVE9UX0dST1NTKFFUUiwwKQ==&amp;WINDOW=FIRST_POPUP&amp;HEIGHT=450&amp;WIDTH=450&amp;START_MA","XIMIZED=FALSE&amp;VAR:CALENDAR=US&amp;VAR:SYMBOL=GYMB&amp;VAR:INDEX=0"}</definedName>
    <definedName name="_948__FDSAUDITLINK__" hidden="1">{"fdsup://Directions/FactSet Auditing Viewer?action=AUDIT_VALUE&amp;DB=129&amp;ID1=53271610&amp;VALUEID=13040&amp;SDATE=200601&amp;PERIODTYPE=QTR_STD&amp;window=popup_no_bar&amp;width=385&amp;height=120&amp;START_MAXIMIZED=FALSE&amp;creator=factset&amp;display_string=Audit"}</definedName>
    <definedName name="_949__FDSAUDITLINK__" hidden="1">{"fdsup://Directions/FactSet Auditing Viewer?action=AUDIT_VALUE&amp;DB=129&amp;ID1=53271610&amp;VALUEID=01001&amp;SDATE=200601&amp;PERIODTYPE=QTR_STD&amp;window=popup_no_bar&amp;width=385&amp;height=120&amp;START_MAXIMIZED=FALSE&amp;creator=factset&amp;display_string=Audit"}</definedName>
    <definedName name="_95__FDSAUDITLINK__" hidden="1">{"fdsup://Directions/FactSet Auditing Viewer?action=AUDIT_VALUE&amp;DB=129&amp;ID1=03611510&amp;VALUEID=01001&amp;SDATE=200901&amp;PERIODTYPE=QTR_STD&amp;window=popup_no_bar&amp;width=385&amp;height=120&amp;START_MAXIMIZED=FALSE&amp;creator=factset&amp;display_string=Audit"}</definedName>
    <definedName name="_950__FDSAUDITLINK__" hidden="1">{"fdsup://Directions/FactSet Auditing Viewer?action=AUDIT_VALUE&amp;DB=129&amp;ID1=53271610&amp;VALUEID=02101&amp;SDATE=200601&amp;PERIODTYPE=QTR_STD&amp;window=popup_no_bar&amp;width=385&amp;height=120&amp;START_MAXIMIZED=FALSE&amp;creator=factset&amp;display_string=Audit"}</definedName>
    <definedName name="_951__FDSAUDITLINK__" hidden="1">{"fdsup://Directions/FactSet Auditing Viewer?action=AUDIT_VALUE&amp;DB=129&amp;ID1=53271610&amp;VALUEID=13040&amp;SDATE=200602&amp;PERIODTYPE=QTR_STD&amp;window=popup_no_bar&amp;width=385&amp;height=120&amp;START_MAXIMIZED=FALSE&amp;creator=factset&amp;display_string=Audit"}</definedName>
    <definedName name="_952__FDSAUDITLINK__" hidden="1">{"fdsup://Directions/FactSet Auditing Viewer?action=AUDIT_VALUE&amp;DB=129&amp;ID1=53271610&amp;VALUEID=01001&amp;SDATE=200602&amp;PERIODTYPE=QTR_STD&amp;window=popup_no_bar&amp;width=385&amp;height=120&amp;START_MAXIMIZED=FALSE&amp;creator=factset&amp;display_string=Audit"}</definedName>
    <definedName name="_953__FDSAUDITLINK__" hidden="1">{"fdsup://Directions/FactSet Auditing Viewer?action=AUDIT_VALUE&amp;DB=129&amp;ID1=53271610&amp;VALUEID=02101&amp;SDATE=200602&amp;PERIODTYPE=QTR_STD&amp;window=popup_no_bar&amp;width=385&amp;height=120&amp;START_MAXIMIZED=FALSE&amp;creator=factset&amp;display_string=Audit"}</definedName>
    <definedName name="_954__FDSAUDITLINK__" hidden="1">{"fdsup://Directions/FactSet Auditing Viewer?action=AUDIT_VALUE&amp;DB=129&amp;ID1=53271610&amp;VALUEID=13040&amp;SDATE=200603&amp;PERIODTYPE=QTR_STD&amp;window=popup_no_bar&amp;width=385&amp;height=120&amp;START_MAXIMIZED=FALSE&amp;creator=factset&amp;display_string=Audit"}</definedName>
    <definedName name="_955__FDSAUDITLINK__" hidden="1">{"fdsup://Directions/FactSet Auditing Viewer?action=AUDIT_VALUE&amp;DB=129&amp;ID1=53271610&amp;VALUEID=01001&amp;SDATE=200603&amp;PERIODTYPE=QTR_STD&amp;window=popup_no_bar&amp;width=385&amp;height=120&amp;START_MAXIMIZED=FALSE&amp;creator=factset&amp;display_string=Audit"}</definedName>
    <definedName name="_956__FDSAUDITLINK__" hidden="1">{"fdsup://Directions/FactSet Auditing Viewer?action=AUDIT_VALUE&amp;DB=129&amp;ID1=53271610&amp;VALUEID=02101&amp;SDATE=200603&amp;PERIODTYPE=QTR_STD&amp;window=popup_no_bar&amp;width=385&amp;height=120&amp;START_MAXIMIZED=FALSE&amp;creator=factset&amp;display_string=Audit"}</definedName>
    <definedName name="_957__FDSAUDITLINK__" hidden="1">{"fdsup://Directions/FactSet Auditing Viewer?action=AUDIT_VALUE&amp;DB=129&amp;ID1=53271610&amp;VALUEID=13040&amp;SDATE=200701&amp;PERIODTYPE=QTR_STD&amp;window=popup_no_bar&amp;width=385&amp;height=120&amp;START_MAXIMIZED=FALSE&amp;creator=factset&amp;display_string=Audit"}</definedName>
    <definedName name="_958__FDSAUDITLINK__" hidden="1">{"fdsup://Directions/FactSet Auditing Viewer?action=AUDIT_VALUE&amp;DB=129&amp;ID1=53271610&amp;VALUEID=01001&amp;SDATE=200701&amp;PERIODTYPE=QTR_STD&amp;window=popup_no_bar&amp;width=385&amp;height=120&amp;START_MAXIMIZED=FALSE&amp;creator=factset&amp;display_string=Audit"}</definedName>
    <definedName name="_959__FDSAUDITLINK__" hidden="1">{"fdsup://Directions/FactSet Auditing Viewer?action=AUDIT_VALUE&amp;DB=129&amp;ID1=53271610&amp;VALUEID=02101&amp;SDATE=200701&amp;PERIODTYPE=QTR_STD&amp;window=popup_no_bar&amp;width=385&amp;height=120&amp;START_MAXIMIZED=FALSE&amp;creator=factset&amp;display_string=Audit"}</definedName>
    <definedName name="_96__FDSAUDITLINK__" hidden="1">{"fdsup://Directions/FactSet Auditing Viewer?action=AUDIT_VALUE&amp;DB=129&amp;ID1=16890510&amp;VALUEID=02101&amp;SDATE=200901&amp;PERIODTYPE=QTR_STD&amp;window=popup_no_bar&amp;width=385&amp;height=120&amp;START_MAXIMIZED=FALSE&amp;creator=factset&amp;display_string=Audit"}</definedName>
    <definedName name="_960__FDSAUDITLINK__" hidden="1">{"fdsup://Directions/FactSet Auditing Viewer?action=AUDIT_VALUE&amp;DB=129&amp;ID1=53271610&amp;VALUEID=13040&amp;SDATE=200702&amp;PERIODTYPE=QTR_STD&amp;window=popup_no_bar&amp;width=385&amp;height=120&amp;START_MAXIMIZED=FALSE&amp;creator=factset&amp;display_string=Audit"}</definedName>
    <definedName name="_961__FDSAUDITLINK__" hidden="1">{"fdsup://Directions/FactSet Auditing Viewer?action=AUDIT_VALUE&amp;DB=129&amp;ID1=53271610&amp;VALUEID=01001&amp;SDATE=200702&amp;PERIODTYPE=QTR_STD&amp;window=popup_no_bar&amp;width=385&amp;height=120&amp;START_MAXIMIZED=FALSE&amp;creator=factset&amp;display_string=Audit"}</definedName>
    <definedName name="_962__FDSAUDITLINK__" hidden="1">{"fdsup://Directions/FactSet Auditing Viewer?action=AUDIT_VALUE&amp;DB=129&amp;ID1=53271610&amp;VALUEID=02101&amp;SDATE=200702&amp;PERIODTYPE=QTR_STD&amp;window=popup_no_bar&amp;width=385&amp;height=120&amp;START_MAXIMIZED=FALSE&amp;creator=factset&amp;display_string=Audit"}</definedName>
    <definedName name="_963__FDSAUDITLINK__" hidden="1">{"fdsup://Directions/FactSet Auditing Viewer?action=AUDIT_VALUE&amp;DB=129&amp;ID1=53271610&amp;VALUEID=13040&amp;SDATE=200703&amp;PERIODTYPE=QTR_STD&amp;window=popup_no_bar&amp;width=385&amp;height=120&amp;START_MAXIMIZED=FALSE&amp;creator=factset&amp;display_string=Audit"}</definedName>
    <definedName name="_964__FDSAUDITLINK__" hidden="1">{"fdsup://Directions/FactSet Auditing Viewer?action=AUDIT_VALUE&amp;DB=129&amp;ID1=53271610&amp;VALUEID=01001&amp;SDATE=200703&amp;PERIODTYPE=QTR_STD&amp;window=popup_no_bar&amp;width=385&amp;height=120&amp;START_MAXIMIZED=FALSE&amp;creator=factset&amp;display_string=Audit"}</definedName>
    <definedName name="_965__FDSAUDITLINK__" hidden="1">{"fdsup://Directions/FactSet Auditing Viewer?action=AUDIT_VALUE&amp;DB=129&amp;ID1=53271610&amp;VALUEID=02101&amp;SDATE=200703&amp;PERIODTYPE=QTR_STD&amp;window=popup_no_bar&amp;width=385&amp;height=120&amp;START_MAXIMIZED=FALSE&amp;creator=factset&amp;display_string=Audit"}</definedName>
    <definedName name="_966__FDSAUDITLINK__" hidden="1">{"fdsup://Directions/FactSet Auditing Viewer?action=AUDIT_VALUE&amp;DB=129&amp;ID1=53271610&amp;VALUEID=13040&amp;SDATE=200801&amp;PERIODTYPE=QTR_STD&amp;window=popup_no_bar&amp;width=385&amp;height=120&amp;START_MAXIMIZED=FALSE&amp;creator=factset&amp;display_string=Audit"}</definedName>
    <definedName name="_967__FDSAUDITLINK__" hidden="1">{"fdsup://Directions/FactSet Auditing Viewer?action=AUDIT_VALUE&amp;DB=129&amp;ID1=53271610&amp;VALUEID=01001&amp;SDATE=200801&amp;PERIODTYPE=QTR_STD&amp;window=popup_no_bar&amp;width=385&amp;height=120&amp;START_MAXIMIZED=FALSE&amp;creator=factset&amp;display_string=Audit"}</definedName>
    <definedName name="_968__FDSAUDITLINK__" hidden="1">{"fdsup://Directions/FactSet Auditing Viewer?action=AUDIT_VALUE&amp;DB=129&amp;ID1=53271610&amp;VALUEID=02101&amp;SDATE=200801&amp;PERIODTYPE=QTR_STD&amp;window=popup_no_bar&amp;width=385&amp;height=120&amp;START_MAXIMIZED=FALSE&amp;creator=factset&amp;display_string=Audit"}</definedName>
    <definedName name="_969__FDSAUDITLINK__" hidden="1">{"fdsup://Directions/FactSet Auditing Viewer?action=AUDIT_VALUE&amp;DB=129&amp;ID1=53271610&amp;VALUEID=13040&amp;SDATE=200802&amp;PERIODTYPE=QTR_STD&amp;window=popup_no_bar&amp;width=385&amp;height=120&amp;START_MAXIMIZED=FALSE&amp;creator=factset&amp;display_string=Audit"}</definedName>
    <definedName name="_97__FDSAUDITLINK__" hidden="1">{"fdsup://Directions/FactSet Auditing Viewer?action=AUDIT_VALUE&amp;DB=129&amp;ID1=16890510&amp;VALUEID=01001&amp;SDATE=200901&amp;PERIODTYPE=QTR_STD&amp;window=popup_no_bar&amp;width=385&amp;height=120&amp;START_MAXIMIZED=FALSE&amp;creator=factset&amp;display_string=Audit"}</definedName>
    <definedName name="_970__FDSAUDITLINK__" hidden="1">{"fdsup://Directions/FactSet Auditing Viewer?action=AUDIT_VALUE&amp;DB=129&amp;ID1=53271610&amp;VALUEID=01001&amp;SDATE=200802&amp;PERIODTYPE=QTR_STD&amp;window=popup_no_bar&amp;width=385&amp;height=120&amp;START_MAXIMIZED=FALSE&amp;creator=factset&amp;display_string=Audit"}</definedName>
    <definedName name="_971__FDSAUDITLINK__" hidden="1">{"fdsup://Directions/FactSet Auditing Viewer?action=AUDIT_VALUE&amp;DB=129&amp;ID1=53271610&amp;VALUEID=02101&amp;SDATE=200802&amp;PERIODTYPE=QTR_STD&amp;window=popup_no_bar&amp;width=385&amp;height=120&amp;START_MAXIMIZED=FALSE&amp;creator=factset&amp;display_string=Audit"}</definedName>
    <definedName name="_972__FDSAUDITLINK__" hidden="1">{"fdsup://Directions/FactSet Auditing Viewer?action=AUDIT_VALUE&amp;DB=129&amp;ID1=53271610&amp;VALUEID=13040&amp;SDATE=200901&amp;PERIODTYPE=QTR_STD&amp;window=popup_no_bar&amp;width=385&amp;height=120&amp;START_MAXIMIZED=FALSE&amp;creator=factset&amp;display_string=Audit"}</definedName>
    <definedName name="_973__FDSAUDITLINK__" hidden="1">{"fdsup://Directions/FactSet Auditing Viewer?action=AUDIT_VALUE&amp;DB=129&amp;ID1=53271610&amp;VALUEID=13040&amp;SDATE=200902&amp;PERIODTYPE=QTR_STD&amp;window=popup_no_bar&amp;width=385&amp;height=120&amp;START_MAXIMIZED=FALSE&amp;creator=factset&amp;display_string=Audit"}</definedName>
    <definedName name="_974__FDSAUDITLINK__" hidden="1">{"fdsup://Directions/FactSet Auditing Viewer?action=AUDIT_VALUE&amp;DB=129&amp;ID1=53271610&amp;VALUEID=01001&amp;SDATE=200902&amp;PERIODTYPE=QTR_STD&amp;window=popup_no_bar&amp;width=385&amp;height=120&amp;START_MAXIMIZED=FALSE&amp;creator=factset&amp;display_string=Audit"}</definedName>
    <definedName name="_975__FDSAUDITLINK__" hidden="1">{"fdsup://Directions/FactSet Auditing Viewer?action=AUDIT_VALUE&amp;DB=129&amp;ID1=53271610&amp;VALUEID=02101&amp;SDATE=200902&amp;PERIODTYPE=QTR_STD&amp;window=popup_no_bar&amp;width=385&amp;height=120&amp;START_MAXIMIZED=FALSE&amp;creator=factset&amp;display_string=Audit"}</definedName>
    <definedName name="_976__FDSAUDITLINK__" hidden="1">{"fdsup://Directions/FactSet Auditing Viewer?action=AUDIT_VALUE&amp;DB=129&amp;ID1=53271610&amp;VALUEID=13040&amp;SDATE=200903&amp;PERIODTYPE=QTR_STD&amp;window=popup_no_bar&amp;width=385&amp;height=120&amp;START_MAXIMIZED=FALSE&amp;creator=factset&amp;display_string=Audit"}</definedName>
    <definedName name="_977__FDSAUDITLINK__" hidden="1">{"fdsup://Directions/FactSet Auditing Viewer?action=AUDIT_VALUE&amp;DB=129&amp;ID1=53271610&amp;VALUEID=01001&amp;SDATE=200903&amp;PERIODTYPE=QTR_STD&amp;window=popup_no_bar&amp;width=385&amp;height=120&amp;START_MAXIMIZED=FALSE&amp;creator=factset&amp;display_string=Audit"}</definedName>
    <definedName name="_978__FDSAUDITLINK__" hidden="1">{"fdsup://Directions/FactSet Auditing Viewer?action=AUDIT_VALUE&amp;DB=129&amp;ID1=53271610&amp;VALUEID=02101&amp;SDATE=200903&amp;PERIODTYPE=QTR_STD&amp;window=popup_no_bar&amp;width=385&amp;height=120&amp;START_MAXIMIZED=FALSE&amp;creator=factset&amp;display_string=Audit"}</definedName>
    <definedName name="_979__FDSAUDITLINK__" hidden="1">{"fdsup://Directions/FactSet Auditing Viewer?action=AUDIT_VALUE&amp;DB=129&amp;ID1=53271610&amp;VALUEID=13040&amp;SDATE=201001&amp;PERIODTYPE=QTR_STD&amp;window=popup_no_bar&amp;width=385&amp;height=120&amp;START_MAXIMIZED=FALSE&amp;creator=factset&amp;display_string=Audit"}</definedName>
    <definedName name="_98__FDSAUDITLINK__" hidden="1">{"fdsup://Directions/FactSet Auditing Viewer?action=AUDIT_VALUE&amp;DB=129&amp;ID1=00786510&amp;VALUEID=02101&amp;SDATE=200901&amp;PERIODTYPE=QTR_STD&amp;window=popup_no_bar&amp;width=385&amp;height=120&amp;START_MAXIMIZED=FALSE&amp;creator=factset&amp;display_string=Audit"}</definedName>
    <definedName name="_980__FDSAUDITLINK__" hidden="1">{"fdsup://Directions/FactSet Auditing Viewer?action=AUDIT_VALUE&amp;DB=129&amp;ID1=53271610&amp;VALUEID=01001&amp;SDATE=201001&amp;PERIODTYPE=QTR_STD&amp;window=popup_no_bar&amp;width=385&amp;height=120&amp;START_MAXIMIZED=FALSE&amp;creator=factset&amp;display_string=Audit"}</definedName>
    <definedName name="_981__FDSAUDITLINK__" hidden="1">{"fdsup://Directions/FactSet Auditing Viewer?action=AUDIT_VALUE&amp;DB=129&amp;ID1=53271610&amp;VALUEID=02101&amp;SDATE=201001&amp;PERIODTYPE=QTR_STD&amp;window=popup_no_bar&amp;width=385&amp;height=120&amp;START_MAXIMIZED=FALSE&amp;creator=factset&amp;display_string=Audit"}</definedName>
    <definedName name="_982__FDSAUDITLINK__" hidden="1">{"fdsup://Directions/FactSet Auditing Viewer?action=AUDIT_VALUE&amp;DB=129&amp;ID1=87416110&amp;VALUEID=02101&amp;SDATE=201001&amp;PERIODTYPE=QTR_STD&amp;window=popup_no_bar&amp;width=385&amp;height=120&amp;START_MAXIMIZED=FALSE&amp;creator=factset&amp;display_string=Audit"}</definedName>
    <definedName name="_983__FDSAUDITLINK__" hidden="1">{"fdsup://Directions/FactSet Auditing Viewer?action=AUDIT_VALUE&amp;DB=129&amp;ID1=87416110&amp;VALUEID=13040&amp;SDATE=201001&amp;PERIODTYPE=QTR_STD&amp;window=popup_no_bar&amp;width=385&amp;height=120&amp;START_MAXIMIZED=FALSE&amp;creator=factset&amp;display_string=Audit"}</definedName>
    <definedName name="_984__FDSAUDITLINK__" hidden="1">{"fdsup://directions/FAT Viewer?action=UPDATE&amp;creator=factset&amp;DYN_ARGS=TRUE&amp;DOC_NAME=FAT:FQL_AUDITING_CLIENT_TEMPLATE.FAT&amp;display_string=Audit&amp;VAR:KEY=FSTUHMJIBA&amp;VAR:QUERY=RkZfUlRfU0ZfVE9UX0dST1NTKFFUUiwwKQ==&amp;WINDOW=FIRST_POPUP&amp;HEIGHT=450&amp;WIDTH=450&amp;START_MA","XIMIZED=FALSE&amp;VAR:CALENDAR=US&amp;VAR:SYMBOL=TLB&amp;VAR:INDEX=0"}</definedName>
    <definedName name="_985__FDSAUDITLINK__" hidden="1">{"fdsup://Directions/FactSet Auditing Viewer?action=AUDIT_VALUE&amp;DB=129&amp;ID1=53271610&amp;VALUEID=02101&amp;SDATE=201001&amp;PERIODTYPE=QTR_STD&amp;window=popup_no_bar&amp;width=385&amp;height=120&amp;START_MAXIMIZED=FALSE&amp;creator=factset&amp;display_string=Audit"}</definedName>
    <definedName name="_986__FDSAUDITLINK__" hidden="1">{"fdsup://Directions/FactSet Auditing Viewer?action=AUDIT_VALUE&amp;DB=129&amp;ID1=53271610&amp;VALUEID=13040&amp;SDATE=201001&amp;PERIODTYPE=QTR_STD&amp;window=popup_no_bar&amp;width=385&amp;height=120&amp;START_MAXIMIZED=FALSE&amp;creator=factset&amp;display_string=Audit"}</definedName>
    <definedName name="_987__FDSAUDITLINK__" hidden="1">{"fdsup://Directions/FactSet Auditing Viewer?action=AUDIT_VALUE&amp;DB=129&amp;ID1=46612H40&amp;VALUEID=02101&amp;SDATE=201001&amp;PERIODTYPE=QTR_STD&amp;window=popup_no_bar&amp;width=385&amp;height=120&amp;START_MAXIMIZED=FALSE&amp;creator=factset&amp;display_string=Audit"}</definedName>
    <definedName name="_988__FDSAUDITLINK__" hidden="1">{"fdsup://Directions/FactSet Auditing Viewer?action=AUDIT_VALUE&amp;DB=129&amp;ID1=46612H40&amp;VALUEID=13040&amp;SDATE=201001&amp;PERIODTYPE=QTR_STD&amp;window=popup_no_bar&amp;width=385&amp;height=120&amp;START_MAXIMIZED=FALSE&amp;creator=factset&amp;display_string=Audit"}</definedName>
    <definedName name="_989__FDSAUDITLINK__" hidden="1">{"fdsup://Directions/FactSet Auditing Viewer?action=AUDIT_VALUE&amp;DB=129&amp;ID1=36476010&amp;VALUEID=02101&amp;SDATE=201001&amp;PERIODTYPE=QTR_STD&amp;window=popup_no_bar&amp;width=385&amp;height=120&amp;START_MAXIMIZED=FALSE&amp;creator=factset&amp;display_string=Audit"}</definedName>
    <definedName name="_99__FDSAUDITLINK__" hidden="1">{"fdsup://Directions/FactSet Auditing Viewer?action=AUDIT_VALUE&amp;DB=129&amp;ID1=00786510&amp;VALUEID=01001&amp;SDATE=200901&amp;PERIODTYPE=QTR_STD&amp;window=popup_no_bar&amp;width=385&amp;height=120&amp;START_MAXIMIZED=FALSE&amp;creator=factset&amp;display_string=Audit"}</definedName>
    <definedName name="_990__FDSAUDITLINK__" hidden="1">{"fdsup://Directions/FactSet Auditing Viewer?action=AUDIT_VALUE&amp;DB=129&amp;ID1=36476010&amp;VALUEID=13040&amp;SDATE=201001&amp;PERIODTYPE=QTR_STD&amp;window=popup_no_bar&amp;width=385&amp;height=120&amp;START_MAXIMIZED=FALSE&amp;creator=factset&amp;display_string=Audit"}</definedName>
    <definedName name="_991__FDSAUDITLINK__" hidden="1">{"fdsup://Directions/FactSet Auditing Viewer?action=AUDIT_VALUE&amp;DB=129&amp;ID1=03611510&amp;VALUEID=02101&amp;SDATE=201001&amp;PERIODTYPE=QTR_STD&amp;window=popup_no_bar&amp;width=385&amp;height=120&amp;START_MAXIMIZED=FALSE&amp;creator=factset&amp;display_string=Audit"}</definedName>
    <definedName name="_992__FDSAUDITLINK__" hidden="1">{"fdsup://Directions/FactSet Auditing Viewer?action=AUDIT_VALUE&amp;DB=129&amp;ID1=03611510&amp;VALUEID=13040&amp;SDATE=201001&amp;PERIODTYPE=QTR_STD&amp;window=popup_no_bar&amp;width=385&amp;height=120&amp;START_MAXIMIZED=FALSE&amp;creator=factset&amp;display_string=Audit"}</definedName>
    <definedName name="_993__FDSAUDITLINK__" hidden="1">{"fdsup://Directions/FactSet Auditing Viewer?action=AUDIT_VALUE&amp;DB=129&amp;ID1=16890510&amp;VALUEID=02101&amp;SDATE=201001&amp;PERIODTYPE=QTR_STD&amp;window=popup_no_bar&amp;width=385&amp;height=120&amp;START_MAXIMIZED=FALSE&amp;creator=factset&amp;display_string=Audit"}</definedName>
    <definedName name="_994__FDSAUDITLINK__" hidden="1">{"fdsup://Directions/FactSet Auditing Viewer?action=AUDIT_VALUE&amp;DB=129&amp;ID1=91704710&amp;VALUEID=02101&amp;SDATE=201001&amp;PERIODTYPE=QTR_STD&amp;window=popup_no_bar&amp;width=385&amp;height=120&amp;START_MAXIMIZED=FALSE&amp;creator=factset&amp;display_string=Audit"}</definedName>
    <definedName name="_995__FDSAUDITLINK__" hidden="1">{"fdsup://Directions/FactSet Auditing Viewer?action=AUDIT_VALUE&amp;DB=129&amp;ID1=91704710&amp;VALUEID=13040&amp;SDATE=201001&amp;PERIODTYPE=QTR_STD&amp;window=popup_no_bar&amp;width=385&amp;height=120&amp;START_MAXIMIZED=FALSE&amp;creator=factset&amp;display_string=Audit"}</definedName>
    <definedName name="_996__FDSAUDITLINK__" hidden="1">{"fdsup://Directions/FactSet Auditing Viewer?action=AUDIT_VALUE&amp;DB=129&amp;ID1=02553E10&amp;VALUEID=02101&amp;SDATE=201001&amp;PERIODTYPE=QTR_STD&amp;window=popup_no_bar&amp;width=385&amp;height=120&amp;START_MAXIMIZED=FALSE&amp;creator=factset&amp;display_string=Audit"}</definedName>
    <definedName name="_997__FDSAUDITLINK__" hidden="1">{"fdsup://Directions/FactSet Auditing Viewer?action=AUDIT_VALUE&amp;DB=129&amp;ID1=02553E10&amp;VALUEID=13040&amp;SDATE=201001&amp;PERIODTYPE=QTR_STD&amp;window=popup_no_bar&amp;width=385&amp;height=120&amp;START_MAXIMIZED=FALSE&amp;creator=factset&amp;display_string=Audit"}</definedName>
    <definedName name="_998__FDSAUDITLINK__" hidden="1">{"fdsup://Directions/FactSet Auditing Viewer?action=AUDIT_VALUE&amp;DB=129&amp;ID1=00786510&amp;VALUEID=02101&amp;SDATE=201001&amp;PERIODTYPE=QTR_STD&amp;window=popup_no_bar&amp;width=385&amp;height=120&amp;START_MAXIMIZED=FALSE&amp;creator=factset&amp;display_string=Audit"}</definedName>
    <definedName name="_999__FDSAUDITLINK__" hidden="1">{"fdsup://Directions/FactSet Auditing Viewer?action=AUDIT_VALUE&amp;DB=129&amp;ID1=00786510&amp;VALUEID=13040&amp;SDATE=201001&amp;PERIODTYPE=QTR_STD&amp;window=popup_no_bar&amp;width=385&amp;height=120&amp;START_MAXIMIZED=FALSE&amp;creator=factset&amp;display_string=Audit"}</definedName>
    <definedName name="_bdm.2E87B883A9D449AAB84AABB1A73D2A13.edm">bal!$1:$1048576</definedName>
    <definedName name="_bdm.3C6E6069572E4AB88577A7BD6835A9A1.edm" localSheetId="12">flow!$A$7:$AK$59</definedName>
    <definedName name="_bdm.4B79407A1E7642E49447809D897BB676.edm">flow!$1:$1048576</definedName>
    <definedName name="_bdm.5254166B3D8349FB89B7A6488D81D98D.edm" localSheetId="12">flow!$A$8:$AK$58</definedName>
    <definedName name="_bdm.97D95071838944CB9E8962B32B9D1FED.edm" localSheetId="5">sumry!$B$5:$DU$51</definedName>
    <definedName name="_bdm.A4A2220F90284528BC3CBBE31F48ED2C.edm">sumry!$1:$1048576</definedName>
    <definedName name="_bdm.B4CF035D926742C1A60C938A0B7F6BE0.edm" localSheetId="5">sumry!$B$5:$DU$50</definedName>
    <definedName name="_bdm.B6B92954ABA1458DAE361AA8E29C389C.edm" localSheetId="11">bal!$A$5:$AM$45</definedName>
    <definedName name="_bdm.BC7D59E8F9424DF2A6610DDB1A4C7E39.edm" localSheetId="11">bal!$A$5:$AM$44</definedName>
    <definedName name="_bdm.D34A646FCCFB42FBBB883210FDD71A81.edm" localSheetId="12">flow!$A$8:$AK$59</definedName>
    <definedName name="_bdm.E1249CD2C48547DC9AA9006280330566.edm" localSheetId="5">sumry!$B$4:$DQ$64</definedName>
    <definedName name="_bdm.FDDF8C263A724D19AC9012BB3E473CB5.edm" localSheetId="5">sumry!$B$5:$DQ$51</definedName>
    <definedName name="_Order1">255</definedName>
    <definedName name="_Regression_Int" localSheetId="11">1</definedName>
    <definedName name="_Regression_Int" localSheetId="12">1</definedName>
    <definedName name="_Regression_Int" localSheetId="8">1</definedName>
    <definedName name="_Regression_Int" localSheetId="6">1</definedName>
    <definedName name="_Regression_Int" localSheetId="15">1</definedName>
    <definedName name="_Regression_Int" localSheetId="9">1</definedName>
    <definedName name="AAB_GSPPG">"AAB_Goldman Sachs PPG Chart Utilities 1.0g"</definedName>
    <definedName name="Act_Price" localSheetId="1">OFFSET(Date_Range,0,1,,1)</definedName>
    <definedName name="Act_Price">OFFSET(Date_Range,0,1,,1)</definedName>
    <definedName name="AdditionalInstructions">IndexInformation!$B$42</definedName>
    <definedName name="Address" localSheetId="0">ImportantDisclosures!$A$2:$A$2</definedName>
    <definedName name="ANA" localSheetId="20">ModPubIndex!$A$7</definedName>
    <definedName name="anscount">1</definedName>
    <definedName name="Authors" localSheetId="0">ImportantDisclosures!$A$7</definedName>
    <definedName name="Authors" localSheetId="19">IndexInformation!$B$18</definedName>
    <definedName name="BRO" localSheetId="20">ModPubIndex!$A$1</definedName>
    <definedName name="Chart_COE">#REF!:OFFSET(#REF!,0,#REF!)</definedName>
    <definedName name="Chart_RNOA">#REF!:OFFSET(#REF!,0,#REF!)</definedName>
    <definedName name="Chart_ROE">#REF!:OFFSET(#REF!,0,#REF!)</definedName>
    <definedName name="Chart_WACC">#REF!:OFFSET(#REF!,0,#REF!)</definedName>
    <definedName name="check" localSheetId="18">'MWA Lease'!$H$190:$P$190</definedName>
    <definedName name="CopyrightStamp">ImportantDisclosures!$A$27</definedName>
    <definedName name="COU" localSheetId="20">ModPubIndex!$A$5</definedName>
    <definedName name="CQEnd" localSheetId="19">IndexInformation!$B$31</definedName>
    <definedName name="Currency" localSheetId="19">IndexInformation!$B$24</definedName>
    <definedName name="CurrentStockPrice" localSheetId="19">IndexInformation!$B$23</definedName>
    <definedName name="CurrQtrEPS" localSheetId="19">IndexInformation!$B$29</definedName>
    <definedName name="CurrYearEPS" localSheetId="19">IndexInformation!$B$11</definedName>
    <definedName name="CurrYearTotalRevenue" localSheetId="19">IndexInformation!$B$10</definedName>
    <definedName name="CurrYearTotalRevenueActual" localSheetId="19">IndexInformation!$B$32</definedName>
    <definedName name="CUSIP" localSheetId="19">IndexInformation!$B$20</definedName>
    <definedName name="CYEnd" localSheetId="19">IndexInformation!$B$30</definedName>
    <definedName name="Date" localSheetId="0">ImportantDisclosures!$A$8</definedName>
    <definedName name="Deleted" localSheetId="19">IndexInformation!$B$27</definedName>
    <definedName name="Description" localSheetId="19">IndexInformation!$B$7</definedName>
    <definedName name="Discipline" localSheetId="19">IndexInformation!$B$3</definedName>
    <definedName name="DISCIPLINE" localSheetId="20">ModPubIndex!$A$12</definedName>
    <definedName name="DisclosuresText">ImportantDisclosures!$A$22</definedName>
    <definedName name="Distribution" localSheetId="19">IndexInformation!$B$26</definedName>
    <definedName name="DistTable" localSheetId="0">ImportantDisclosures!#REF!</definedName>
    <definedName name="DistTablePreamble" localSheetId="0">ImportantDisclosures!#REF!</definedName>
    <definedName name="DOCDAT" localSheetId="20">ModPubIndex!$A$2</definedName>
    <definedName name="DOCTIME" localSheetId="20">ModPubIndex!$A$3</definedName>
    <definedName name="DocType" localSheetId="19">IndexInformation!$B$5</definedName>
    <definedName name="Download_series">[3]!Download_series</definedName>
    <definedName name="EMAIL_ALERT" localSheetId="20">ModPubIndex!$A$10</definedName>
    <definedName name="EmailAlert" localSheetId="19">IndexInformation!$B$28</definedName>
    <definedName name="FINCopyDirection">1</definedName>
    <definedName name="FINCriteriaType">1</definedName>
    <definedName name="FiveYearGrowthRate" localSheetId="19">IndexInformation!$B$16</definedName>
    <definedName name="FollowingYearEPS" localSheetId="19">IndexInformation!$B$15</definedName>
    <definedName name="FollowingYearTotalRevenue" localSheetId="19">IndexInformation!$B$14</definedName>
    <definedName name="FollowingYearTotalRevenueActual" localSheetId="19">IndexInformation!$B$34</definedName>
    <definedName name="Growth_ROIC" localSheetId="18">OFFSET([0]!XRange,10,0)</definedName>
    <definedName name="HL" localSheetId="20">ModPubIndex!$A$8</definedName>
    <definedName name="IND" localSheetId="20">ModPubIndex!$A$9</definedName>
    <definedName name="Industry" localSheetId="0">ImportantDisclosures!$A$12</definedName>
    <definedName name="IndustryId">IndexInformation!$B$40</definedName>
    <definedName name="IndustryRating" localSheetId="0">ImportantDisclosures!$A$13</definedName>
    <definedName name="InvestCapGrowth" localSheetId="18">OFFSET([0]!XRange2,4,0)</definedName>
    <definedName name="IQ_ACCOUNT_CHANGE">"c1449"</definedName>
    <definedName name="IQ_ACCOUNTS_PAY">"c1343"</definedName>
    <definedName name="IQ_ACCR_INT_PAY">"c1"</definedName>
    <definedName name="IQ_ACCR_INT_PAY_CF">"c2"</definedName>
    <definedName name="IQ_ACCR_INT_RECEIV">"c3"</definedName>
    <definedName name="IQ_ACCR_INT_RECEIV_CF">"c4"</definedName>
    <definedName name="IQ_ACCRUED_EXP">"c1341"</definedName>
    <definedName name="IQ_ACCT_RECV_10YR_ANN_GROWTH">"c1924"</definedName>
    <definedName name="IQ_ACCT_RECV_1YR_ANN_GROWTH">"c1919"</definedName>
    <definedName name="IQ_ACCT_RECV_2YR_ANN_GROWTH">"c1920"</definedName>
    <definedName name="IQ_ACCT_RECV_3YR_ANN_GROWTH">"c1921"</definedName>
    <definedName name="IQ_ACCT_RECV_5YR_ANN_GROWTH">"c1922"</definedName>
    <definedName name="IQ_ACCT_RECV_7YR_ANN_GROWTH">"c1923"</definedName>
    <definedName name="IQ_ACCUM_DEP">"c1340"</definedName>
    <definedName name="IQ_ACCUMULATED_PENSION_OBLIGATION">"c2244"</definedName>
    <definedName name="IQ_ACCUMULATED_PENSION_OBLIGATION_DOMESTIC">"c2657"</definedName>
    <definedName name="IQ_ACCUMULATED_PENSION_OBLIGATION_FOREIGN">"c2665"</definedName>
    <definedName name="IQ_ACQ_COST_SUB">"c2125"</definedName>
    <definedName name="IQ_ACQ_COSTS_CAPITALIZED">"c5"</definedName>
    <definedName name="IQ_ACQUIRE_REAL_ESTATE_CF">"c6"</definedName>
    <definedName name="IQ_ACQUISITION_RE_ASSETS">"c1628"</definedName>
    <definedName name="IQ_AD">"c7"</definedName>
    <definedName name="IQ_ADD_PAID_IN">"c1344"</definedName>
    <definedName name="IQ_ADJ_AVG_BANK_ASSETS">"c2671"</definedName>
    <definedName name="IQ_ADMIN_RATIO">"c2784"</definedName>
    <definedName name="IQ_ADVERTISING">"c2246"</definedName>
    <definedName name="IQ_ADVERTISING_MARKETING">"c1566"</definedName>
    <definedName name="IQ_AE">"c8"</definedName>
    <definedName name="IQ_AE_BNK">"c9"</definedName>
    <definedName name="IQ_AE_BR">"c10"</definedName>
    <definedName name="IQ_AE_FIN">"c11"</definedName>
    <definedName name="IQ_AE_INS">"c12"</definedName>
    <definedName name="IQ_AE_REIT">"c13"</definedName>
    <definedName name="IQ_AE_UTI">"c14"</definedName>
    <definedName name="IQ_AH_EARNED">"c2744"</definedName>
    <definedName name="IQ_AH_POLICY_BENEFITS_EXP">"c2789"</definedName>
    <definedName name="IQ_AIR_AIRPLANES_NOT_IN_SERVICE">"c2842"</definedName>
    <definedName name="IQ_AIR_AIRPLANES_SUBLEASED">"c2841"</definedName>
    <definedName name="IQ_AIR_ASK">"c2813"</definedName>
    <definedName name="IQ_AIR_ASK_INCREASE">"c2826"</definedName>
    <definedName name="IQ_AIR_ASM">"c2812"</definedName>
    <definedName name="IQ_AIR_ASM_INCREASE">"c2825"</definedName>
    <definedName name="IQ_AIR_AVG_AGE">"c2843"</definedName>
    <definedName name="IQ_AIR_BREAK_EVEN_FACTOR">"c2822"</definedName>
    <definedName name="IQ_AIR_CAPITAL_LEASE">"c2833"</definedName>
    <definedName name="IQ_AIR_COMPLETION_FACTOR">"c2824"</definedName>
    <definedName name="IQ_AIR_ENPLANED_PSGRS">"c2809"</definedName>
    <definedName name="IQ_AIR_FUEL_CONSUMED">"c2806"</definedName>
    <definedName name="IQ_AIR_FUEL_CONSUMED_L">"c2807"</definedName>
    <definedName name="IQ_AIR_FUEL_COST">"c2803"</definedName>
    <definedName name="IQ_AIR_FUEL_COST_L">"c2804"</definedName>
    <definedName name="IQ_AIR_FUEL_EXP">"c2802"</definedName>
    <definedName name="IQ_AIR_FUEL_EXP_PERCENT">"c2805"</definedName>
    <definedName name="IQ_AIR_LEASED">"c2835"</definedName>
    <definedName name="IQ_AIR_LOAD_FACTOR">"c2823"</definedName>
    <definedName name="IQ_AIR_NEW_AIRPLANES">"c2839"</definedName>
    <definedName name="IQ_AIR_OPER_EXP_ASK">"c2821"</definedName>
    <definedName name="IQ_AIR_OPER_EXP_ASM">"c2820"</definedName>
    <definedName name="IQ_AIR_OPER_LEASE">"c2834"</definedName>
    <definedName name="IQ_AIR_OPER_REV_YIELD_ASK">"c2819"</definedName>
    <definedName name="IQ_AIR_OPER_REV_YIELD_ASM">"c2818"</definedName>
    <definedName name="IQ_AIR_OPTIONS">"c2837"</definedName>
    <definedName name="IQ_AIR_ORDERS">"c2836"</definedName>
    <definedName name="IQ_AIR_OWNED">"c2832"</definedName>
    <definedName name="IQ_AIR_PSGR_REV_YIELD_ASK">"c2817"</definedName>
    <definedName name="IQ_AIR_PSGR_REV_YIELD_ASM">"c2816"</definedName>
    <definedName name="IQ_AIR_PSGR_REV_YIELD_RPK">"c2815"</definedName>
    <definedName name="IQ_AIR_PSGR_REV_YIELD_RPM">"c2814"</definedName>
    <definedName name="IQ_AIR_PURCHASE_RIGHTS">"c2838"</definedName>
    <definedName name="IQ_AIR_RETIRED_AIRPLANES">"c2840"</definedName>
    <definedName name="IQ_AIR_REV_PSGRS_CARRIED">"c2808"</definedName>
    <definedName name="IQ_AIR_REV_SCHEDULED_SERVICE">"c2830"</definedName>
    <definedName name="IQ_AIR_RPK">"c2811"</definedName>
    <definedName name="IQ_AIR_RPM">"c2810"</definedName>
    <definedName name="IQ_AIR_STAGE_LENGTH">"c2828"</definedName>
    <definedName name="IQ_AIR_STAGE_LENGTH_KM">"c2829"</definedName>
    <definedName name="IQ_AIR_TOTAL">"c2831"</definedName>
    <definedName name="IQ_AIR_UTILIZATION">"c2827"</definedName>
    <definedName name="IQ_ALLOW_BORROW_CONST">"c15"</definedName>
    <definedName name="IQ_ALLOW_CONST">"c1342"</definedName>
    <definedName name="IQ_ALLOW_DOUBT_ACCT">"c2092"</definedName>
    <definedName name="IQ_ALLOW_EQUITY_CONST">"c16"</definedName>
    <definedName name="IQ_ALLOW_LL">"c17"</definedName>
    <definedName name="IQ_ALLOWANCE_10YR_ANN_GROWTH">"c18"</definedName>
    <definedName name="IQ_ALLOWANCE_1YR_ANN_GROWTH">"c19"</definedName>
    <definedName name="IQ_ALLOWANCE_2YR_ANN_GROWTH">"c20"</definedName>
    <definedName name="IQ_ALLOWANCE_3YR_ANN_GROWTH">"c21"</definedName>
    <definedName name="IQ_ALLOWANCE_5YR_ANN_GROWTH">"c22"</definedName>
    <definedName name="IQ_ALLOWANCE_7YR_ANN_GROWTH">"c23"</definedName>
    <definedName name="IQ_ALLOWANCE_CHARGE_OFFS">"c24"</definedName>
    <definedName name="IQ_ALLOWANCE_NON_PERF_LOANS">"c25"</definedName>
    <definedName name="IQ_ALLOWANCE_TOTAL_LOANS">"c26"</definedName>
    <definedName name="IQ_AMORTIZATION">"c1591"</definedName>
    <definedName name="IQ_AMT_OUT">"c2145"</definedName>
    <definedName name="IQ_ANNU_DISTRIBUTION_UNIT">"c3004"</definedName>
    <definedName name="IQ_ANNUALIZED_DIVIDEND">"c1579"</definedName>
    <definedName name="IQ_ANNUITY_LIAB">"c27"</definedName>
    <definedName name="IQ_ANNUITY_PAY">"c28"</definedName>
    <definedName name="IQ_ANNUITY_POLICY_EXP">"c29"</definedName>
    <definedName name="IQ_ANNUITY_REC">"c30"</definedName>
    <definedName name="IQ_ANNUITY_REV">"c31"</definedName>
    <definedName name="IQ_AP">"c32"</definedName>
    <definedName name="IQ_AP_BNK">"c33"</definedName>
    <definedName name="IQ_AP_BR">"c34"</definedName>
    <definedName name="IQ_AP_FIN">"c35"</definedName>
    <definedName name="IQ_AP_INS">"c36"</definedName>
    <definedName name="IQ_AP_REIT">"c37"</definedName>
    <definedName name="IQ_AP_UTI">"c38"</definedName>
    <definedName name="IQ_APIC">"c39"</definedName>
    <definedName name="IQ_AR">"c40"</definedName>
    <definedName name="IQ_AR_BR">"c41"</definedName>
    <definedName name="IQ_AR_LT">"c42"</definedName>
    <definedName name="IQ_AR_REIT">"c43"</definedName>
    <definedName name="IQ_AR_TURNS">"c44"</definedName>
    <definedName name="IQ_AR_UTI">"c45"</definedName>
    <definedName name="IQ_ARPU">"c2126"</definedName>
    <definedName name="IQ_ASSET_MGMT_FEE">"c46"</definedName>
    <definedName name="IQ_ASSET_TURNS">"c47"</definedName>
    <definedName name="IQ_ASSET_WRITEDOWN">"c48"</definedName>
    <definedName name="IQ_ASSET_WRITEDOWN_BNK">"c49"</definedName>
    <definedName name="IQ_ASSET_WRITEDOWN_BR">"c50"</definedName>
    <definedName name="IQ_ASSET_WRITEDOWN_CF">"c51"</definedName>
    <definedName name="IQ_ASSET_WRITEDOWN_CF_BNK">"c52"</definedName>
    <definedName name="IQ_ASSET_WRITEDOWN_CF_BR">"c53"</definedName>
    <definedName name="IQ_ASSET_WRITEDOWN_CF_FIN">"c54"</definedName>
    <definedName name="IQ_ASSET_WRITEDOWN_CF_INS">"c55"</definedName>
    <definedName name="IQ_ASSET_WRITEDOWN_CF_REIT">"c56"</definedName>
    <definedName name="IQ_ASSET_WRITEDOWN_CF_UTI">"c57"</definedName>
    <definedName name="IQ_ASSET_WRITEDOWN_FIN">"c58"</definedName>
    <definedName name="IQ_ASSET_WRITEDOWN_INS">"c59"</definedName>
    <definedName name="IQ_ASSET_WRITEDOWN_REIT">"c60"</definedName>
    <definedName name="IQ_ASSET_WRITEDOWN_UTI">"c61"</definedName>
    <definedName name="IQ_ASSETS_CAP_LEASE_DEPR">"c2068"</definedName>
    <definedName name="IQ_ASSETS_CAP_LEASE_GROSS">"c2069"</definedName>
    <definedName name="IQ_ASSETS_OPER_LEASE_DEPR">"c2070"</definedName>
    <definedName name="IQ_ASSETS_OPER_LEASE_GROSS">"c2071"</definedName>
    <definedName name="IQ_ASSUMED_AH_EARNED">"c2741"</definedName>
    <definedName name="IQ_ASSUMED_EARNED">"c2731"</definedName>
    <definedName name="IQ_ASSUMED_LIFE_EARNED">"c2736"</definedName>
    <definedName name="IQ_ASSUMED_LIFE_IN_FORCE">"c2766"</definedName>
    <definedName name="IQ_ASSUMED_PC_EARNED">"c2746"</definedName>
    <definedName name="IQ_ASSUMED_WRITTEN">"c2725"</definedName>
    <definedName name="IQ_AUDITOR_NAME">"c1539"</definedName>
    <definedName name="IQ_AUDITOR_OPINION">"c1540"</definedName>
    <definedName name="IQ_AUTO_WRITTEN">"c62"</definedName>
    <definedName name="IQ_AVG_BANK_ASSETS">"c2072"</definedName>
    <definedName name="IQ_AVG_BANK_LOANS">"c2073"</definedName>
    <definedName name="IQ_AVG_BROKER_REC">"c63"</definedName>
    <definedName name="IQ_AVG_BROKER_REC_NO">"c64"</definedName>
    <definedName name="IQ_AVG_BROKER_REC_NO_REUT">"c5315"</definedName>
    <definedName name="IQ_AVG_BROKER_REC_REUT">"c3630"</definedName>
    <definedName name="IQ_AVG_DAILY_VOL">"c65"</definedName>
    <definedName name="IQ_AVG_INDUSTRY_REC">"c4455"</definedName>
    <definedName name="IQ_AVG_INT_BEAR_LIAB">"c66"</definedName>
    <definedName name="IQ_AVG_INT_BEAR_LIAB_10YR_ANN_GROWTH">"c67"</definedName>
    <definedName name="IQ_AVG_INT_BEAR_LIAB_1YR_ANN_GROWTH">"c68"</definedName>
    <definedName name="IQ_AVG_INT_BEAR_LIAB_2YR_ANN_GROWTH">"c69"</definedName>
    <definedName name="IQ_AVG_INT_BEAR_LIAB_3YR_ANN_GROWTH">"c70"</definedName>
    <definedName name="IQ_AVG_INT_BEAR_LIAB_5YR_ANN_GROWTH">"c71"</definedName>
    <definedName name="IQ_AVG_INT_BEAR_LIAB_7YR_ANN_GROWTH">"c72"</definedName>
    <definedName name="IQ_AVG_INT_EARN_ASSETS">"c73"</definedName>
    <definedName name="IQ_AVG_INT_EARN_ASSETS_10YR_ANN_GROWTH">"c74"</definedName>
    <definedName name="IQ_AVG_INT_EARN_ASSETS_1YR_ANN_GROWTH">"c75"</definedName>
    <definedName name="IQ_AVG_INT_EARN_ASSETS_2YR_ANN_GROWTH">"c76"</definedName>
    <definedName name="IQ_AVG_INT_EARN_ASSETS_3YR_ANN_GROWTH">"c77"</definedName>
    <definedName name="IQ_AVG_INT_EARN_ASSETS_5YR_ANN_GROWTH">"c78"</definedName>
    <definedName name="IQ_AVG_INT_EARN_ASSETS_7YR_ANN_GROWTH">"c79"</definedName>
    <definedName name="IQ_AVG_MKTCAP">"c80"</definedName>
    <definedName name="IQ_AVG_PRICE">"c81"</definedName>
    <definedName name="IQ_AVG_SHAREOUTSTANDING">"c83"</definedName>
    <definedName name="IQ_AVG_TEV">"c84"</definedName>
    <definedName name="IQ_AVG_VOLUME">"c1346"</definedName>
    <definedName name="IQ_BANK_DEBT">"c2544"</definedName>
    <definedName name="IQ_BANK_DEBT_PCT">"c2545"</definedName>
    <definedName name="IQ_BASIC_EPS_EXCL">"c85"</definedName>
    <definedName name="IQ_BASIC_EPS_INCL">"c86"</definedName>
    <definedName name="IQ_BASIC_NORMAL_EPS">"c1592"</definedName>
    <definedName name="IQ_BASIC_WEIGHT">"c87"</definedName>
    <definedName name="IQ_BENCHMARK_SECURITY">"c2154"</definedName>
    <definedName name="IQ_BENCHMARK_SPRD">"c2153"</definedName>
    <definedName name="IQ_BETA">"c2133"</definedName>
    <definedName name="IQ_BETA_1YR">"c1966"</definedName>
    <definedName name="IQ_BETA_1YR_RSQ">"c2132"</definedName>
    <definedName name="IQ_BETA_2YR">"c1965"</definedName>
    <definedName name="IQ_BETA_2YR_RSQ">"c2131"</definedName>
    <definedName name="IQ_BETA_5YR">"c88"</definedName>
    <definedName name="IQ_BETA_5YR_RSQ">"c2130"</definedName>
    <definedName name="IQ_BIG_INT_BEAR_CD">"c89"</definedName>
    <definedName name="IQ_BOARD_MEMBER">"c96"</definedName>
    <definedName name="IQ_BOARD_MEMBER_BACKGROUND">"c2101"</definedName>
    <definedName name="IQ_BOARD_MEMBER_TITLE">"c97"</definedName>
    <definedName name="IQ_BOND_COUPON">"c2183"</definedName>
    <definedName name="IQ_BOND_COUPON_TYPE">"c2184"</definedName>
    <definedName name="IQ_BOND_PRICE">"c2162"</definedName>
    <definedName name="IQ_BROK_COMISSION">"c98"</definedName>
    <definedName name="IQ_BROK_COMMISSION">"c3514"</definedName>
    <definedName name="IQ_BUILDINGS">"c99"</definedName>
    <definedName name="IQ_BUS_SEG_ASSETS">"c4067"</definedName>
    <definedName name="IQ_BUS_SEG_ASSETS_ABS">"c4089"</definedName>
    <definedName name="IQ_BUS_SEG_ASSETS_TOTAL">"c4112"</definedName>
    <definedName name="IQ_BUS_SEG_CAPEX">"c4079"</definedName>
    <definedName name="IQ_BUS_SEG_CAPEX_ABS">"c4101"</definedName>
    <definedName name="IQ_BUS_SEG_CAPEX_TOTAL">"c4116"</definedName>
    <definedName name="IQ_BUS_SEG_DA">"c4078"</definedName>
    <definedName name="IQ_BUS_SEG_DA_ABS">"c4100"</definedName>
    <definedName name="IQ_BUS_SEG_DA_TOTAL">"c4115"</definedName>
    <definedName name="IQ_BUS_SEG_EARNINGS_OP">"c4063"</definedName>
    <definedName name="IQ_BUS_SEG_EARNINGS_OP_ABS">"c4085"</definedName>
    <definedName name="IQ_BUS_SEG_EARNINGS_OP_TOTAL">"c4108"</definedName>
    <definedName name="IQ_BUS_SEG_EBT">"c4064"</definedName>
    <definedName name="IQ_BUS_SEG_EBT_ABS">"c4086"</definedName>
    <definedName name="IQ_BUS_SEG_EBT_TOTAL">"c4110"</definedName>
    <definedName name="IQ_BUS_SEG_GP">"c4066"</definedName>
    <definedName name="IQ_BUS_SEG_GP_ABS">"c4088"</definedName>
    <definedName name="IQ_BUS_SEG_GP_TOTAL">"c4109"</definedName>
    <definedName name="IQ_BUS_SEG_INC_TAX">"c4077"</definedName>
    <definedName name="IQ_BUS_SEG_INC_TAX_ABS">"c4099"</definedName>
    <definedName name="IQ_BUS_SEG_INC_TAX_TOTAL">"c4114"</definedName>
    <definedName name="IQ_BUS_SEG_INTEREST_EXP">"c4076"</definedName>
    <definedName name="IQ_BUS_SEG_INTEREST_EXP_ABS">"c4098"</definedName>
    <definedName name="IQ_BUS_SEG_INTEREST_EXP_TOTAL">"c4113"</definedName>
    <definedName name="IQ_BUS_SEG_NAME">"c5482"</definedName>
    <definedName name="IQ_BUS_SEG_NAME_ABS">"c5483"</definedName>
    <definedName name="IQ_BUS_SEG_NI">"c4065"</definedName>
    <definedName name="IQ_BUS_SEG_NI_ABS">"c4087"</definedName>
    <definedName name="IQ_BUS_SEG_NI_TOTAL">"c4111"</definedName>
    <definedName name="IQ_BUS_SEG_OPER_INC">"c4062"</definedName>
    <definedName name="IQ_BUS_SEG_OPER_INC_ABS">"c4084"</definedName>
    <definedName name="IQ_BUS_SEG_OPER_INC_TOTAL">"c4107"</definedName>
    <definedName name="IQ_BUS_SEG_REV">"c4068"</definedName>
    <definedName name="IQ_BUS_SEG_REV_ABS">"c4090"</definedName>
    <definedName name="IQ_BUS_SEG_REV_TOTAL">"c4106"</definedName>
    <definedName name="IQ_BUSINESS_DESCRIPTION">"c322"</definedName>
    <definedName name="IQ_BV_OVER_SHARES">"c1349"</definedName>
    <definedName name="IQ_BV_SHARE">"c100"</definedName>
    <definedName name="IQ_CABLE_ARPU">"c2869"</definedName>
    <definedName name="IQ_CABLE_ARPU_ANALOG">"c2864"</definedName>
    <definedName name="IQ_CABLE_ARPU_BASIC">"c2866"</definedName>
    <definedName name="IQ_CABLE_ARPU_BBAND">"c2867"</definedName>
    <definedName name="IQ_CABLE_ARPU_DIG">"c2865"</definedName>
    <definedName name="IQ_CABLE_ARPU_PHONE">"c2868"</definedName>
    <definedName name="IQ_CABLE_BASIC_PENETRATION">"c2850"</definedName>
    <definedName name="IQ_CABLE_BBAND_PENETRATION">"c2852"</definedName>
    <definedName name="IQ_CABLE_BBAND_PENETRATION_THP">"c2851"</definedName>
    <definedName name="IQ_CABLE_CHURN">"c2874"</definedName>
    <definedName name="IQ_CABLE_CHURN_BASIC">"c2871"</definedName>
    <definedName name="IQ_CABLE_CHURN_BBAND">"c2872"</definedName>
    <definedName name="IQ_CABLE_CHURN_DIG">"c2870"</definedName>
    <definedName name="IQ_CABLE_CHURN_PHONE">"c2873"</definedName>
    <definedName name="IQ_CABLE_HOMES_PER_MILE">"c2849"</definedName>
    <definedName name="IQ_CABLE_HP_BBAND">"c2845"</definedName>
    <definedName name="IQ_CABLE_HP_DIG">"c2844"</definedName>
    <definedName name="IQ_CABLE_HP_PHONE">"c2846"</definedName>
    <definedName name="IQ_CABLE_MILES_PASSED">"c2848"</definedName>
    <definedName name="IQ_CABLE_OTHER_REV">"c2882"</definedName>
    <definedName name="IQ_CABLE_PHONE_PENETRATION">"c2853"</definedName>
    <definedName name="IQ_CABLE_PROGRAMMING_COSTS">"c2884"</definedName>
    <definedName name="IQ_CABLE_REV_ADVERT">"c2880"</definedName>
    <definedName name="IQ_CABLE_REV_ANALOG">"c2875"</definedName>
    <definedName name="IQ_CABLE_REV_BASIC">"c2877"</definedName>
    <definedName name="IQ_CABLE_REV_BBAND">"c2878"</definedName>
    <definedName name="IQ_CABLE_REV_COMMERCIAL">"c2881"</definedName>
    <definedName name="IQ_CABLE_REV_DIG">"c2876"</definedName>
    <definedName name="IQ_CABLE_REV_PHONE">"c2879"</definedName>
    <definedName name="IQ_CABLE_RGU">"c2863"</definedName>
    <definedName name="IQ_CABLE_SUBS_ANALOG">"c2855"</definedName>
    <definedName name="IQ_CABLE_SUBS_BASIC">"c2857"</definedName>
    <definedName name="IQ_CABLE_SUBS_BBAND">"c2858"</definedName>
    <definedName name="IQ_CABLE_SUBS_BUNDLED">"c2861"</definedName>
    <definedName name="IQ_CABLE_SUBS_DIG">"c2856"</definedName>
    <definedName name="IQ_CABLE_SUBS_NON_VIDEO">"c2860"</definedName>
    <definedName name="IQ_CABLE_SUBS_PHONE">"c2859"</definedName>
    <definedName name="IQ_CABLE_SUBS_TOTAL">"c2862"</definedName>
    <definedName name="IQ_CABLE_THP">"c2847"</definedName>
    <definedName name="IQ_CABLE_TOTAL_PENETRATION">"c2854"</definedName>
    <definedName name="IQ_CABLE_TOTAL_REV">"c2883"</definedName>
    <definedName name="IQ_CAL_Q">"c101"</definedName>
    <definedName name="IQ_CAL_Y">"c102"</definedName>
    <definedName name="IQ_CALC_TYPE_BS">"c3086"</definedName>
    <definedName name="IQ_CALC_TYPE_CF">"c3085"</definedName>
    <definedName name="IQ_CALC_TYPE_IS">"c3084"</definedName>
    <definedName name="IQ_CALL_DATE_SCHEDULE">"c2481"</definedName>
    <definedName name="IQ_CALL_FEATURE">"c2197"</definedName>
    <definedName name="IQ_CALL_PRICE_SCHEDULE">"c2482"</definedName>
    <definedName name="IQ_CALLABLE">"c2196"</definedName>
    <definedName name="IQ_CAP_LOSS_CF_1YR">"c3474"</definedName>
    <definedName name="IQ_CAP_LOSS_CF_2YR">"c3475"</definedName>
    <definedName name="IQ_CAP_LOSS_CF_3YR">"c3476"</definedName>
    <definedName name="IQ_CAP_LOSS_CF_4YR">"c3477"</definedName>
    <definedName name="IQ_CAP_LOSS_CF_5YR">"c3478"</definedName>
    <definedName name="IQ_CAP_LOSS_CF_AFTER_FIVE">"c3479"</definedName>
    <definedName name="IQ_CAP_LOSS_CF_MAX_YEAR">"c3482"</definedName>
    <definedName name="IQ_CAP_LOSS_CF_NO_EXP">"c3480"</definedName>
    <definedName name="IQ_CAP_LOSS_CF_TOTAL">"c3481"</definedName>
    <definedName name="IQ_CAPEX">"c103"</definedName>
    <definedName name="IQ_CAPEX_10YR_ANN_GROWTH">"c104"</definedName>
    <definedName name="IQ_CAPEX_1YR_ANN_GROWTH">"c105"</definedName>
    <definedName name="IQ_CAPEX_2YR_ANN_GROWTH">"c106"</definedName>
    <definedName name="IQ_CAPEX_3YR_ANN_GROWTH">"c107"</definedName>
    <definedName name="IQ_CAPEX_5YR_ANN_GROWTH">"c108"</definedName>
    <definedName name="IQ_CAPEX_7YR_ANN_GROWTH">"c109"</definedName>
    <definedName name="IQ_CAPEX_BNK">"c110"</definedName>
    <definedName name="IQ_CAPEX_BR">"c111"</definedName>
    <definedName name="IQ_CAPEX_FIN">"c112"</definedName>
    <definedName name="IQ_CAPEX_INS">"c113"</definedName>
    <definedName name="IQ_CAPEX_UTI">"c114"</definedName>
    <definedName name="IQ_CAPITAL_LEASE">"c1350"</definedName>
    <definedName name="IQ_CAPITAL_LEASES">"c115"</definedName>
    <definedName name="IQ_CAPITAL_LEASES_TOTAL">"c3031"</definedName>
    <definedName name="IQ_CAPITAL_LEASES_TOTAL_PCT">"c2506"</definedName>
    <definedName name="IQ_CAPITALIZED_INTEREST" localSheetId="2">"c3460"</definedName>
    <definedName name="IQ_CAPITALIZED_INTEREST" localSheetId="18" hidden="1">"c3460"</definedName>
    <definedName name="IQ_CAPITALIZED_INTEREST">"c2076"</definedName>
    <definedName name="IQ_CAPITALIZED_INTEREST_BOP">"c3459"</definedName>
    <definedName name="IQ_CAPITALIZED_INTEREST_EOP">"c3464"</definedName>
    <definedName name="IQ_CAPITALIZED_INTEREST_EXP">"c3461"</definedName>
    <definedName name="IQ_CAPITALIZED_INTEREST_OTHER_ADJ">"c3463"</definedName>
    <definedName name="IQ_CAPITALIZED_INTEREST_WRITE_OFF">"c3462"</definedName>
    <definedName name="IQ_CASH">"c1458"</definedName>
    <definedName name="IQ_CASH_ACQUIRE_CF">"c116"</definedName>
    <definedName name="IQ_CASH_CONVERSION">"c117"</definedName>
    <definedName name="IQ_CASH_DUE_BANKS">"c1351"</definedName>
    <definedName name="IQ_CASH_EQUIV">"c118"</definedName>
    <definedName name="IQ_CASH_FINAN">"c119"</definedName>
    <definedName name="IQ_CASH_FLOW_ACT_OR_EST">"c4154"</definedName>
    <definedName name="IQ_CASH_INTEREST">"c120"</definedName>
    <definedName name="IQ_CASH_INVEST">"c121"</definedName>
    <definedName name="IQ_CASH_OPER">"c122"</definedName>
    <definedName name="IQ_CASH_OPER_ACT_OR_EST">"c4164"</definedName>
    <definedName name="IQ_CASH_SEGREG">"c123"</definedName>
    <definedName name="IQ_CASH_SHARE">"c1911"</definedName>
    <definedName name="IQ_CASH_ST">"c1355"</definedName>
    <definedName name="IQ_CASH_ST_INVEST">"c124"</definedName>
    <definedName name="IQ_CASH_TAXES">"c125"</definedName>
    <definedName name="IQ_CEDED_AH_EARNED">"c2743"</definedName>
    <definedName name="IQ_CEDED_CLAIM_EXP_INCUR">"c2756"</definedName>
    <definedName name="IQ_CEDED_CLAIM_EXP_PAID">"c2759"</definedName>
    <definedName name="IQ_CEDED_CLAIM_EXP_RES">"c2753"</definedName>
    <definedName name="IQ_CEDED_EARNED">"c2733"</definedName>
    <definedName name="IQ_CEDED_LIFE_EARNED">"c2738"</definedName>
    <definedName name="IQ_CEDED_LIFE_IN_FORCE">"c2768"</definedName>
    <definedName name="IQ_CEDED_PC_EARNED">"c2748"</definedName>
    <definedName name="IQ_CEDED_WRITTEN">"c2727"</definedName>
    <definedName name="IQ_CFO_10YR_ANN_GROWTH">"c126"</definedName>
    <definedName name="IQ_CFO_1YR_ANN_GROWTH">"c127"</definedName>
    <definedName name="IQ_CFO_2YR_ANN_GROWTH">"c128"</definedName>
    <definedName name="IQ_CFO_3YR_ANN_GROWTH">"c129"</definedName>
    <definedName name="IQ_CFO_5YR_ANN_GROWTH">"c130"</definedName>
    <definedName name="IQ_CFO_7YR_ANN_GROWTH">"c131"</definedName>
    <definedName name="IQ_CFO_CURRENT_LIAB">"c132"</definedName>
    <definedName name="IQ_CHANGE_AP">"c133"</definedName>
    <definedName name="IQ_CHANGE_AP_BNK">"c134"</definedName>
    <definedName name="IQ_CHANGE_AP_BR">"c135"</definedName>
    <definedName name="IQ_CHANGE_AP_FIN">"c136"</definedName>
    <definedName name="IQ_CHANGE_AP_INS">"c137"</definedName>
    <definedName name="IQ_CHANGE_AP_REIT">"c138"</definedName>
    <definedName name="IQ_CHANGE_AP_UTI">"c139"</definedName>
    <definedName name="IQ_CHANGE_AR">"c140"</definedName>
    <definedName name="IQ_CHANGE_AR_BNK">"c141"</definedName>
    <definedName name="IQ_CHANGE_AR_BR">"c142"</definedName>
    <definedName name="IQ_CHANGE_AR_FIN">"c143"</definedName>
    <definedName name="IQ_CHANGE_AR_INS">"c144"</definedName>
    <definedName name="IQ_CHANGE_AR_REIT">"c145"</definedName>
    <definedName name="IQ_CHANGE_AR_UTI">"c146"</definedName>
    <definedName name="IQ_CHANGE_DEF_TAX">"c147"</definedName>
    <definedName name="IQ_CHANGE_DEPOSIT_ACCT">"c148"</definedName>
    <definedName name="IQ_CHANGE_INC_TAX">"c149"</definedName>
    <definedName name="IQ_CHANGE_INS_RES_LIAB">"c150"</definedName>
    <definedName name="IQ_CHANGE_INVENTORY">"c151"</definedName>
    <definedName name="IQ_CHANGE_NET_OPER_ASSETS">"c3592"</definedName>
    <definedName name="IQ_CHANGE_NET_WORKING_CAPITAL">"c1909"</definedName>
    <definedName name="IQ_CHANGE_OTHER_NET_OPER_ASSETS">"c3593"</definedName>
    <definedName name="IQ_CHANGE_OTHER_NET_OPER_ASSETS_BNK">"c3594"</definedName>
    <definedName name="IQ_CHANGE_OTHER_NET_OPER_ASSETS_BR">"c3595"</definedName>
    <definedName name="IQ_CHANGE_OTHER_NET_OPER_ASSETS_FIN">"c3596"</definedName>
    <definedName name="IQ_CHANGE_OTHER_NET_OPER_ASSETS_INS">"c3597"</definedName>
    <definedName name="IQ_CHANGE_OTHER_NET_OPER_ASSETS_REIT">"c3598"</definedName>
    <definedName name="IQ_CHANGE_OTHER_NET_OPER_ASSETS_UTI">"c3599"</definedName>
    <definedName name="IQ_CHANGE_OTHER_WORK_CAP">"c152"</definedName>
    <definedName name="IQ_CHANGE_OTHER_WORK_CAP_BNK">"c153"</definedName>
    <definedName name="IQ_CHANGE_OTHER_WORK_CAP_BR">"c154"</definedName>
    <definedName name="IQ_CHANGE_OTHER_WORK_CAP_FIN">"c155"</definedName>
    <definedName name="IQ_CHANGE_OTHER_WORK_CAP_INS">"c156"</definedName>
    <definedName name="IQ_CHANGE_OTHER_WORK_CAP_REIT">"c157"</definedName>
    <definedName name="IQ_CHANGE_OTHER_WORK_CAP_UTI">"c158"</definedName>
    <definedName name="IQ_CHANGE_TRADING_ASSETS">"c159"</definedName>
    <definedName name="IQ_CHANGE_UNEARN_REV">"c160"</definedName>
    <definedName name="IQ_CHANGE_WORK_CAP">"c161"</definedName>
    <definedName name="IQ_CHANGES_WORK_CAP">"c1357"</definedName>
    <definedName name="IQ_CHARGE_OFFS_GROSS">"c162"</definedName>
    <definedName name="IQ_CHARGE_OFFS_NET">"c163"</definedName>
    <definedName name="IQ_CHARGE_OFFS_RECOVERED">"c164"</definedName>
    <definedName name="IQ_CHARGE_OFFS_TOTAL_AVG_LOANS">"c165"</definedName>
    <definedName name="IQ_CITY">"c166"</definedName>
    <definedName name="IQ_CL_DUE_AFTER_FIVE">"c167"</definedName>
    <definedName name="IQ_CL_DUE_CY">"c168"</definedName>
    <definedName name="IQ_CL_DUE_CY1">"c169"</definedName>
    <definedName name="IQ_CL_DUE_CY2">"c170"</definedName>
    <definedName name="IQ_CL_DUE_CY3">"c171"</definedName>
    <definedName name="IQ_CL_DUE_CY4">"c172"</definedName>
    <definedName name="IQ_CL_DUE_NEXT_FIVE">"c173"</definedName>
    <definedName name="IQ_CL_OBLIGATION_IMMEDIATE">"c2253"</definedName>
    <definedName name="IQ_CLASSA_OPTIONS_BEG_OS">"c2679"</definedName>
    <definedName name="IQ_CLASSA_OPTIONS_CANCELLED">"c2682"</definedName>
    <definedName name="IQ_CLASSA_OPTIONS_END_OS">"c2683"</definedName>
    <definedName name="IQ_CLASSA_OPTIONS_EXERCISED">"c2681"</definedName>
    <definedName name="IQ_CLASSA_OPTIONS_GRANTED">"c2680"</definedName>
    <definedName name="IQ_CLASSA_OPTIONS_STRIKE_PRICE_OS">"c2684"</definedName>
    <definedName name="IQ_CLASSA_OUTSTANDING_BS_DATE">"c1971"</definedName>
    <definedName name="IQ_CLASSA_OUTSTANDING_FILING_DATE">"c1973"</definedName>
    <definedName name="IQ_CLASSA_STRIKE_PRICE_GRANTED">"c2685"</definedName>
    <definedName name="IQ_CLASSA_WARRANTS_BEG_OS">"c2705"</definedName>
    <definedName name="IQ_CLASSA_WARRANTS_CANCELLED">"c2708"</definedName>
    <definedName name="IQ_CLASSA_WARRANTS_END_OS">"c2709"</definedName>
    <definedName name="IQ_CLASSA_WARRANTS_EXERCISED">"c2707"</definedName>
    <definedName name="IQ_CLASSA_WARRANTS_ISSUED">"c2706"</definedName>
    <definedName name="IQ_CLASSA_WARRANTS_STRIKE_PRICE_ISSUED">"c2711"</definedName>
    <definedName name="IQ_CLASSA_WARRANTS_STRIKE_PRICE_OS">"c2710"</definedName>
    <definedName name="IQ_CLOSEPRICE">"c174"</definedName>
    <definedName name="IQ_CLOSEPRICE_ADJ">"c2115"</definedName>
    <definedName name="IQ_COGS">"c175"</definedName>
    <definedName name="IQ_COMBINED_RATIO">"c176"</definedName>
    <definedName name="IQ_COMMERCIAL_DOM">"c177"</definedName>
    <definedName name="IQ_COMMERCIAL_FIRE_WRITTEN">"c178"</definedName>
    <definedName name="IQ_COMMERCIAL_MORT">"c179"</definedName>
    <definedName name="IQ_COMMISS_FEES">"c180"</definedName>
    <definedName name="IQ_COMMISSION_DEF">"c181"</definedName>
    <definedName name="IQ_COMMON">"c182"</definedName>
    <definedName name="IQ_COMMON_APIC">"c183"</definedName>
    <definedName name="IQ_COMMON_APIC_BNK">"c184"</definedName>
    <definedName name="IQ_COMMON_APIC_BR">"c185"</definedName>
    <definedName name="IQ_COMMON_APIC_FIN">"c186"</definedName>
    <definedName name="IQ_COMMON_APIC_INS">"c187"</definedName>
    <definedName name="IQ_COMMON_APIC_REIT">"c188"</definedName>
    <definedName name="IQ_COMMON_APIC_UTI">"c189"</definedName>
    <definedName name="IQ_COMMON_DIV">"c3006"</definedName>
    <definedName name="IQ_COMMON_DIV_CF">"c190"</definedName>
    <definedName name="IQ_COMMON_EQUITY_10YR_ANN_GROWTH">"c191"</definedName>
    <definedName name="IQ_COMMON_EQUITY_1YR_ANN_GROWTH">"c192"</definedName>
    <definedName name="IQ_COMMON_EQUITY_2YR_ANN_GROWTH">"c193"</definedName>
    <definedName name="IQ_COMMON_EQUITY_3YR_ANN_GROWTH">"c194"</definedName>
    <definedName name="IQ_COMMON_EQUITY_5YR_ANN_GROWTH">"c195"</definedName>
    <definedName name="IQ_COMMON_EQUITY_7YR_ANN_GROWTH">"c196"</definedName>
    <definedName name="IQ_COMMON_ISSUED">"c197"</definedName>
    <definedName name="IQ_COMMON_ISSUED_BNK">"c198"</definedName>
    <definedName name="IQ_COMMON_ISSUED_BR">"c199"</definedName>
    <definedName name="IQ_COMMON_ISSUED_FIN">"c200"</definedName>
    <definedName name="IQ_COMMON_ISSUED_INS">"c201"</definedName>
    <definedName name="IQ_COMMON_ISSUED_REIT">"c202"</definedName>
    <definedName name="IQ_COMMON_ISSUED_UTI">"c203"</definedName>
    <definedName name="IQ_COMMON_PER_ADR">"c204"</definedName>
    <definedName name="IQ_COMMON_PREF_DIV_CF">"c205"</definedName>
    <definedName name="IQ_COMMON_REP">"c206"</definedName>
    <definedName name="IQ_COMMON_REP_BNK">"c207"</definedName>
    <definedName name="IQ_COMMON_REP_BR">"c208"</definedName>
    <definedName name="IQ_COMMON_REP_FIN">"c209"</definedName>
    <definedName name="IQ_COMMON_REP_INS">"c210"</definedName>
    <definedName name="IQ_COMMON_REP_REIT">"c211"</definedName>
    <definedName name="IQ_COMMON_REP_UTI">"c212"</definedName>
    <definedName name="IQ_COMMON_STOCK">"c1358"</definedName>
    <definedName name="IQ_COMP_BENEFITS">"c213"</definedName>
    <definedName name="IQ_COMPANY_ADDRESS">"c214"</definedName>
    <definedName name="IQ_COMPANY_ID">"c3513"</definedName>
    <definedName name="IQ_COMPANY_NAME">"c215"</definedName>
    <definedName name="IQ_COMPANY_NAME_LONG">"c1585"</definedName>
    <definedName name="IQ_COMPANY_PHONE">"c216"</definedName>
    <definedName name="IQ_COMPANY_STATUS">"c2097"</definedName>
    <definedName name="IQ_COMPANY_STREET1">"c217"</definedName>
    <definedName name="IQ_COMPANY_STREET2">"c218"</definedName>
    <definedName name="IQ_COMPANY_TICKER">"c219"</definedName>
    <definedName name="IQ_COMPANY_TYPE">"c2096"</definedName>
    <definedName name="IQ_COMPANY_WEBSITE">"c220"</definedName>
    <definedName name="IQ_COMPANY_ZIP">"c221"</definedName>
    <definedName name="IQ_CONSTRUCTION_LOANS">"c222"</definedName>
    <definedName name="IQ_CONSUMER_LOANS">"c223"</definedName>
    <definedName name="IQ_CONV_DATE">"c2191"</definedName>
    <definedName name="IQ_CONV_EXP_DATE">"c3043"</definedName>
    <definedName name="IQ_CONV_PREMIUM">"c2195"</definedName>
    <definedName name="IQ_CONV_PRICE">"c2193"</definedName>
    <definedName name="IQ_CONV_RATE">"c2192"</definedName>
    <definedName name="IQ_CONV_RATIO">"c2192"</definedName>
    <definedName name="IQ_CONV_SECURITY">"c2189"</definedName>
    <definedName name="IQ_CONV_SECURITY_ISSUER">"c2190"</definedName>
    <definedName name="IQ_CONV_SECURITY_PRICE">"c2194"</definedName>
    <definedName name="IQ_CONVERT">"c2536"</definedName>
    <definedName name="IQ_CONVERT_PCT">"c2537"</definedName>
    <definedName name="IQ_CONVEXITY">"c2182"</definedName>
    <definedName name="IQ_COST_BORROWING">"c2936"</definedName>
    <definedName name="IQ_COST_BORROWINGS">"c225"</definedName>
    <definedName name="IQ_COST_REV">"c226"</definedName>
    <definedName name="IQ_COST_REVENUE">"c1359"</definedName>
    <definedName name="IQ_COST_SAVINGS">"c227"</definedName>
    <definedName name="IQ_COST_SERVICE">"c228"</definedName>
    <definedName name="IQ_COST_TOTAL_BORROWINGS">"c229"</definedName>
    <definedName name="IQ_COUNTRY_NAME">"c230"</definedName>
    <definedName name="IQ_COVERED_POPS">"c2124"</definedName>
    <definedName name="IQ_CP">"c2495"</definedName>
    <definedName name="IQ_CP_PCT">"c2496"</definedName>
    <definedName name="IQ_CQ">5000</definedName>
    <definedName name="IQ_CREDIT_CARD_FEE_BNK">"c231"</definedName>
    <definedName name="IQ_CREDIT_CARD_FEE_FIN">"c1583"</definedName>
    <definedName name="IQ_CREDIT_LOSS_CF">"c232"</definedName>
    <definedName name="IQ_CUMULATIVE_SPLIT_FACTOR">"c2094"</definedName>
    <definedName name="IQ_CURR_DOMESTIC_TAXES">"c2074"</definedName>
    <definedName name="IQ_CURR_FOREIGN_TAXES">"c2075"</definedName>
    <definedName name="IQ_CURRENCY_FACTOR_BS">"c233"</definedName>
    <definedName name="IQ_CURRENCY_FACTOR_IS">"c234"</definedName>
    <definedName name="IQ_CURRENCY_GAIN">"c235"</definedName>
    <definedName name="IQ_CURRENCY_GAIN_BR">"c236"</definedName>
    <definedName name="IQ_CURRENCY_GAIN_FIN">"c237"</definedName>
    <definedName name="IQ_CURRENCY_GAIN_INS">"c238"</definedName>
    <definedName name="IQ_CURRENCY_GAIN_REIT">"c239"</definedName>
    <definedName name="IQ_CURRENCY_GAIN_UTI">"c240"</definedName>
    <definedName name="IQ_CURRENT_PORT">"c241"</definedName>
    <definedName name="IQ_CURRENT_PORT_BNK">"c242"</definedName>
    <definedName name="IQ_CURRENT_PORT_DEBT">"c243"</definedName>
    <definedName name="IQ_CURRENT_PORT_DEBT_BNK">"c244"</definedName>
    <definedName name="IQ_CURRENT_PORT_DEBT_BR">"c1567"</definedName>
    <definedName name="IQ_CURRENT_PORT_DEBT_FIN">"c1568"</definedName>
    <definedName name="IQ_CURRENT_PORT_DEBT_INS">"c1569"</definedName>
    <definedName name="IQ_CURRENT_PORT_DEBT_REIT">"c1570"</definedName>
    <definedName name="IQ_CURRENT_PORT_DEBT_UTI">"c1571"</definedName>
    <definedName name="IQ_CURRENT_PORT_LEASES">"c245"</definedName>
    <definedName name="IQ_CURRENT_PORT_PCT">"c2541"</definedName>
    <definedName name="IQ_CURRENT_RATIO">"c246"</definedName>
    <definedName name="IQ_CUSIP">"c2245"</definedName>
    <definedName name="IQ_CY">10000</definedName>
    <definedName name="IQ_DA">"c247"</definedName>
    <definedName name="IQ_DA_BR">"c248"</definedName>
    <definedName name="IQ_DA_CF">"c249"</definedName>
    <definedName name="IQ_DA_CF_BNK">"c250"</definedName>
    <definedName name="IQ_DA_CF_BR">"c251"</definedName>
    <definedName name="IQ_DA_CF_FIN">"c252"</definedName>
    <definedName name="IQ_DA_CF_INS">"c253"</definedName>
    <definedName name="IQ_DA_CF_REIT">"c254"</definedName>
    <definedName name="IQ_DA_CF_UTI">"c255"</definedName>
    <definedName name="IQ_DA_EBITDA">"c5528"</definedName>
    <definedName name="IQ_DA_FIN">"c256"</definedName>
    <definedName name="IQ_DA_INS">"c257"</definedName>
    <definedName name="IQ_DA_REIT">"c258"</definedName>
    <definedName name="IQ_DA_SUPPL">"c259"</definedName>
    <definedName name="IQ_DA_SUPPL_BR">"c260"</definedName>
    <definedName name="IQ_DA_SUPPL_CF">"c261"</definedName>
    <definedName name="IQ_DA_SUPPL_CF_BNK">"c262"</definedName>
    <definedName name="IQ_DA_SUPPL_CF_BR">"c263"</definedName>
    <definedName name="IQ_DA_SUPPL_CF_FIN">"c264"</definedName>
    <definedName name="IQ_DA_SUPPL_CF_INS">"c265"</definedName>
    <definedName name="IQ_DA_SUPPL_CF_REIT">"c266"</definedName>
    <definedName name="IQ_DA_SUPPL_CF_UTI">"c267"</definedName>
    <definedName name="IQ_DA_SUPPL_FIN">"c268"</definedName>
    <definedName name="IQ_DA_SUPPL_INS">"c269"</definedName>
    <definedName name="IQ_DA_SUPPL_REIT">"c270"</definedName>
    <definedName name="IQ_DA_SUPPL_UTI">"c271"</definedName>
    <definedName name="IQ_DA_UTI">"c272"</definedName>
    <definedName name="IQ_DATED_DATE">"c2185"</definedName>
    <definedName name="IQ_DAY_COUNT">"c2161"</definedName>
    <definedName name="IQ_DAYS_COVER_SHORT">"c1578"</definedName>
    <definedName name="IQ_DAYS_INVENTORY_OUT">"c273"</definedName>
    <definedName name="IQ_DAYS_PAY_OUTST">"c1362"</definedName>
    <definedName name="IQ_DAYS_PAYABLE_OUT">"c274"</definedName>
    <definedName name="IQ_DAYS_SALES_OUT">"c275"</definedName>
    <definedName name="IQ_DAYS_SALES_OUTST">"c1363"</definedName>
    <definedName name="IQ_DEBT_ADJ">"c2515"</definedName>
    <definedName name="IQ_DEBT_ADJ_PCT">"c2516"</definedName>
    <definedName name="IQ_DEBT_EQUIV_NET_PBO">"c2938"</definedName>
    <definedName name="IQ_DEBT_EQUIV_OPER_LEASE">"c2935"</definedName>
    <definedName name="IQ_DEF_ACQ_CST">"c1364"</definedName>
    <definedName name="IQ_DEF_AMORT">"c276"</definedName>
    <definedName name="IQ_DEF_AMORT_BNK">"c277"</definedName>
    <definedName name="IQ_DEF_AMORT_BR">"c278"</definedName>
    <definedName name="IQ_DEF_AMORT_FIN">"c279"</definedName>
    <definedName name="IQ_DEF_AMORT_INS">"c280"</definedName>
    <definedName name="IQ_DEF_AMORT_REIT">"c281"</definedName>
    <definedName name="IQ_DEF_AMORT_UTI">"c282"</definedName>
    <definedName name="IQ_DEF_BENEFIT_INTEREST_COST">"c283"</definedName>
    <definedName name="IQ_DEF_BENEFIT_INTEREST_COST_DOMESTIC">"c2652"</definedName>
    <definedName name="IQ_DEF_BENEFIT_INTEREST_COST_FOREIGN">"c2660"</definedName>
    <definedName name="IQ_DEF_BENEFIT_OTHER_COST">"c284"</definedName>
    <definedName name="IQ_DEF_BENEFIT_OTHER_COST_DOMESTIC">"c2654"</definedName>
    <definedName name="IQ_DEF_BENEFIT_OTHER_COST_FOREIGN">"c2662"</definedName>
    <definedName name="IQ_DEF_BENEFIT_ROA">"c285"</definedName>
    <definedName name="IQ_DEF_BENEFIT_ROA_DOMESTIC">"c2653"</definedName>
    <definedName name="IQ_DEF_BENEFIT_ROA_FOREIGN">"c2661"</definedName>
    <definedName name="IQ_DEF_BENEFIT_SERVICE_COST">"c286"</definedName>
    <definedName name="IQ_DEF_BENEFIT_SERVICE_COST_DOMESTIC">"c2651"</definedName>
    <definedName name="IQ_DEF_BENEFIT_SERVICE_COST_FOREIGN">"c2659"</definedName>
    <definedName name="IQ_DEF_BENEFIT_TOTAL_COST">"c287"</definedName>
    <definedName name="IQ_DEF_BENEFIT_TOTAL_COST_DOMESTIC">"c2655"</definedName>
    <definedName name="IQ_DEF_BENEFIT_TOTAL_COST_FOREIGN">"c2663"</definedName>
    <definedName name="IQ_DEF_CHARGES_BR">"c288"</definedName>
    <definedName name="IQ_DEF_CHARGES_CF">"c289"</definedName>
    <definedName name="IQ_DEF_CHARGES_FIN">"c290"</definedName>
    <definedName name="IQ_DEF_CHARGES_INS">"c291"</definedName>
    <definedName name="IQ_DEF_CHARGES_LT">"c292"</definedName>
    <definedName name="IQ_DEF_CHARGES_LT_BNK">"c293"</definedName>
    <definedName name="IQ_DEF_CHARGES_LT_BR">"c294"</definedName>
    <definedName name="IQ_DEF_CHARGES_LT_FIN">"c295"</definedName>
    <definedName name="IQ_DEF_CHARGES_LT_INS">"c296"</definedName>
    <definedName name="IQ_DEF_CHARGES_LT_REIT">"c297"</definedName>
    <definedName name="IQ_DEF_CHARGES_LT_UTI">"c298"</definedName>
    <definedName name="IQ_DEF_CHARGES_REIT">"c299"</definedName>
    <definedName name="IQ_DEF_CONTRIBUTION_TOTAL_COST">"c300"</definedName>
    <definedName name="IQ_DEF_INC_TAX">"c1365"</definedName>
    <definedName name="IQ_DEF_POLICY_ACQ_COSTS">"c301"</definedName>
    <definedName name="IQ_DEF_POLICY_ACQ_COSTS_CF">"c302"</definedName>
    <definedName name="IQ_DEF_POLICY_AMORT">"c303"</definedName>
    <definedName name="IQ_DEF_TAX_ASSET_LT_BR">"c304"</definedName>
    <definedName name="IQ_DEF_TAX_ASSET_LT_FIN">"c305"</definedName>
    <definedName name="IQ_DEF_TAX_ASSET_LT_INS">"c306"</definedName>
    <definedName name="IQ_DEF_TAX_ASSET_LT_REIT">"c307"</definedName>
    <definedName name="IQ_DEF_TAX_ASSET_LT_UTI">"c308"</definedName>
    <definedName name="IQ_DEF_TAX_ASSETS_CURRENT">"c309"</definedName>
    <definedName name="IQ_DEF_TAX_ASSETS_LT">"c310"</definedName>
    <definedName name="IQ_DEF_TAX_ASSETS_LT_BNK">"c311"</definedName>
    <definedName name="IQ_DEF_TAX_LIAB_CURRENT">"c312"</definedName>
    <definedName name="IQ_DEF_TAX_LIAB_LT">"c313"</definedName>
    <definedName name="IQ_DEF_TAX_LIAB_LT_BNK">"c314"</definedName>
    <definedName name="IQ_DEF_TAX_LIAB_LT_BR">"c315"</definedName>
    <definedName name="IQ_DEF_TAX_LIAB_LT_FIN">"c316"</definedName>
    <definedName name="IQ_DEF_TAX_LIAB_LT_INS">"c317"</definedName>
    <definedName name="IQ_DEF_TAX_LIAB_LT_REIT">"c318"</definedName>
    <definedName name="IQ_DEF_TAX_LIAB_LT_UTI">"c319"</definedName>
    <definedName name="IQ_DEFERRED_DOMESTIC_TAXES">"c2077"</definedName>
    <definedName name="IQ_DEFERRED_FOREIGN_TAXES">"c2078"</definedName>
    <definedName name="IQ_DEFERRED_INC_TAX">"c1447"</definedName>
    <definedName name="IQ_DEFERRED_TAXES">"c1356"</definedName>
    <definedName name="IQ_DEMAND_DEP">"c320"</definedName>
    <definedName name="IQ_DEPOSITS_FIN">"c321"</definedName>
    <definedName name="IQ_DEPOSITS_INTEREST_SECURITIES">"c5509"</definedName>
    <definedName name="IQ_DEPRE_AMORT">"c1360"</definedName>
    <definedName name="IQ_DEPRE_AMORT_SUPPL">"c1593"</definedName>
    <definedName name="IQ_DEPRE_DEPLE">"c1361"</definedName>
    <definedName name="IQ_DEPRE_SUPP">"c1443"</definedName>
    <definedName name="IQ_DESCRIPTION_LONG">"c1520"</definedName>
    <definedName name="IQ_DEVELOP_LAND">"c323"</definedName>
    <definedName name="IQ_DIFF_LASTCLOSE_TARGET_PRICE">"c1854"</definedName>
    <definedName name="IQ_DILUT_ADJUST">"c1621"</definedName>
    <definedName name="IQ_DILUT_EPS_EXCL">"c324"</definedName>
    <definedName name="IQ_DILUT_EPS_INCL">"c325"</definedName>
    <definedName name="IQ_DILUT_EPS_NORM">"c1903"</definedName>
    <definedName name="IQ_DILUT_NI">"c2079"</definedName>
    <definedName name="IQ_DILUT_NORMAL_EPS">"c1594"</definedName>
    <definedName name="IQ_DILUT_WEIGHT">"c326"</definedName>
    <definedName name="IQ_DIRECT_AH_EARNED">"c2740"</definedName>
    <definedName name="IQ_DIRECT_EARNED">"c2730"</definedName>
    <definedName name="IQ_DIRECT_LIFE_EARNED">"c2735"</definedName>
    <definedName name="IQ_DIRECT_LIFE_IN_FORCE">"c2765"</definedName>
    <definedName name="IQ_DIRECT_PC_EARNED">"c2745"</definedName>
    <definedName name="IQ_DIRECT_WRITTEN">"c2724"</definedName>
    <definedName name="IQ_DISCONT_OPER">"c1367"</definedName>
    <definedName name="IQ_DISCOUNT_RATE_PENSION_DOMESTIC">"c327"</definedName>
    <definedName name="IQ_DISCOUNT_RATE_PENSION_FOREIGN">"c328"</definedName>
    <definedName name="IQ_DISTR_EXCESS_EARN">"c329"</definedName>
    <definedName name="IQ_DISTRIBUTABLE_CASH">"c3002"</definedName>
    <definedName name="IQ_DISTRIBUTABLE_CASH_ACT_OR_EST">"c4278"</definedName>
    <definedName name="IQ_DISTRIBUTABLE_CASH_PAYOUT">"c3005"</definedName>
    <definedName name="IQ_DISTRIBUTABLE_CASH_SHARE">"c3003"</definedName>
    <definedName name="IQ_DISTRIBUTABLE_CASH_SHARE_ACT_OR_EST">"c4286"</definedName>
    <definedName name="IQ_DIV_AMOUNT">"c3041"</definedName>
    <definedName name="IQ_DIV_PAYMENT_DATE">"c2205"</definedName>
    <definedName name="IQ_DIV_RECORD_DATE">"c2204"</definedName>
    <definedName name="IQ_DIV_SHARE">"c330"</definedName>
    <definedName name="IQ_DIVEST_CF">"c331"</definedName>
    <definedName name="IQ_DIVID_SHARE">"c1366"</definedName>
    <definedName name="IQ_DIVIDEND_YIELD">"c332"</definedName>
    <definedName name="IQ_DO">"c333"</definedName>
    <definedName name="IQ_DO_ASSETS_CURRENT">"c334"</definedName>
    <definedName name="IQ_DO_ASSETS_LT">"c335"</definedName>
    <definedName name="IQ_DO_CF">"c336"</definedName>
    <definedName name="IQ_DPAC_ACC">"c2799"</definedName>
    <definedName name="IQ_DPAC_AMORT">"c2795"</definedName>
    <definedName name="IQ_DPAC_BEG">"c2791"</definedName>
    <definedName name="IQ_DPAC_COMMISSIONS">"c2792"</definedName>
    <definedName name="IQ_DPAC_END">"c2801"</definedName>
    <definedName name="IQ_DPAC_FX">"c2798"</definedName>
    <definedName name="IQ_DPAC_OTHER_ADJ">"c2800"</definedName>
    <definedName name="IQ_DPAC_OTHERS">"c2793"</definedName>
    <definedName name="IQ_DPAC_PERIOD">"c2794"</definedName>
    <definedName name="IQ_DPAC_REAL_GAIN">"c2797"</definedName>
    <definedName name="IQ_DPAC_UNREAL_GAIN">"c2796"</definedName>
    <definedName name="IQ_DPS_10YR_ANN_GROWTH">"c337"</definedName>
    <definedName name="IQ_DPS_1YR_ANN_GROWTH">"c338"</definedName>
    <definedName name="IQ_DPS_2YR_ANN_GROWTH">"c339"</definedName>
    <definedName name="IQ_DPS_3YR_ANN_GROWTH">"c340"</definedName>
    <definedName name="IQ_DPS_5YR_ANN_GROWTH">"c341"</definedName>
    <definedName name="IQ_DPS_7YR_ANN_GROWTH">"c342"</definedName>
    <definedName name="IQ_DURATION">"c2181"</definedName>
    <definedName name="IQ_EARNING_ASSET_YIELD">"c343"</definedName>
    <definedName name="IQ_EARNING_CO">"c344"</definedName>
    <definedName name="IQ_EARNING_CO_10YR_ANN_GROWTH">"c345"</definedName>
    <definedName name="IQ_EARNING_CO_1YR_ANN_GROWTH">"c346"</definedName>
    <definedName name="IQ_EARNING_CO_2YR_ANN_GROWTH">"c347"</definedName>
    <definedName name="IQ_EARNING_CO_3YR_ANN_GROWTH">"c348"</definedName>
    <definedName name="IQ_EARNING_CO_5YR_ANN_GROWTH">"c349"</definedName>
    <definedName name="IQ_EARNING_CO_7YR_ANN_GROWTH">"c350"</definedName>
    <definedName name="IQ_EARNING_CO_MARGIN">"c351"</definedName>
    <definedName name="IQ_EARNINGS_ANNOUNCE_DATE">"c1649"</definedName>
    <definedName name="IQ_EARNINGS_ANNOUNCE_DATE_REUT">"c5314"</definedName>
    <definedName name="IQ_EBIT">"c352"</definedName>
    <definedName name="IQ_EBIT_10YR_ANN_GROWTH">"c353"</definedName>
    <definedName name="IQ_EBIT_1YR_ANN_GROWTH">"c354"</definedName>
    <definedName name="IQ_EBIT_2YR_ANN_GROWTH">"c355"</definedName>
    <definedName name="IQ_EBIT_3YR_ANN_GROWTH">"c356"</definedName>
    <definedName name="IQ_EBIT_5YR_ANN_GROWTH">"c357"</definedName>
    <definedName name="IQ_EBIT_7YR_ANN_GROWTH">"c358"</definedName>
    <definedName name="IQ_EBIT_EQ_INC">"c3498"</definedName>
    <definedName name="IQ_EBIT_EQ_INC_EXCL_SBC">"c3502"</definedName>
    <definedName name="IQ_EBIT_EXCL_SBC">"c3082"</definedName>
    <definedName name="IQ_EBIT_GW_ACT_OR_EST">"c4306"</definedName>
    <definedName name="IQ_EBIT_INT">"c360"</definedName>
    <definedName name="IQ_EBIT_MARGIN">"c359"</definedName>
    <definedName name="IQ_EBIT_OVER_IE">"c1369"</definedName>
    <definedName name="IQ_EBIT_SBC_ACT_OR_EST">"c4316"</definedName>
    <definedName name="IQ_EBIT_SBC_GW_ACT_OR_EST">"c4320"</definedName>
    <definedName name="IQ_EBITA">"c1910"</definedName>
    <definedName name="IQ_EBITA_10YR_ANN_GROWTH">"c1954"</definedName>
    <definedName name="IQ_EBITA_1YR_ANN_GROWTH">"c1949"</definedName>
    <definedName name="IQ_EBITA_2YR_ANN_GROWTH">"c1950"</definedName>
    <definedName name="IQ_EBITA_3YR_ANN_GROWTH">"c1951"</definedName>
    <definedName name="IQ_EBITA_5YR_ANN_GROWTH">"c1952"</definedName>
    <definedName name="IQ_EBITA_7YR_ANN_GROWTH">"c1953"</definedName>
    <definedName name="IQ_EBITA_EQ_INC">"c3497"</definedName>
    <definedName name="IQ_EBITA_EQ_INC_EXCL_SBC">"c3501"</definedName>
    <definedName name="IQ_EBITA_EXCL_SBC">"c3080"</definedName>
    <definedName name="IQ_EBITA_MARGIN">"c1963"</definedName>
    <definedName name="IQ_EBITDA">"c361"</definedName>
    <definedName name="IQ_EBITDA_10YR_ANN_GROWTH">"c362"</definedName>
    <definedName name="IQ_EBITDA_1YR_ANN_GROWTH">"c363"</definedName>
    <definedName name="IQ_EBITDA_2YR_ANN_GROWTH">"c364"</definedName>
    <definedName name="IQ_EBITDA_3YR_ANN_GROWTH">"c365"</definedName>
    <definedName name="IQ_EBITDA_5YR_ANN_GROWTH">"c366"</definedName>
    <definedName name="IQ_EBITDA_7YR_ANN_GROWTH">"c367"</definedName>
    <definedName name="IQ_EBITDA_ACT_OR_EST">"c2215"</definedName>
    <definedName name="IQ_EBITDA_CAPEX_INT">"c368"</definedName>
    <definedName name="IQ_EBITDA_CAPEX_OVER_TOTAL_IE">"c1370"</definedName>
    <definedName name="IQ_EBITDA_EQ_INC">"c3496"</definedName>
    <definedName name="IQ_EBITDA_EQ_INC_EXCL_SBC">"c3500"</definedName>
    <definedName name="IQ_EBITDA_EST">"c369"</definedName>
    <definedName name="IQ_EBITDA_EST_REUT">"c3640"</definedName>
    <definedName name="IQ_EBITDA_EXCL_SBC">"c3081"</definedName>
    <definedName name="IQ_EBITDA_HIGH_EST">"c370"</definedName>
    <definedName name="IQ_EBITDA_HIGH_EST_REUT">"c3642"</definedName>
    <definedName name="IQ_EBITDA_INT">"c373"</definedName>
    <definedName name="IQ_EBITDA_LOW_EST">"c371"</definedName>
    <definedName name="IQ_EBITDA_LOW_EST_REUT">"c3643"</definedName>
    <definedName name="IQ_EBITDA_MARGIN">"c372"</definedName>
    <definedName name="IQ_EBITDA_MEDIAN_EST">"c1663"</definedName>
    <definedName name="IQ_EBITDA_MEDIAN_EST_REUT">"c3641"</definedName>
    <definedName name="IQ_EBITDA_NUM_EST">"c374"</definedName>
    <definedName name="IQ_EBITDA_NUM_EST_REUT">"c3644"</definedName>
    <definedName name="IQ_EBITDA_OVER_TOTAL_IE">"c1371"</definedName>
    <definedName name="IQ_EBITDA_SBC_ACT_OR_EST">"c4337"</definedName>
    <definedName name="IQ_EBITDA_STDDEV_EST">"c375"</definedName>
    <definedName name="IQ_EBITDA_STDDEV_EST_REUT">"c3645"</definedName>
    <definedName name="IQ_EBITDAR">"c2989"</definedName>
    <definedName name="IQ_EBITDAR_EQ_INC">"c3499"</definedName>
    <definedName name="IQ_EBITDAR_EQ_INC_EXCL_SBC">"c3503"</definedName>
    <definedName name="IQ_EBITDAR_EXCL_SBC">"c3083"</definedName>
    <definedName name="IQ_EBT">"c376"</definedName>
    <definedName name="IQ_EBT_BNK">"c377"</definedName>
    <definedName name="IQ_EBT_BR">"c378"</definedName>
    <definedName name="IQ_EBT_EXCL">"c379"</definedName>
    <definedName name="IQ_EBT_EXCL_BNK">"c380"</definedName>
    <definedName name="IQ_EBT_EXCL_BR">"c381"</definedName>
    <definedName name="IQ_EBT_EXCL_FIN">"c382"</definedName>
    <definedName name="IQ_EBT_EXCL_INS">"c383"</definedName>
    <definedName name="IQ_EBT_EXCL_MARGIN">"c1462"</definedName>
    <definedName name="IQ_EBT_EXCL_REIT">"c384"</definedName>
    <definedName name="IQ_EBT_EXCL_UTI">"c385"</definedName>
    <definedName name="IQ_EBT_FIN">"c386"</definedName>
    <definedName name="IQ_EBT_INCL_MARGIN">"c387"</definedName>
    <definedName name="IQ_EBT_INS">"c388"</definedName>
    <definedName name="IQ_EBT_REIT">"c389"</definedName>
    <definedName name="IQ_EBT_SBC_ACT_OR_EST">"c4350"</definedName>
    <definedName name="IQ_EBT_SBC_GW_ACT_OR_EST">"c4354"</definedName>
    <definedName name="IQ_EBT_UTI">"c390"</definedName>
    <definedName name="IQ_EFFECT_SPECIAL_CHARGE">"c1595"</definedName>
    <definedName name="IQ_EFFECT_TAX_RATE">"c1899"</definedName>
    <definedName name="IQ_EFFICIENCY_RATIO">"c391"</definedName>
    <definedName name="IQ_EMPLOYEES">"c392"</definedName>
    <definedName name="IQ_ENTERPRISE_VALUE">"c1348"</definedName>
    <definedName name="IQ_EPS_10YR_ANN_GROWTH">"c393"</definedName>
    <definedName name="IQ_EPS_1YR_ANN_GROWTH">"c394"</definedName>
    <definedName name="IQ_EPS_2YR_ANN_GROWTH">"c395"</definedName>
    <definedName name="IQ_EPS_3YR_ANN_GROWTH">"c396"</definedName>
    <definedName name="IQ_EPS_5YR_ANN_GROWTH">"c397"</definedName>
    <definedName name="IQ_EPS_7YR_ANN_GROWTH">"c398"</definedName>
    <definedName name="IQ_EPS_ACT_OR_EST">"c2213"</definedName>
    <definedName name="IQ_EPS_EST">"c399"</definedName>
    <definedName name="IQ_EPS_EST_REUT">"c5453"</definedName>
    <definedName name="IQ_EPS_HIGH_EST">"c400"</definedName>
    <definedName name="IQ_EPS_HIGH_EST_REUT">"c5454"</definedName>
    <definedName name="IQ_EPS_LOW_EST">"c401"</definedName>
    <definedName name="IQ_EPS_LOW_EST_REUT">"c5455"</definedName>
    <definedName name="IQ_EPS_MEDIAN_EST">"c1661"</definedName>
    <definedName name="IQ_EPS_MEDIAN_EST_REUT">"c5456"</definedName>
    <definedName name="IQ_EPS_NORM">"c1902"</definedName>
    <definedName name="IQ_EPS_NUM_EST">"c402"</definedName>
    <definedName name="IQ_EPS_NUM_EST_REUT">"c5451"</definedName>
    <definedName name="IQ_EPS_SBC_ACT_OR_EST">"c4376"</definedName>
    <definedName name="IQ_EPS_SBC_GW_ACT_OR_EST">"c4380"</definedName>
    <definedName name="IQ_EPS_STDDEV_EST">"c403"</definedName>
    <definedName name="IQ_EPS_STDDEV_EST_REUT">"c5452"</definedName>
    <definedName name="IQ_EQUITY_AFFIL">"c1451"</definedName>
    <definedName name="IQ_EQUITY_METHOD">"c404"</definedName>
    <definedName name="IQ_EQV_OVER_BV">"c1596"</definedName>
    <definedName name="IQ_EQV_OVER_LTM_PRETAX_INC">"c1390"</definedName>
    <definedName name="IQ_ESOP_DEBT">"c1597"</definedName>
    <definedName name="IQ_EST_ACT_EPS">"c1648"</definedName>
    <definedName name="IQ_EST_CURRENCY">"c2140"</definedName>
    <definedName name="IQ_EST_CURRENCY_REUT">"c5437"</definedName>
    <definedName name="IQ_EST_DATE">"c1634"</definedName>
    <definedName name="IQ_EST_DATE_REUT">"c5438"</definedName>
    <definedName name="IQ_EST_EPS_DIFF">"c1864"</definedName>
    <definedName name="IQ_EST_EPS_GROWTH_1YR">"c1636"</definedName>
    <definedName name="IQ_EST_EPS_GROWTH_1YR_REUT">"c3646"</definedName>
    <definedName name="IQ_EST_EPS_GROWTH_5YR">"c1655"</definedName>
    <definedName name="IQ_EST_EPS_GROWTH_5YR_REUT">"c3633"</definedName>
    <definedName name="IQ_EST_EPS_GROWTH_Q_1YR">"c1641"</definedName>
    <definedName name="IQ_EST_EPS_GROWTH_Q_1YR_REUT">"c5410"</definedName>
    <definedName name="IQ_EST_VENDOR">"c5564"</definedName>
    <definedName name="IQ_EV_OVER_EMPLOYEE">"c1428"</definedName>
    <definedName name="IQ_EV_OVER_LTM_EBIT">"c1426"</definedName>
    <definedName name="IQ_EV_OVER_LTM_EBITDA">"c1427"</definedName>
    <definedName name="IQ_EV_OVER_LTM_REVENUE">"c1429"</definedName>
    <definedName name="IQ_EVAL_DATE">"c2180"</definedName>
    <definedName name="IQ_EXCHANGE">"c405"</definedName>
    <definedName name="IQ_EXCISE_TAXES_EXCL_SALES">"c5515"</definedName>
    <definedName name="IQ_EXCISE_TAXES_INCL_SALES">"c5514"</definedName>
    <definedName name="IQ_EXERCISE_PRICE">"c1897"</definedName>
    <definedName name="IQ_EXERCISED">"c406"</definedName>
    <definedName name="IQ_EXP_RETURN_PENSION_DOMESTIC">"c407"</definedName>
    <definedName name="IQ_EXP_RETURN_PENSION_FOREIGN">"c408"</definedName>
    <definedName name="IQ_EXPLORE_DRILL">"c409"</definedName>
    <definedName name="IQ_EXTRA_ACC_ITEMS">"c410"</definedName>
    <definedName name="IQ_EXTRA_ACC_ITEMS_BNK">"c411"</definedName>
    <definedName name="IQ_EXTRA_ACC_ITEMS_BR">"c412"</definedName>
    <definedName name="IQ_EXTRA_ACC_ITEMS_FIN">"c413"</definedName>
    <definedName name="IQ_EXTRA_ACC_ITEMS_INS">"c414"</definedName>
    <definedName name="IQ_EXTRA_ACC_ITEMS_REIT">"c415"</definedName>
    <definedName name="IQ_EXTRA_ACC_ITEMS_UTI">"c416"</definedName>
    <definedName name="IQ_EXTRA_ITEMS">"c1459"</definedName>
    <definedName name="IQ_FDIC">"c417"</definedName>
    <definedName name="IQ_FEDFUNDS_SOLD">"c2256"</definedName>
    <definedName name="IQ_FFO">"c1574"</definedName>
    <definedName name="IQ_FFO_ADJ_ACT_OR_EST">"c4435"</definedName>
    <definedName name="IQ_FFO_PAYOUT_RATIO">"c3492"</definedName>
    <definedName name="IQ_FFO_SHARE_ACT_OR_EST">"c4446"</definedName>
    <definedName name="IQ_FHLB_DEBT">"c423"</definedName>
    <definedName name="IQ_FHLB_DUE_CY">"c2080"</definedName>
    <definedName name="IQ_FHLB_DUE_CY1">"c2081"</definedName>
    <definedName name="IQ_FHLB_DUE_CY2">"c2082"</definedName>
    <definedName name="IQ_FHLB_DUE_CY3">"c2083"</definedName>
    <definedName name="IQ_FHLB_DUE_CY4">"c2084"</definedName>
    <definedName name="IQ_FHLB_DUE_NEXT_FIVE">"c2085"</definedName>
    <definedName name="IQ_FILING_CURRENCY">"c2129"</definedName>
    <definedName name="IQ_FILINGDATE_BS">"c424"</definedName>
    <definedName name="IQ_FILINGDATE_CF">"c425"</definedName>
    <definedName name="IQ_FILINGDATE_IS">"c426"</definedName>
    <definedName name="IQ_FILM_RIGHTS">"c2254"</definedName>
    <definedName name="IQ_FIN_DIV_ASSETS_CURRENT">"c427"</definedName>
    <definedName name="IQ_FIN_DIV_ASSETS_LT">"c428"</definedName>
    <definedName name="IQ_FIN_DIV_CURRENT_PORT_DEBT_TOTAL">"c5524"</definedName>
    <definedName name="IQ_FIN_DIV_CURRENT_PORT_LEASES_TOTAL">"c5523"</definedName>
    <definedName name="IQ_FIN_DIV_DEBT_CURRENT">"c429"</definedName>
    <definedName name="IQ_FIN_DIV_DEBT_LT">"c430"</definedName>
    <definedName name="IQ_FIN_DIV_DEBT_LT_TOTAL">"c5526"</definedName>
    <definedName name="IQ_FIN_DIV_EXP">"c431"</definedName>
    <definedName name="IQ_FIN_DIV_INT_EXP">"c432"</definedName>
    <definedName name="IQ_FIN_DIV_LEASES_LT_TOTAL">"c5525"</definedName>
    <definedName name="IQ_FIN_DIV_LIAB_CURRENT">"c433"</definedName>
    <definedName name="IQ_FIN_DIV_LIAB_LT">"c434"</definedName>
    <definedName name="IQ_FIN_DIV_LOANS_CURRENT">"c435"</definedName>
    <definedName name="IQ_FIN_DIV_LOANS_LT">"c436"</definedName>
    <definedName name="IQ_FIN_DIV_NOTES_PAY_TOTAL">"c5522"</definedName>
    <definedName name="IQ_FIN_DIV_REV">"c437"</definedName>
    <definedName name="IQ_FIN_DIV_ST_DEBT_TOTAL">"c5527"</definedName>
    <definedName name="IQ_FINANCING_CASH">"c1405"</definedName>
    <definedName name="IQ_FINANCING_CASH_SUPPL">"c1406"</definedName>
    <definedName name="IQ_FINISHED_INV">"c438"</definedName>
    <definedName name="IQ_FIRST_INT_DATE">"c2186"</definedName>
    <definedName name="IQ_FIRST_YEAR_LIFE">"c439"</definedName>
    <definedName name="IQ_FIRST_YEAR_LIFE_PREM">"c2787"</definedName>
    <definedName name="IQ_FIRST_YEAR_PREM">"c2786"</definedName>
    <definedName name="IQ_FIRSTPRICINGDATE">"c3050"</definedName>
    <definedName name="IQ_FISCAL_Q">"c440"</definedName>
    <definedName name="IQ_FISCAL_Y">"c441"</definedName>
    <definedName name="IQ_FIVE_PERCENT_OWNER">"c442"</definedName>
    <definedName name="IQ_FIVEPERCENT_PERCENT">"c443"</definedName>
    <definedName name="IQ_FIVEPERCENT_SHARES">"c444"</definedName>
    <definedName name="IQ_FIXED_ASSET_TURNS">"c445"</definedName>
    <definedName name="IQ_FLOAT_PERCENT">"c1575"</definedName>
    <definedName name="IQ_FOREIGN_DEP_IB">"c446"</definedName>
    <definedName name="IQ_FOREIGN_DEP_NON_IB">"c447"</definedName>
    <definedName name="IQ_FOREIGN_EXCHANGE">"c1376"</definedName>
    <definedName name="IQ_FOREIGN_LOANS">"c448"</definedName>
    <definedName name="IQ_FQ">500</definedName>
    <definedName name="IQ_FUEL">"c449"</definedName>
    <definedName name="IQ_FULL_TIME">"c450"</definedName>
    <definedName name="IQ_FWD_CY">10001</definedName>
    <definedName name="IQ_FWD_CY1">10002</definedName>
    <definedName name="IQ_FWD_CY2">10003</definedName>
    <definedName name="IQ_FWD_FY">1001</definedName>
    <definedName name="IQ_FWD_FY1">1002</definedName>
    <definedName name="IQ_FWD_FY2">1003</definedName>
    <definedName name="IQ_FWD_Q">501</definedName>
    <definedName name="IQ_FWD_Q1">502</definedName>
    <definedName name="IQ_FWD_Q2">503</definedName>
    <definedName name="IQ_FX">"c451"</definedName>
    <definedName name="IQ_FY">1000</definedName>
    <definedName name="IQ_GA_EXP">"c2241"</definedName>
    <definedName name="IQ_GAIN_ASSETS">"c452"</definedName>
    <definedName name="IQ_GAIN_ASSETS_BNK">"c453"</definedName>
    <definedName name="IQ_GAIN_ASSETS_BR">"c454"</definedName>
    <definedName name="IQ_GAIN_ASSETS_CF">"c455"</definedName>
    <definedName name="IQ_GAIN_ASSETS_CF_BNK">"c456"</definedName>
    <definedName name="IQ_GAIN_ASSETS_CF_BR">"c457"</definedName>
    <definedName name="IQ_GAIN_ASSETS_CF_FIN">"c458"</definedName>
    <definedName name="IQ_GAIN_ASSETS_CF_INS">"c459"</definedName>
    <definedName name="IQ_GAIN_ASSETS_CF_REIT">"c460"</definedName>
    <definedName name="IQ_GAIN_ASSETS_CF_UTI">"c461"</definedName>
    <definedName name="IQ_GAIN_ASSETS_FIN">"c462"</definedName>
    <definedName name="IQ_GAIN_ASSETS_INS">"c463"</definedName>
    <definedName name="IQ_GAIN_ASSETS_REIT">"c471"</definedName>
    <definedName name="IQ_GAIN_ASSETS_REV">"c472"</definedName>
    <definedName name="IQ_GAIN_ASSETS_REV_BNK">"c473"</definedName>
    <definedName name="IQ_GAIN_ASSETS_REV_BR">"c474"</definedName>
    <definedName name="IQ_GAIN_ASSETS_REV_FIN">"c475"</definedName>
    <definedName name="IQ_GAIN_ASSETS_REV_INS">"c476"</definedName>
    <definedName name="IQ_GAIN_ASSETS_REV_REIT">"c477"</definedName>
    <definedName name="IQ_GAIN_ASSETS_REV_UTI">"c478"</definedName>
    <definedName name="IQ_GAIN_ASSETS_UTI">"c479"</definedName>
    <definedName name="IQ_GAIN_INVEST">"c1463"</definedName>
    <definedName name="IQ_GAIN_INVEST_BNK">"c1582"</definedName>
    <definedName name="IQ_GAIN_INVEST_BR">"c1464"</definedName>
    <definedName name="IQ_GAIN_INVEST_CF">"c480"</definedName>
    <definedName name="IQ_GAIN_INVEST_CF_BNK">"c481"</definedName>
    <definedName name="IQ_GAIN_INVEST_CF_BR">"c482"</definedName>
    <definedName name="IQ_GAIN_INVEST_CF_FIN">"c483"</definedName>
    <definedName name="IQ_GAIN_INVEST_CF_INS">"c484"</definedName>
    <definedName name="IQ_GAIN_INVEST_CF_REIT">"c485"</definedName>
    <definedName name="IQ_GAIN_INVEST_CF_UTI">"c486"</definedName>
    <definedName name="IQ_GAIN_INVEST_FIN">"c1465"</definedName>
    <definedName name="IQ_GAIN_INVEST_INS">"c1466"</definedName>
    <definedName name="IQ_GAIN_INVEST_REIT">"c1467"</definedName>
    <definedName name="IQ_GAIN_INVEST_REV">"c494"</definedName>
    <definedName name="IQ_GAIN_INVEST_REV_BNK">"c495"</definedName>
    <definedName name="IQ_GAIN_INVEST_REV_BR">"c496"</definedName>
    <definedName name="IQ_GAIN_INVEST_REV_FIN">"c497"</definedName>
    <definedName name="IQ_GAIN_INVEST_REV_INS">"c498"</definedName>
    <definedName name="IQ_GAIN_INVEST_REV_REIT">"c499"</definedName>
    <definedName name="IQ_GAIN_INVEST_REV_UTI">"c500"</definedName>
    <definedName name="IQ_GAIN_INVEST_UTI">"c1468"</definedName>
    <definedName name="IQ_GAIN_LOANS_REC">"c501"</definedName>
    <definedName name="IQ_GAIN_LOANS_RECEIV">"c502"</definedName>
    <definedName name="IQ_GAIN_LOANS_RECEIV_REV_FIN">"c503"</definedName>
    <definedName name="IQ_GAIN_LOANS_REV">"c504"</definedName>
    <definedName name="IQ_GAIN_SALE_ASSETS">"c1377"</definedName>
    <definedName name="IQ_GEO_SEG_ASSETS">"c4069"</definedName>
    <definedName name="IQ_GEO_SEG_ASSETS_ABS">"c4091"</definedName>
    <definedName name="IQ_GEO_SEG_ASSETS_TOTAL">"c4123"</definedName>
    <definedName name="IQ_GEO_SEG_CAPEX">"c4083"</definedName>
    <definedName name="IQ_GEO_SEG_CAPEX_ABS">"c4105"</definedName>
    <definedName name="IQ_GEO_SEG_CAPEX_TOTAL">"c4127"</definedName>
    <definedName name="IQ_GEO_SEG_DA">"c4082"</definedName>
    <definedName name="IQ_GEO_SEG_DA_ABS">"c4104"</definedName>
    <definedName name="IQ_GEO_SEG_DA_TOTAL">"c4126"</definedName>
    <definedName name="IQ_GEO_SEG_EARNINGS_OP">"c4073"</definedName>
    <definedName name="IQ_GEO_SEG_EARNINGS_OP_ABS">"c4095"</definedName>
    <definedName name="IQ_GEO_SEG_EARNINGS_OP_TOTAL">"c4119"</definedName>
    <definedName name="IQ_GEO_SEG_EBT">"c4072"</definedName>
    <definedName name="IQ_GEO_SEG_EBT_ABS">"c4094"</definedName>
    <definedName name="IQ_GEO_SEG_EBT_TOTAL">"c4121"</definedName>
    <definedName name="IQ_GEO_SEG_GP">"c4070"</definedName>
    <definedName name="IQ_GEO_SEG_GP_ABS">"c4092"</definedName>
    <definedName name="IQ_GEO_SEG_GP_TOTAL">"c4120"</definedName>
    <definedName name="IQ_GEO_SEG_INC_TAX">"c4081"</definedName>
    <definedName name="IQ_GEO_SEG_INC_TAX_ABS">"c4103"</definedName>
    <definedName name="IQ_GEO_SEG_INC_TAX_TOTAL">"c4125"</definedName>
    <definedName name="IQ_GEO_SEG_INTEREST_EXP">"c4080"</definedName>
    <definedName name="IQ_GEO_SEG_INTEREST_EXP_ABS">"c4102"</definedName>
    <definedName name="IQ_GEO_SEG_INTEREST_EXP_TOTAL">"c4124"</definedName>
    <definedName name="IQ_GEO_SEG_NAME">"c5484"</definedName>
    <definedName name="IQ_GEO_SEG_NAME_ABS">"c5485"</definedName>
    <definedName name="IQ_GEO_SEG_NI">"c4071"</definedName>
    <definedName name="IQ_GEO_SEG_NI_ABS">"c4093"</definedName>
    <definedName name="IQ_GEO_SEG_NI_TOTAL">"c4122"</definedName>
    <definedName name="IQ_GEO_SEG_OPER_INC">"c4075"</definedName>
    <definedName name="IQ_GEO_SEG_OPER_INC_ABS">"c4097"</definedName>
    <definedName name="IQ_GEO_SEG_OPER_INC_TOTAL">"c4118"</definedName>
    <definedName name="IQ_GEO_SEG_REV">"c4074"</definedName>
    <definedName name="IQ_GEO_SEG_REV_ABS">"c4096"</definedName>
    <definedName name="IQ_GEO_SEG_REV_TOTAL">"c4117"</definedName>
    <definedName name="IQ_GOODWILL_NET">"c1380"</definedName>
    <definedName name="IQ_GP">"c511"</definedName>
    <definedName name="IQ_GP_10YR_ANN_GROWTH">"c512"</definedName>
    <definedName name="IQ_GP_1YR_ANN_GROWTH">"c513"</definedName>
    <definedName name="IQ_GP_2YR_ANN_GROWTH">"c514"</definedName>
    <definedName name="IQ_GP_3YR_ANN_GROWTH">"c515"</definedName>
    <definedName name="IQ_GP_5YR_ANN_GROWTH">"c516"</definedName>
    <definedName name="IQ_GP_7YR_ANN_GROWTH">"c517"</definedName>
    <definedName name="IQ_GPPE">"c518"</definedName>
    <definedName name="IQ_GROSS_AH_EARNED">"c2742"</definedName>
    <definedName name="IQ_GROSS_CLAIM_EXP_INCUR">"c2755"</definedName>
    <definedName name="IQ_GROSS_CLAIM_EXP_PAID">"c2758"</definedName>
    <definedName name="IQ_GROSS_CLAIM_EXP_RES">"c2752"</definedName>
    <definedName name="IQ_GROSS_DIVID">"c1446"</definedName>
    <definedName name="IQ_GROSS_EARNED">"c2732"</definedName>
    <definedName name="IQ_GROSS_LIFE_EARNED">"c2737"</definedName>
    <definedName name="IQ_GROSS_LIFE_IN_FORCE">"c2767"</definedName>
    <definedName name="IQ_GROSS_LOANS">"c521"</definedName>
    <definedName name="IQ_GROSS_LOANS_10YR_ANN_GROWTH">"c522"</definedName>
    <definedName name="IQ_GROSS_LOANS_1YR_ANN_GROWTH">"c523"</definedName>
    <definedName name="IQ_GROSS_LOANS_2YR_ANN_GROWTH">"c524"</definedName>
    <definedName name="IQ_GROSS_LOANS_3YR_ANN_GROWTH">"c525"</definedName>
    <definedName name="IQ_GROSS_LOANS_5YR_ANN_GROWTH">"c526"</definedName>
    <definedName name="IQ_GROSS_LOANS_7YR_ANN_GROWTH">"c527"</definedName>
    <definedName name="IQ_GROSS_LOANS_TOTAL_DEPOSITS">"c528"</definedName>
    <definedName name="IQ_GROSS_MARGIN">"c529"</definedName>
    <definedName name="IQ_GROSS_PC_EARNED">"c2747"</definedName>
    <definedName name="IQ_GROSS_PROFIT">"c1378"</definedName>
    <definedName name="IQ_GROSS_SPRD">"c2155"</definedName>
    <definedName name="IQ_GROSS_WRITTEN">"c2726"</definedName>
    <definedName name="IQ_GW">"c530"</definedName>
    <definedName name="IQ_GW_AMORT_BR">"c532"</definedName>
    <definedName name="IQ_GW_AMORT_FIN">"c540"</definedName>
    <definedName name="IQ_GW_AMORT_INS">"c541"</definedName>
    <definedName name="IQ_GW_AMORT_REIT">"c542"</definedName>
    <definedName name="IQ_GW_AMORT_UTI">"c543"</definedName>
    <definedName name="IQ_GW_INTAN_AMORT">"c1469"</definedName>
    <definedName name="IQ_GW_INTAN_AMORT_BNK">"c544"</definedName>
    <definedName name="IQ_GW_INTAN_AMORT_BR">"c1470"</definedName>
    <definedName name="IQ_GW_INTAN_AMORT_CF">"c1471"</definedName>
    <definedName name="IQ_GW_INTAN_AMORT_CF_BNK">"c1472"</definedName>
    <definedName name="IQ_GW_INTAN_AMORT_CF_BR">"c1473"</definedName>
    <definedName name="IQ_GW_INTAN_AMORT_CF_FIN">"c1474"</definedName>
    <definedName name="IQ_GW_INTAN_AMORT_CF_INS">"c1475"</definedName>
    <definedName name="IQ_GW_INTAN_AMORT_CF_REIT">"c1476"</definedName>
    <definedName name="IQ_GW_INTAN_AMORT_CF_UTI">"c1477"</definedName>
    <definedName name="IQ_GW_INTAN_AMORT_FIN">"c1478"</definedName>
    <definedName name="IQ_GW_INTAN_AMORT_INS">"c1479"</definedName>
    <definedName name="IQ_GW_INTAN_AMORT_REIT">"c1480"</definedName>
    <definedName name="IQ_GW_INTAN_AMORT_UTI">"c1481"</definedName>
    <definedName name="IQ_HIGH_TARGET_PRICE">"c1651"</definedName>
    <definedName name="IQ_HIGH_TARGET_PRICE_REUT">"c5317"</definedName>
    <definedName name="IQ_HIGHPRICE">"c545"</definedName>
    <definedName name="IQ_HOMEOWNERS_WRITTEN">"c546"</definedName>
    <definedName name="IQ_IMPAIR_OIL">"c547"</definedName>
    <definedName name="IQ_IMPAIRMENT_GW">"c548"</definedName>
    <definedName name="IQ_IMPUT_OPER_LEASE_DEPR">"c2987"</definedName>
    <definedName name="IQ_IMPUT_OPER_LEASE_INT_EXP">"c2986"</definedName>
    <definedName name="IQ_INC_AFTER_TAX">"c1598"</definedName>
    <definedName name="IQ_INC_AVAIL_EXCL">"c1395"</definedName>
    <definedName name="IQ_INC_AVAIL_INCL">"c1396"</definedName>
    <definedName name="IQ_INC_BEFORE_TAX">"c1375"</definedName>
    <definedName name="IQ_INC_EQUITY">"c549"</definedName>
    <definedName name="IQ_INC_EQUITY_BR">"c550"</definedName>
    <definedName name="IQ_INC_EQUITY_CF">"c551"</definedName>
    <definedName name="IQ_INC_EQUITY_FIN">"c552"</definedName>
    <definedName name="IQ_INC_EQUITY_INS">"c553"</definedName>
    <definedName name="IQ_INC_EQUITY_REC_BNK">"c554"</definedName>
    <definedName name="IQ_INC_EQUITY_REIT">"c555"</definedName>
    <definedName name="IQ_INC_EQUITY_REV_BNK">"c556"</definedName>
    <definedName name="IQ_INC_EQUITY_UTI">"c557"</definedName>
    <definedName name="IQ_INC_REAL_ESTATE_REC">"c558"</definedName>
    <definedName name="IQ_INC_REAL_ESTATE_REV">"c559"</definedName>
    <definedName name="IQ_INC_TAX">"c560"</definedName>
    <definedName name="IQ_INC_TAX_EXCL">"c1599"</definedName>
    <definedName name="IQ_INC_TAX_PAY_CURRENT">"c561"</definedName>
    <definedName name="IQ_INC_TRADE_ACT">"c562"</definedName>
    <definedName name="IQ_INDUSTRY">"c3601"</definedName>
    <definedName name="IQ_INDUSTRY_GROUP">"c3602"</definedName>
    <definedName name="IQ_INDUSTRY_SECTOR">"c3603"</definedName>
    <definedName name="IQ_INS_ANNUITY_LIAB">"c563"</definedName>
    <definedName name="IQ_INS_ANNUITY_REV">"c2788"</definedName>
    <definedName name="IQ_INS_DIV_EXP">"c564"</definedName>
    <definedName name="IQ_INS_DIV_REV">"c565"</definedName>
    <definedName name="IQ_INS_IN_FORCE">"c566"</definedName>
    <definedName name="IQ_INS_LIAB">"c567"</definedName>
    <definedName name="IQ_INS_POLICY_EXP">"c568"</definedName>
    <definedName name="IQ_INS_REV">"c569"</definedName>
    <definedName name="IQ_INS_SETTLE">"c570"</definedName>
    <definedName name="IQ_INS_SETTLE_BNK">"c571"</definedName>
    <definedName name="IQ_INS_SETTLE_BR">"c572"</definedName>
    <definedName name="IQ_INS_SETTLE_FIN">"c573"</definedName>
    <definedName name="IQ_INS_SETTLE_INS">"c574"</definedName>
    <definedName name="IQ_INS_SETTLE_REIT">"c575"</definedName>
    <definedName name="IQ_INS_SETTLE_UTI">"c576"</definedName>
    <definedName name="IQ_INSIDER_3MTH_BOUGHT_PCT">"c1534"</definedName>
    <definedName name="IQ_INSIDER_3MTH_NET_PCT">"c1535"</definedName>
    <definedName name="IQ_INSIDER_3MTH_SOLD_PCT">"c1533"</definedName>
    <definedName name="IQ_INSIDER_6MTH_BOUGHT_PCT">"c1537"</definedName>
    <definedName name="IQ_INSIDER_6MTH_NET_PCT">"c1538"</definedName>
    <definedName name="IQ_INSIDER_6MTH_SOLD_PCT">"c1536"</definedName>
    <definedName name="IQ_INSIDER_OVER_TOTAL">"c1581"</definedName>
    <definedName name="IQ_INSIDER_OWNER">"c577"</definedName>
    <definedName name="IQ_INSIDER_PERCENT">"c578"</definedName>
    <definedName name="IQ_INSIDER_SHARES">"c579"</definedName>
    <definedName name="IQ_INSTITUTIONAL_OVER_TOTAL">"c1580"</definedName>
    <definedName name="IQ_INSTITUTIONAL_OWNER">"c580"</definedName>
    <definedName name="IQ_INSTITUTIONAL_PERCENT">"c581"</definedName>
    <definedName name="IQ_INSTITUTIONAL_SHARES">"c582"</definedName>
    <definedName name="IQ_INSUR_RECEIV">"c1600"</definedName>
    <definedName name="IQ_INT_BORROW">"c583"</definedName>
    <definedName name="IQ_INT_DEPOSITS">"c584"</definedName>
    <definedName name="IQ_INT_DIV_INC">"c585"</definedName>
    <definedName name="IQ_INT_EXP_BR">"c586"</definedName>
    <definedName name="IQ_INT_EXP_COVERAGE">"c587"</definedName>
    <definedName name="IQ_INT_EXP_FIN">"c588"</definedName>
    <definedName name="IQ_INT_EXP_INCL_CAP">"c2988"</definedName>
    <definedName name="IQ_INT_EXP_INS">"c589"</definedName>
    <definedName name="IQ_INT_EXP_LTD">"c2086"</definedName>
    <definedName name="IQ_INT_EXP_REIT">"c590"</definedName>
    <definedName name="IQ_INT_EXP_TOTAL">"c591"</definedName>
    <definedName name="IQ_INT_EXP_UTI">"c592"</definedName>
    <definedName name="IQ_INT_INC_BR">"c593"</definedName>
    <definedName name="IQ_INT_INC_FIN">"c594"</definedName>
    <definedName name="IQ_INT_INC_INVEST">"c595"</definedName>
    <definedName name="IQ_INT_INC_LOANS">"c596"</definedName>
    <definedName name="IQ_INT_INC_REIT">"c597"</definedName>
    <definedName name="IQ_INT_INC_TOTAL">"c598"</definedName>
    <definedName name="IQ_INT_INC_UTI">"c599"</definedName>
    <definedName name="IQ_INT_INV_INC">"c600"</definedName>
    <definedName name="IQ_INT_INV_INC_REIT">"c601"</definedName>
    <definedName name="IQ_INT_INV_INC_UTI">"c602"</definedName>
    <definedName name="IQ_INT_ON_BORROWING_COVERAGE">"c603"</definedName>
    <definedName name="IQ_INT_RATE_SPREAD">"c604"</definedName>
    <definedName name="IQ_INTANGIBLES_NET">"c1407"</definedName>
    <definedName name="IQ_INTEREST_CASH_DEPOSITS">"c2255"</definedName>
    <definedName name="IQ_INTEREST_EXP">"c618"</definedName>
    <definedName name="IQ_INTEREST_EXP_NET">"c1450"</definedName>
    <definedName name="IQ_INTEREST_EXP_NON">"c1383"</definedName>
    <definedName name="IQ_INTEREST_EXP_SUPPL">"c1460"</definedName>
    <definedName name="IQ_INTEREST_INC">"c1393"</definedName>
    <definedName name="IQ_INTEREST_INC_NON">"c1384"</definedName>
    <definedName name="IQ_INTEREST_INVEST_INC">"c619"</definedName>
    <definedName name="IQ_INV_10YR_ANN_GROWTH">"c1930"</definedName>
    <definedName name="IQ_INV_1YR_ANN_GROWTH">"c1925"</definedName>
    <definedName name="IQ_INV_2YR_ANN_GROWTH">"c1926"</definedName>
    <definedName name="IQ_INV_3YR_ANN_GROWTH">"c1927"</definedName>
    <definedName name="IQ_INV_5YR_ANN_GROWTH">"c1928"</definedName>
    <definedName name="IQ_INV_7YR_ANN_GROWTH">"c1929"</definedName>
    <definedName name="IQ_INV_BANKING_FEE">"c620"</definedName>
    <definedName name="IQ_INV_METHOD">"c621"</definedName>
    <definedName name="IQ_INVENTORY">"c622"</definedName>
    <definedName name="IQ_INVENTORY_TURNS">"c623"</definedName>
    <definedName name="IQ_INVENTORY_UTI">"c624"</definedName>
    <definedName name="IQ_INVEST_DEBT">"c625"</definedName>
    <definedName name="IQ_INVEST_EQUITY_PREF">"c626"</definedName>
    <definedName name="IQ_INVEST_FHLB">"c627"</definedName>
    <definedName name="IQ_INVEST_GOV_SECURITY">"c5510"</definedName>
    <definedName name="IQ_INVEST_LOANS_CF">"c628"</definedName>
    <definedName name="IQ_INVEST_LOANS_CF_BNK">"c629"</definedName>
    <definedName name="IQ_INVEST_LOANS_CF_BR">"c630"</definedName>
    <definedName name="IQ_INVEST_LOANS_CF_FIN">"c631"</definedName>
    <definedName name="IQ_INVEST_LOANS_CF_INS">"c632"</definedName>
    <definedName name="IQ_INVEST_LOANS_CF_REIT">"c633"</definedName>
    <definedName name="IQ_INVEST_LOANS_CF_UTI">"c634"</definedName>
    <definedName name="IQ_INVEST_MUNI_SECURITY">"c5512"</definedName>
    <definedName name="IQ_INVEST_REAL_ESTATE">"c635"</definedName>
    <definedName name="IQ_INVEST_SECURITY">"c636"</definedName>
    <definedName name="IQ_INVEST_SECURITY_CF">"c637"</definedName>
    <definedName name="IQ_INVEST_SECURITY_CF_BNK">"c638"</definedName>
    <definedName name="IQ_INVEST_SECURITY_CF_BR">"c639"</definedName>
    <definedName name="IQ_INVEST_SECURITY_CF_FIN">"c640"</definedName>
    <definedName name="IQ_INVEST_SECURITY_CF_INS">"c641"</definedName>
    <definedName name="IQ_INVEST_SECURITY_CF_REIT">"c642"</definedName>
    <definedName name="IQ_INVEST_SECURITY_CF_UTI">"c643"</definedName>
    <definedName name="IQ_INVEST_SECURITY_SUPPL">"c5511"</definedName>
    <definedName name="IQ_IPRD">"c644"</definedName>
    <definedName name="IQ_ISS_DEBT_NET">"c1391"</definedName>
    <definedName name="IQ_ISS_STOCK_NET">"c1601"</definedName>
    <definedName name="IQ_ISSUE_CURRENCY">"c2156"</definedName>
    <definedName name="IQ_ISSUE_NAME">"c2142"</definedName>
    <definedName name="IQ_ISSUER">"c2143"</definedName>
    <definedName name="IQ_ISSUER_CIQID">"c2258"</definedName>
    <definedName name="IQ_ISSUER_PARENT">"c2144"</definedName>
    <definedName name="IQ_ISSUER_PARENT_CIQID">"c2260"</definedName>
    <definedName name="IQ_ISSUER_PARENT_TICKER">"c2259"</definedName>
    <definedName name="IQ_ISSUER_TICKER">"c2252"</definedName>
    <definedName name="IQ_JR_SUB_DEBT">"c2534"</definedName>
    <definedName name="IQ_JR_SUB_DEBT_EBITDA">"c2560"</definedName>
    <definedName name="IQ_JR_SUB_DEBT_EBITDA_CAPEX">"c2561"</definedName>
    <definedName name="IQ_JR_SUB_DEBT_PCT">"c2535"</definedName>
    <definedName name="IQ_LAND">"c645"</definedName>
    <definedName name="IQ_LAST_PMT_DATE">"c2188"</definedName>
    <definedName name="IQ_LAST_SPLIT_DATE">"c2095"</definedName>
    <definedName name="IQ_LAST_SPLIT_FACTOR">"c2093"</definedName>
    <definedName name="IQ_LASTPRICINGDATE">"c3051"</definedName>
    <definedName name="IQ_LASTSALEPRICE">"c646"</definedName>
    <definedName name="IQ_LASTSALEPRICE_DATE">"c2109"</definedName>
    <definedName name="IQ_LATESTK">1000</definedName>
    <definedName name="IQ_LATESTQ">500</definedName>
    <definedName name="IQ_LEGAL_SETTLE">"c647"</definedName>
    <definedName name="IQ_LEGAL_SETTLE_BNK">"c648"</definedName>
    <definedName name="IQ_LEGAL_SETTLE_BR">"c649"</definedName>
    <definedName name="IQ_LEGAL_SETTLE_FIN">"c650"</definedName>
    <definedName name="IQ_LEGAL_SETTLE_INS">"c651"</definedName>
    <definedName name="IQ_LEGAL_SETTLE_REIT">"c652"</definedName>
    <definedName name="IQ_LEGAL_SETTLE_UTI">"c653"</definedName>
    <definedName name="IQ_LEVERAGE_RATIO">"c654"</definedName>
    <definedName name="IQ_LEVERED_FCF">"c1907"</definedName>
    <definedName name="IQ_LFCF_10YR_ANN_GROWTH">"c1942"</definedName>
    <definedName name="IQ_LFCF_1YR_ANN_GROWTH">"c1937"</definedName>
    <definedName name="IQ_LFCF_2YR_ANN_GROWTH">"c1938"</definedName>
    <definedName name="IQ_LFCF_3YR_ANN_GROWTH">"c1939"</definedName>
    <definedName name="IQ_LFCF_5YR_ANN_GROWTH">"c1940"</definedName>
    <definedName name="IQ_LFCF_7YR_ANN_GROWTH">"c1941"</definedName>
    <definedName name="IQ_LFCF_MARGIN">"c1961"</definedName>
    <definedName name="IQ_LH_STATUTORY_SURPLUS">"c2771"</definedName>
    <definedName name="IQ_LICENSED_POPS">"c2123"</definedName>
    <definedName name="IQ_LIFE_EARNED">"c2739"</definedName>
    <definedName name="IQ_LIFOR">"c655"</definedName>
    <definedName name="IQ_LL">"c656"</definedName>
    <definedName name="IQ_LOAN_LEASE_RECEIV">"c657"</definedName>
    <definedName name="IQ_LOAN_LOSS">"c1386"</definedName>
    <definedName name="IQ_LOAN_SERVICE_REV">"c658"</definedName>
    <definedName name="IQ_LOANS_CF">"c659"</definedName>
    <definedName name="IQ_LOANS_CF_BNK">"c660"</definedName>
    <definedName name="IQ_LOANS_CF_BR">"c661"</definedName>
    <definedName name="IQ_LOANS_CF_FIN">"c662"</definedName>
    <definedName name="IQ_LOANS_CF_INS">"c663"</definedName>
    <definedName name="IQ_LOANS_CF_REIT">"c664"</definedName>
    <definedName name="IQ_LOANS_CF_UTI">"c665"</definedName>
    <definedName name="IQ_LOANS_FOR_SALE">"c666"</definedName>
    <definedName name="IQ_LOANS_PAST_DUE">"c667"</definedName>
    <definedName name="IQ_LOANS_RECEIV_CURRENT">"c668"</definedName>
    <definedName name="IQ_LOANS_RECEIV_LT">"c669"</definedName>
    <definedName name="IQ_LOANS_RECEIV_LT_UTI">"c670"</definedName>
    <definedName name="IQ_LONG_TERM_DEBT">"c1387"</definedName>
    <definedName name="IQ_LONG_TERM_DEBT_OVER_TOTAL_CAP">"c1388"</definedName>
    <definedName name="IQ_LONG_TERM_GROWTH">"c671"</definedName>
    <definedName name="IQ_LONG_TERM_INV">"c1389"</definedName>
    <definedName name="IQ_LOSS_LOSS_EXP">"c672"</definedName>
    <definedName name="IQ_LOSS_TO_NET_EARNED">"c2751"</definedName>
    <definedName name="IQ_LOW_TARGET_PRICE">"c1652"</definedName>
    <definedName name="IQ_LOW_TARGET_PRICE_REUT">"c5318"</definedName>
    <definedName name="IQ_LOWPRICE">"c673"</definedName>
    <definedName name="IQ_LT_DEBT">"c674"</definedName>
    <definedName name="IQ_LT_DEBT_BNK">"c675"</definedName>
    <definedName name="IQ_LT_DEBT_BR">"c676"</definedName>
    <definedName name="IQ_LT_DEBT_CAPITAL">"c677"</definedName>
    <definedName name="IQ_LT_DEBT_CAPITAL_LEASES">"c2542"</definedName>
    <definedName name="IQ_LT_DEBT_CAPITAL_LEASES_PCT">"c2543"</definedName>
    <definedName name="IQ_LT_DEBT_EQUITY">"c678"</definedName>
    <definedName name="IQ_LT_DEBT_FIN">"c679"</definedName>
    <definedName name="IQ_LT_DEBT_INS">"c680"</definedName>
    <definedName name="IQ_LT_DEBT_ISSUED">"c681"</definedName>
    <definedName name="IQ_LT_DEBT_ISSUED_BNK">"c682"</definedName>
    <definedName name="IQ_LT_DEBT_ISSUED_BR">"c683"</definedName>
    <definedName name="IQ_LT_DEBT_ISSUED_FIN">"c684"</definedName>
    <definedName name="IQ_LT_DEBT_ISSUED_INS">"c685"</definedName>
    <definedName name="IQ_LT_DEBT_ISSUED_REIT">"c686"</definedName>
    <definedName name="IQ_LT_DEBT_ISSUED_UTI">"c687"</definedName>
    <definedName name="IQ_LT_DEBT_REIT">"c688"</definedName>
    <definedName name="IQ_LT_DEBT_REPAID">"c689"</definedName>
    <definedName name="IQ_LT_DEBT_REPAID_BNK">"c690"</definedName>
    <definedName name="IQ_LT_DEBT_REPAID_BR">"c691"</definedName>
    <definedName name="IQ_LT_DEBT_REPAID_FIN">"c692"</definedName>
    <definedName name="IQ_LT_DEBT_REPAID_INS">"c693"</definedName>
    <definedName name="IQ_LT_DEBT_REPAID_REIT">"c694"</definedName>
    <definedName name="IQ_LT_DEBT_REPAID_UTI">"c695"</definedName>
    <definedName name="IQ_LT_DEBT_UTI">"c696"</definedName>
    <definedName name="IQ_LT_INVEST">"c697"</definedName>
    <definedName name="IQ_LT_INVEST_BR">"c698"</definedName>
    <definedName name="IQ_LT_INVEST_FIN">"c699"</definedName>
    <definedName name="IQ_LT_INVEST_REIT">"c700"</definedName>
    <definedName name="IQ_LT_INVEST_UTI">"c701"</definedName>
    <definedName name="IQ_LT_NOTE_RECEIV">"c1602"</definedName>
    <definedName name="IQ_LTD_DUE_AFTER_FIVE">"c704"</definedName>
    <definedName name="IQ_LTD_DUE_CY">"c705"</definedName>
    <definedName name="IQ_LTD_DUE_CY1">"c706"</definedName>
    <definedName name="IQ_LTD_DUE_CY2">"c707"</definedName>
    <definedName name="IQ_LTD_DUE_CY3">"c708"</definedName>
    <definedName name="IQ_LTD_DUE_CY4">"c709"</definedName>
    <definedName name="IQ_LTD_DUE_NEXT_FIVE">"c710"</definedName>
    <definedName name="IQ_LTM">2000</definedName>
    <definedName name="IQ_LTM_REVENUE_OVER_EMPLOYEES">"c1437"</definedName>
    <definedName name="IQ_MACHINERY">"c711"</definedName>
    <definedName name="IQ_MAINT_CAPEX">"c2947"</definedName>
    <definedName name="IQ_MAINT_CAPEX_ACT_OR_EST">"c4458"</definedName>
    <definedName name="IQ_MAINT_REPAIR">"c2087"</definedName>
    <definedName name="IQ_MAKE_WHOLE_END_DATE">"c2493"</definedName>
    <definedName name="IQ_MAKE_WHOLE_SPREAD">"c2494"</definedName>
    <definedName name="IQ_MAKE_WHOLE_START_DATE">"c2492"</definedName>
    <definedName name="IQ_MARKET_CAP_LFCF">"c2209"</definedName>
    <definedName name="IQ_MARKETCAP">"c712"</definedName>
    <definedName name="IQ_MARKETING">"c2239"</definedName>
    <definedName name="IQ_MATURITY_DATE">"c2146"</definedName>
    <definedName name="IQ_MC_RATIO">"c2783"</definedName>
    <definedName name="IQ_MC_STATUTORY_SURPLUS">"c2772"</definedName>
    <definedName name="IQ_MEDIAN_TARGET_PRICE">"c1650"</definedName>
    <definedName name="IQ_MEDIAN_TARGET_PRICE_REUT">"c5316"</definedName>
    <definedName name="IQ_MERGER">"c713"</definedName>
    <definedName name="IQ_MERGER_BNK">"c714"</definedName>
    <definedName name="IQ_MERGER_BR">"c715"</definedName>
    <definedName name="IQ_MERGER_FIN">"c716"</definedName>
    <definedName name="IQ_MERGER_INS">"c717"</definedName>
    <definedName name="IQ_MERGER_REIT">"c718"</definedName>
    <definedName name="IQ_MERGER_RESTRUCTURE">"c719"</definedName>
    <definedName name="IQ_MERGER_RESTRUCTURE_BNK">"c720"</definedName>
    <definedName name="IQ_MERGER_RESTRUCTURE_BR">"c721"</definedName>
    <definedName name="IQ_MERGER_RESTRUCTURE_FIN">"c722"</definedName>
    <definedName name="IQ_MERGER_RESTRUCTURE_INS">"c723"</definedName>
    <definedName name="IQ_MERGER_RESTRUCTURE_REIT">"c724"</definedName>
    <definedName name="IQ_MERGER_RESTRUCTURE_UTI">"c725"</definedName>
    <definedName name="IQ_MERGER_UTI">"c726"</definedName>
    <definedName name="IQ_MINORITY_INTEREST">"c727"</definedName>
    <definedName name="IQ_MINORITY_INTEREST_BNK">"c728"</definedName>
    <definedName name="IQ_MINORITY_INTEREST_BR">"c729"</definedName>
    <definedName name="IQ_MINORITY_INTEREST_CF">"c730"</definedName>
    <definedName name="IQ_MINORITY_INTEREST_FIN">"c731"</definedName>
    <definedName name="IQ_MINORITY_INTEREST_INS">"c732"</definedName>
    <definedName name="IQ_MINORITY_INTEREST_IS">"c733"</definedName>
    <definedName name="IQ_MINORITY_INTEREST_REIT">"c734"</definedName>
    <definedName name="IQ_MINORITY_INTEREST_TOTAL">"c1905"</definedName>
    <definedName name="IQ_MINORITY_INTEREST_UTI">"c735"</definedName>
    <definedName name="IQ_MISC_ADJUST_CF">"c736"</definedName>
    <definedName name="IQ_MISC_EARN_ADJ">"c1603"</definedName>
    <definedName name="IQ_MKTCAP_EBT_EXCL">"c737"</definedName>
    <definedName name="IQ_MKTCAP_EBT_EXCL_AVG">"c738"</definedName>
    <definedName name="IQ_MKTCAP_EBT_INCL_AVG">"c739"</definedName>
    <definedName name="IQ_MKTCAP_TOTAL_REV">"c740"</definedName>
    <definedName name="IQ_MKTCAP_TOTAL_REV_AVG">"c741"</definedName>
    <definedName name="IQ_MKTCAP_TOTAL_REV_FWD">"c742"</definedName>
    <definedName name="IQ_MKTCAP_TOTAL_REV_FWD_REUT">"c4048"</definedName>
    <definedName name="IQ_MM_ACCOUNT">"c743"</definedName>
    <definedName name="IQ_MORT_BANK_ACT">"c744"</definedName>
    <definedName name="IQ_MORT_BANKING_FEE">"c745"</definedName>
    <definedName name="IQ_MORT_INT_INC">"c746"</definedName>
    <definedName name="IQ_MORT_LOANS">"c747"</definedName>
    <definedName name="IQ_MORT_SECURITY">"c748"</definedName>
    <definedName name="IQ_MORTGAGE_SERV_RIGHTS">"c2242"</definedName>
    <definedName name="IQ_NET_CHANGE">"c749"</definedName>
    <definedName name="IQ_NET_CLAIM_EXP_INCUR">"c2757"</definedName>
    <definedName name="IQ_NET_CLAIM_EXP_INCUR_CY">"c2761"</definedName>
    <definedName name="IQ_NET_CLAIM_EXP_INCUR_PY">"c2762"</definedName>
    <definedName name="IQ_NET_CLAIM_EXP_PAID">"c2760"</definedName>
    <definedName name="IQ_NET_CLAIM_EXP_PAID_CY">"c2763"</definedName>
    <definedName name="IQ_NET_CLAIM_EXP_PAID_PY">"c2764"</definedName>
    <definedName name="IQ_NET_CLAIM_EXP_RES">"c2754"</definedName>
    <definedName name="IQ_NET_DEBT">"c1584"</definedName>
    <definedName name="IQ_NET_DEBT_EBITDA">"c750"</definedName>
    <definedName name="IQ_NET_DEBT_EBITDA_CAPEX">"c2949"</definedName>
    <definedName name="IQ_NET_DEBT_ISSUED">"c751"</definedName>
    <definedName name="IQ_NET_DEBT_ISSUED_BNK">"c752"</definedName>
    <definedName name="IQ_NET_DEBT_ISSUED_BR">"c753"</definedName>
    <definedName name="IQ_NET_DEBT_ISSUED_FIN">"c754"</definedName>
    <definedName name="IQ_NET_DEBT_ISSUED_INS">"c755"</definedName>
    <definedName name="IQ_NET_DEBT_ISSUED_REIT">"c756"</definedName>
    <definedName name="IQ_NET_DEBT_ISSUED_UTI">"c757"</definedName>
    <definedName name="IQ_NET_EARNED">"c2734"</definedName>
    <definedName name="IQ_NET_INC">"c1394"</definedName>
    <definedName name="IQ_NET_INC_BEFORE">"c1368"</definedName>
    <definedName name="IQ_NET_INC_CF">"c1397"</definedName>
    <definedName name="IQ_NET_INC_MARGIN">"c1398"</definedName>
    <definedName name="IQ_NET_INT_INC_10YR_ANN_GROWTH">"c758"</definedName>
    <definedName name="IQ_NET_INT_INC_1YR_ANN_GROWTH">"c759"</definedName>
    <definedName name="IQ_NET_INT_INC_2YR_ANN_GROWTH">"c760"</definedName>
    <definedName name="IQ_NET_INT_INC_3YR_ANN_GROWTH">"c761"</definedName>
    <definedName name="IQ_NET_INT_INC_5YR_ANN_GROWTH">"c762"</definedName>
    <definedName name="IQ_NET_INT_INC_7YR_ANN_GROWTH">"c763"</definedName>
    <definedName name="IQ_NET_INT_INC_BNK">"c764"</definedName>
    <definedName name="IQ_NET_INT_INC_BR">"c765"</definedName>
    <definedName name="IQ_NET_INT_INC_FIN">"c766"</definedName>
    <definedName name="IQ_NET_INT_INC_TOTAL_REV">"c767"</definedName>
    <definedName name="IQ_NET_INT_MARGIN">"c768"</definedName>
    <definedName name="IQ_NET_INTEREST_EXP">"c769"</definedName>
    <definedName name="IQ_NET_INTEREST_EXP_REIT">"c770"</definedName>
    <definedName name="IQ_NET_INTEREST_EXP_UTI">"c771"</definedName>
    <definedName name="IQ_NET_INTEREST_INC">"c1392"</definedName>
    <definedName name="IQ_NET_INTEREST_INC_AFTER_LL">"c1604"</definedName>
    <definedName name="IQ_NET_LIFE_INS_IN_FORCE">"c2769"</definedName>
    <definedName name="IQ_NET_LOANS">"c772"</definedName>
    <definedName name="IQ_NET_LOANS_10YR_ANN_GROWTH">"c773"</definedName>
    <definedName name="IQ_NET_LOANS_1YR_ANN_GROWTH">"c774"</definedName>
    <definedName name="IQ_NET_LOANS_2YR_ANN_GROWTH">"c775"</definedName>
    <definedName name="IQ_NET_LOANS_3YR_ANN_GROWTH">"c776"</definedName>
    <definedName name="IQ_NET_LOANS_5YR_ANN_GROWTH">"c777"</definedName>
    <definedName name="IQ_NET_LOANS_7YR_ANN_GROWTH">"c778"</definedName>
    <definedName name="IQ_NET_LOANS_TOTAL_DEPOSITS">"c779"</definedName>
    <definedName name="IQ_NET_RENTAL_EXP_FN">"c780"</definedName>
    <definedName name="IQ_NET_TO_GROSS_EARNED">"c2750"</definedName>
    <definedName name="IQ_NET_TO_GROSS_WRITTEN">"c2729"</definedName>
    <definedName name="IQ_NET_WORKING_CAP">"c3493"</definedName>
    <definedName name="IQ_NET_WRITTEN">"c2728"</definedName>
    <definedName name="IQ_NEW_PREM">"c2785"</definedName>
    <definedName name="IQ_NEXT_CALL_DATE">"c2198"</definedName>
    <definedName name="IQ_NEXT_CALL_PRICE">"c2199"</definedName>
    <definedName name="IQ_NEXT_INT_DATE">"c2187"</definedName>
    <definedName name="IQ_NEXT_PUT_DATE">"c2200"</definedName>
    <definedName name="IQ_NEXT_PUT_PRICE">"c2201"</definedName>
    <definedName name="IQ_NEXT_SINK_FUND_AMOUNT">"c2490"</definedName>
    <definedName name="IQ_NEXT_SINK_FUND_DATE">"c2489"</definedName>
    <definedName name="IQ_NEXT_SINK_FUND_PRICE">"c2491"</definedName>
    <definedName name="IQ_NI">"c781"</definedName>
    <definedName name="IQ_NI_10YR_ANN_GROWTH">"c782"</definedName>
    <definedName name="IQ_NI_1YR_ANN_GROWTH">"c783"</definedName>
    <definedName name="IQ_NI_2YR_ANN_GROWTH">"c784"</definedName>
    <definedName name="IQ_NI_3YR_ANN_GROWTH">"c785"</definedName>
    <definedName name="IQ_NI_5YR_ANN_GROWTH">"c786"</definedName>
    <definedName name="IQ_NI_7YR_ANN_GROWTH">"c787"</definedName>
    <definedName name="IQ_NI_AFTER_CAPITALIZED">"c788"</definedName>
    <definedName name="IQ_NI_AVAIL_EXCL">"c789"</definedName>
    <definedName name="IQ_NI_AVAIL_EXCL_MARGIN">"c790"</definedName>
    <definedName name="IQ_NI_AVAIL_INCL">"c791"</definedName>
    <definedName name="IQ_NI_BEFORE_CAPITALIZED">"c792"</definedName>
    <definedName name="IQ_NI_CF">"c793"</definedName>
    <definedName name="IQ_NI_MARGIN">"c794"</definedName>
    <definedName name="IQ_NI_NORM">"c1901"</definedName>
    <definedName name="IQ_NI_NORM_10YR_ANN_GROWTH">"c1960"</definedName>
    <definedName name="IQ_NI_NORM_1YR_ANN_GROWTH">"c1955"</definedName>
    <definedName name="IQ_NI_NORM_2YR_ANN_GROWTH">"c1956"</definedName>
    <definedName name="IQ_NI_NORM_3YR_ANN_GROWTH">"c1957"</definedName>
    <definedName name="IQ_NI_NORM_5YR_ANN_GROWTH">"c1958"</definedName>
    <definedName name="IQ_NI_NORM_7YR_ANN_GROWTH">"c1959"</definedName>
    <definedName name="IQ_NI_NORM_MARGIN">"c1964"</definedName>
    <definedName name="IQ_NI_SBC_ACT_OR_EST">"c4474"</definedName>
    <definedName name="IQ_NI_SBC_GW_ACT_OR_EST">"c4478"</definedName>
    <definedName name="IQ_NI_SFAS">"c795"</definedName>
    <definedName name="IQ_NOL_CF_1YR">"c3465"</definedName>
    <definedName name="IQ_NOL_CF_2YR">"c3466"</definedName>
    <definedName name="IQ_NOL_CF_3YR">"c3467"</definedName>
    <definedName name="IQ_NOL_CF_4YR">"c3468"</definedName>
    <definedName name="IQ_NOL_CF_5YR">"c3469"</definedName>
    <definedName name="IQ_NOL_CF_AFTER_FIVE">"c3470"</definedName>
    <definedName name="IQ_NOL_CF_MAX_YEAR">"c3473"</definedName>
    <definedName name="IQ_NOL_CF_NO_EXP">"c3471"</definedName>
    <definedName name="IQ_NOL_CF_TOTAL">"c3472"</definedName>
    <definedName name="IQ_NON_ACCRUAL_LOANS">"c796"</definedName>
    <definedName name="IQ_NON_CASH">"c1399"</definedName>
    <definedName name="IQ_NON_CASH_ITEMS">"c797"</definedName>
    <definedName name="IQ_NON_INS_EXP">"c798"</definedName>
    <definedName name="IQ_NON_INS_REV">"c799"</definedName>
    <definedName name="IQ_NON_INT_BEAR_CD">"c800"</definedName>
    <definedName name="IQ_NON_INT_EXP">"c801"</definedName>
    <definedName name="IQ_NON_INT_INC">"c802"</definedName>
    <definedName name="IQ_NON_INT_INC_10YR_ANN_GROWTH">"c803"</definedName>
    <definedName name="IQ_NON_INT_INC_1YR_ANN_GROWTH">"c804"</definedName>
    <definedName name="IQ_NON_INT_INC_2YR_ANN_GROWTH">"c805"</definedName>
    <definedName name="IQ_NON_INT_INC_3YR_ANN_GROWTH">"c806"</definedName>
    <definedName name="IQ_NON_INT_INC_5YR_ANN_GROWTH">"c807"</definedName>
    <definedName name="IQ_NON_INT_INC_7YR_ANN_GROWTH">"c808"</definedName>
    <definedName name="IQ_NON_INTEREST_EXP">"c1400"</definedName>
    <definedName name="IQ_NON_INTEREST_INC">"c1401"</definedName>
    <definedName name="IQ_NON_OPER_EXP">"c809"</definedName>
    <definedName name="IQ_NON_OPER_INC">"c810"</definedName>
    <definedName name="IQ_NON_PERF_ASSETS_10YR_ANN_GROWTH">"c811"</definedName>
    <definedName name="IQ_NON_PERF_ASSETS_1YR_ANN_GROWTH">"c812"</definedName>
    <definedName name="IQ_NON_PERF_ASSETS_2YR_ANN_GROWTH">"c813"</definedName>
    <definedName name="IQ_NON_PERF_ASSETS_3YR_ANN_GROWTH">"c814"</definedName>
    <definedName name="IQ_NON_PERF_ASSETS_5YR_ANN_GROWTH">"c815"</definedName>
    <definedName name="IQ_NON_PERF_ASSETS_7YR_ANN_GROWTH">"c816"</definedName>
    <definedName name="IQ_NON_PERF_ASSETS_TOTAL_ASSETS">"c817"</definedName>
    <definedName name="IQ_NON_PERF_LOANS_10YR_ANN_GROWTH">"c818"</definedName>
    <definedName name="IQ_NON_PERF_LOANS_1YR_ANN_GROWTH">"c819"</definedName>
    <definedName name="IQ_NON_PERF_LOANS_2YR_ANN_GROWTH">"c820"</definedName>
    <definedName name="IQ_NON_PERF_LOANS_3YR_ANN_GROWTH">"c821"</definedName>
    <definedName name="IQ_NON_PERF_LOANS_5YR_ANN_GROWTH">"c822"</definedName>
    <definedName name="IQ_NON_PERF_LOANS_7YR_ANN_GROWTH">"c823"</definedName>
    <definedName name="IQ_NON_PERF_LOANS_TOTAL_ASSETS">"c824"</definedName>
    <definedName name="IQ_NON_PERF_LOANS_TOTAL_LOANS">"c825"</definedName>
    <definedName name="IQ_NON_PERFORMING_ASSETS">"c826"</definedName>
    <definedName name="IQ_NON_PERFORMING_LOANS">"c827"</definedName>
    <definedName name="IQ_NONCASH_PENSION_EXP">"c3000"</definedName>
    <definedName name="IQ_NONRECOURSE_DEBT">"c2550"</definedName>
    <definedName name="IQ_NONRECOURSE_DEBT_PCT">"c2551"</definedName>
    <definedName name="IQ_NONUTIL_REV">"c2089"</definedName>
    <definedName name="IQ_NORMAL_INC_AFTER">"c1605"</definedName>
    <definedName name="IQ_NORMAL_INC_AVAIL">"c1606"</definedName>
    <definedName name="IQ_NORMAL_INC_BEFORE">"c1607"</definedName>
    <definedName name="IQ_NOTES_PAY">"c1423"</definedName>
    <definedName name="IQ_NOW_ACCOUNT">"c828"</definedName>
    <definedName name="IQ_NPPE">"c829"</definedName>
    <definedName name="IQ_NPPE_10YR_ANN_GROWTH">"c830"</definedName>
    <definedName name="IQ_NPPE_1YR_ANN_GROWTH">"c831"</definedName>
    <definedName name="IQ_NPPE_2YR_ANN_GROWTH">"c832"</definedName>
    <definedName name="IQ_NPPE_3YR_ANN_GROWTH">"c833"</definedName>
    <definedName name="IQ_NPPE_5YR_ANN_GROWTH">"c834"</definedName>
    <definedName name="IQ_NPPE_7YR_ANN_GROWTH">"c835"</definedName>
    <definedName name="IQ_NTM">6000</definedName>
    <definedName name="IQ_NUKE">"c836"</definedName>
    <definedName name="IQ_NUKE_CF">"c837"</definedName>
    <definedName name="IQ_NUKE_CONTR">"c838"</definedName>
    <definedName name="IQ_NUM_BRANCHES">"c2088"</definedName>
    <definedName name="IQ_NUMBER_ADRHOLDERS">"c1970"</definedName>
    <definedName name="IQ_NUMBER_DAYS">"c1904"</definedName>
    <definedName name="IQ_NUMBER_SHAREHOLDERS">"c1967"</definedName>
    <definedName name="IQ_NUMBER_SHAREHOLDERS_CLASSA">"c1968"</definedName>
    <definedName name="IQ_NUMBER_SHAREHOLDERS_OTHER">"c1969"</definedName>
    <definedName name="IQ_OCCUPY_EXP">"c839"</definedName>
    <definedName name="IQ_OFFER_AMOUNT">"c2152"</definedName>
    <definedName name="IQ_OFFER_COUPON">"c2147"</definedName>
    <definedName name="IQ_OFFER_COUPON_TYPE">"c2148"</definedName>
    <definedName name="IQ_OFFER_DATE">"c2149"</definedName>
    <definedName name="IQ_OFFER_PRICE">"c2150"</definedName>
    <definedName name="IQ_OFFER_YIELD">"c2151"</definedName>
    <definedName name="IQ_OG_10DISC">"c1998"</definedName>
    <definedName name="IQ_OG_10DISC_GAS">"c2018"</definedName>
    <definedName name="IQ_OG_10DISC_OIL">"c2008"</definedName>
    <definedName name="IQ_OG_ACQ_COST_PROVED">"c1975"</definedName>
    <definedName name="IQ_OG_ACQ_COST_PROVED_GAS">"c1987"</definedName>
    <definedName name="IQ_OG_ACQ_COST_PROVED_OIL">"c1981"</definedName>
    <definedName name="IQ_OG_ACQ_COST_UNPROVED">"c1976"</definedName>
    <definedName name="IQ_OG_ACQ_COST_UNPROVED_GAS">"c1988"</definedName>
    <definedName name="IQ_OG_ACQ_COST_UNPROVED_OIL">"c1982"</definedName>
    <definedName name="IQ_OG_AVG_DAILY_PROD_GAS">"c2910"</definedName>
    <definedName name="IQ_OG_AVG_DAILY_PROD_NGL">"c2911"</definedName>
    <definedName name="IQ_OG_AVG_DAILY_PROD_OIL">"c2909"</definedName>
    <definedName name="IQ_OG_CLOSE_BALANCE_GAS">"c2049"</definedName>
    <definedName name="IQ_OG_CLOSE_BALANCE_NGL">"c2920"</definedName>
    <definedName name="IQ_OG_CLOSE_BALANCE_OIL">"c2037"</definedName>
    <definedName name="IQ_OG_DCF_BEFORE_TAXES">"c2023"</definedName>
    <definedName name="IQ_OG_DCF_BEFORE_TAXES_GAS">"c2025"</definedName>
    <definedName name="IQ_OG_DCF_BEFORE_TAXES_OIL">"c2024"</definedName>
    <definedName name="IQ_OG_DEVELOPED_RESERVES_GAS">"c2053"</definedName>
    <definedName name="IQ_OG_DEVELOPED_RESERVES_NGL">"c2922"</definedName>
    <definedName name="IQ_OG_DEVELOPED_RESERVES_OIL">"c2054"</definedName>
    <definedName name="IQ_OG_DEVELOPMENT_COSTS">"c1978"</definedName>
    <definedName name="IQ_OG_DEVELOPMENT_COSTS_GAS">"c1990"</definedName>
    <definedName name="IQ_OG_DEVELOPMENT_COSTS_OIL">"c1984"</definedName>
    <definedName name="IQ_OG_EQUITY_DCF">"c2002"</definedName>
    <definedName name="IQ_OG_EQUITY_DCF_GAS">"c2022"</definedName>
    <definedName name="IQ_OG_EQUITY_DCF_OIL">"c2012"</definedName>
    <definedName name="IQ_OG_EQUTY_RESERVES_GAS">"c2050"</definedName>
    <definedName name="IQ_OG_EQUTY_RESERVES_NGL">"c2921"</definedName>
    <definedName name="IQ_OG_EQUTY_RESERVES_OIL">"c2038"</definedName>
    <definedName name="IQ_OG_EXPLORATION_COSTS">"c1977"</definedName>
    <definedName name="IQ_OG_EXPLORATION_COSTS_GAS">"c1989"</definedName>
    <definedName name="IQ_OG_EXPLORATION_COSTS_OIL">"c1983"</definedName>
    <definedName name="IQ_OG_EXT_DISC_GAS">"c2043"</definedName>
    <definedName name="IQ_OG_EXT_DISC_NGL">"c2914"</definedName>
    <definedName name="IQ_OG_EXT_DISC_OIL">"c2031"</definedName>
    <definedName name="IQ_OG_FUTURE_CASH_INFLOWS">"c1993"</definedName>
    <definedName name="IQ_OG_FUTURE_CASH_INFLOWS_GAS">"c2013"</definedName>
    <definedName name="IQ_OG_FUTURE_CASH_INFLOWS_OIL">"c2003"</definedName>
    <definedName name="IQ_OG_FUTURE_DEVELOPMENT_COSTS">"c1995"</definedName>
    <definedName name="IQ_OG_FUTURE_DEVELOPMENT_COSTS_GAS">"c2015"</definedName>
    <definedName name="IQ_OG_FUTURE_DEVELOPMENT_COSTS_OIL">"c2005"</definedName>
    <definedName name="IQ_OG_FUTURE_INC_TAXES">"c1997"</definedName>
    <definedName name="IQ_OG_FUTURE_INC_TAXES_GAS">"c2017"</definedName>
    <definedName name="IQ_OG_FUTURE_INC_TAXES_OIL">"c2007"</definedName>
    <definedName name="IQ_OG_FUTURE_PRODUCTION_COSTS">"c1994"</definedName>
    <definedName name="IQ_OG_FUTURE_PRODUCTION_COSTS_GAS">"c2014"</definedName>
    <definedName name="IQ_OG_FUTURE_PRODUCTION_COSTS_OIL">"c2004"</definedName>
    <definedName name="IQ_OG_GAS_PRICE_HEDGED">"c2056"</definedName>
    <definedName name="IQ_OG_GAS_PRICE_UNHEDGED">"c2058"</definedName>
    <definedName name="IQ_OG_IMPROVED_RECOVERY_GAS">"c2044"</definedName>
    <definedName name="IQ_OG_IMPROVED_RECOVERY_NGL">"c2915"</definedName>
    <definedName name="IQ_OG_IMPROVED_RECOVERY_OIL">"c2032"</definedName>
    <definedName name="IQ_OG_LIQUID_GAS_PRICE_HEDGED">"c2233"</definedName>
    <definedName name="IQ_OG_LIQUID_GAS_PRICE_UNHEDGED">"c2234"</definedName>
    <definedName name="IQ_OG_NET_FUTURE_CASH_FLOWS">"c1996"</definedName>
    <definedName name="IQ_OG_NET_FUTURE_CASH_FLOWS_GAS">"c2016"</definedName>
    <definedName name="IQ_OG_NET_FUTURE_CASH_FLOWS_OIL">"c2006"</definedName>
    <definedName name="IQ_OG_OIL_PRICE_HEDGED">"c2055"</definedName>
    <definedName name="IQ_OG_OIL_PRICE_UNHEDGED">"c2057"</definedName>
    <definedName name="IQ_OG_OPEN_BALANCE_GAS">"c2041"</definedName>
    <definedName name="IQ_OG_OPEN_BALANCE_NGL">"c2912"</definedName>
    <definedName name="IQ_OG_OPEN_BALANCE_OIL">"c2029"</definedName>
    <definedName name="IQ_OG_OTHER_ADJ_FCF">"c1999"</definedName>
    <definedName name="IQ_OG_OTHER_ADJ_FCF_GAS">"c2019"</definedName>
    <definedName name="IQ_OG_OTHER_ADJ_FCF_OIL">"c2009"</definedName>
    <definedName name="IQ_OG_OTHER_ADJ_GAS">"c2048"</definedName>
    <definedName name="IQ_OG_OTHER_ADJ_NGL">"c2919"</definedName>
    <definedName name="IQ_OG_OTHER_ADJ_OIL">"c2036"</definedName>
    <definedName name="IQ_OG_OTHER_COSTS">"c1979"</definedName>
    <definedName name="IQ_OG_OTHER_COSTS_GAS">"c1991"</definedName>
    <definedName name="IQ_OG_OTHER_COSTS_OIL">"c1985"</definedName>
    <definedName name="IQ_OG_PRODUCTION_GAS">"c2047"</definedName>
    <definedName name="IQ_OG_PRODUCTION_NGL">"c2918"</definedName>
    <definedName name="IQ_OG_PRODUCTION_OIL">"c2035"</definedName>
    <definedName name="IQ_OG_PURCHASES_GAS">"c2045"</definedName>
    <definedName name="IQ_OG_PURCHASES_NGL">"c2916"</definedName>
    <definedName name="IQ_OG_PURCHASES_OIL">"c2033"</definedName>
    <definedName name="IQ_OG_REVISIONS_GAS">"c2042"</definedName>
    <definedName name="IQ_OG_REVISIONS_NGL">"c2913"</definedName>
    <definedName name="IQ_OG_REVISIONS_OIL">"c2030"</definedName>
    <definedName name="IQ_OG_SALES_IN_PLACE_GAS">"c2046"</definedName>
    <definedName name="IQ_OG_SALES_IN_PLACE_NGL">"c2917"</definedName>
    <definedName name="IQ_OG_SALES_IN_PLACE_OIL">"c2034"</definedName>
    <definedName name="IQ_OG_STANDARDIZED_DCF">"c2000"</definedName>
    <definedName name="IQ_OG_STANDARDIZED_DCF_GAS">"c2020"</definedName>
    <definedName name="IQ_OG_STANDARDIZED_DCF_HEDGED">"c2001"</definedName>
    <definedName name="IQ_OG_STANDARDIZED_DCF_HEDGED_GAS">"c2021"</definedName>
    <definedName name="IQ_OG_STANDARDIZED_DCF_HEDGED_OIL">"c2011"</definedName>
    <definedName name="IQ_OG_STANDARDIZED_DCF_OIL">"c2010"</definedName>
    <definedName name="IQ_OG_TAXES">"c2026"</definedName>
    <definedName name="IQ_OG_TAXES_GAS">"c2028"</definedName>
    <definedName name="IQ_OG_TAXES_OIL">"c2027"</definedName>
    <definedName name="IQ_OG_TOTAL_COSTS">"c1980"</definedName>
    <definedName name="IQ_OG_TOTAL_COSTS_GAS">"c1992"</definedName>
    <definedName name="IQ_OG_TOTAL_COSTS_OIL">"c1986"</definedName>
    <definedName name="IQ_OG_TOTAL_EST_PROVED_RESERVES_GAS">"c2052"</definedName>
    <definedName name="IQ_OG_TOTAL_GAS_PRODUCTION">"c2060"</definedName>
    <definedName name="IQ_OG_TOTAL_LIQUID_GAS_PRODUCTION">"c2235"</definedName>
    <definedName name="IQ_OG_TOTAL_OIL_PRODUCTION">"c2059"</definedName>
    <definedName name="IQ_OG_UNDEVELOPED_RESERVES_GAS">"c2051"</definedName>
    <definedName name="IQ_OG_UNDEVELOPED_RESERVES_NGL">"c2923"</definedName>
    <definedName name="IQ_OG_UNDEVELOPED_RESERVES_OIL">"c2039"</definedName>
    <definedName name="IQ_OIL_IMPAIR">"c840"</definedName>
    <definedName name="IQ_OL_COMM_AFTER_FIVE">"c841"</definedName>
    <definedName name="IQ_OL_COMM_CY">"c842"</definedName>
    <definedName name="IQ_OL_COMM_CY1">"c843"</definedName>
    <definedName name="IQ_OL_COMM_CY2">"c844"</definedName>
    <definedName name="IQ_OL_COMM_CY3">"c845"</definedName>
    <definedName name="IQ_OL_COMM_CY4">"c846"</definedName>
    <definedName name="IQ_OL_COMM_NEXT_FIVE">"c847"</definedName>
    <definedName name="IQ_OPEB_ACCRUED_LIAB">"c3308"</definedName>
    <definedName name="IQ_OPEB_ACCRUED_LIAB_DOM">"c3306"</definedName>
    <definedName name="IQ_OPEB_ACCRUED_LIAB_FOREIGN">"c3307"</definedName>
    <definedName name="IQ_OPEB_ACCUM_OTHER_CI">"c3314"</definedName>
    <definedName name="IQ_OPEB_ACCUM_OTHER_CI_DOM">"c3312"</definedName>
    <definedName name="IQ_OPEB_ACCUM_OTHER_CI_FOREIGN">"c3313"</definedName>
    <definedName name="IQ_OPEB_ASSETS">"c3356"</definedName>
    <definedName name="IQ_OPEB_ASSETS_ACQ">"c3347"</definedName>
    <definedName name="IQ_OPEB_ASSETS_ACQ_DOM">"c3345"</definedName>
    <definedName name="IQ_OPEB_ASSETS_ACQ_FOREIGN">"c3346"</definedName>
    <definedName name="IQ_OPEB_ASSETS_ACTUAL_RETURN">"c3332"</definedName>
    <definedName name="IQ_OPEB_ASSETS_ACTUAL_RETURN_DOM">"c3330"</definedName>
    <definedName name="IQ_OPEB_ASSETS_ACTUAL_RETURN_FOREIGN">"c3331"</definedName>
    <definedName name="IQ_OPEB_ASSETS_BEG">"c3329"</definedName>
    <definedName name="IQ_OPEB_ASSETS_BEG_DOM">"c3327"</definedName>
    <definedName name="IQ_OPEB_ASSETS_BEG_FOREIGN">"c3328"</definedName>
    <definedName name="IQ_OPEB_ASSETS_BENEFITS_PAID">"c3341"</definedName>
    <definedName name="IQ_OPEB_ASSETS_BENEFITS_PAID_DOM">"c3339"</definedName>
    <definedName name="IQ_OPEB_ASSETS_BENEFITS_PAID_FOREIGN">"c3340"</definedName>
    <definedName name="IQ_OPEB_ASSETS_CURTAIL">"c3350"</definedName>
    <definedName name="IQ_OPEB_ASSETS_CURTAIL_DOM">"c3348"</definedName>
    <definedName name="IQ_OPEB_ASSETS_CURTAIL_FOREIGN">"c3349"</definedName>
    <definedName name="IQ_OPEB_ASSETS_DOM">"c3354"</definedName>
    <definedName name="IQ_OPEB_ASSETS_EMPLOYER_CONTRIBUTIONS">"c3335"</definedName>
    <definedName name="IQ_OPEB_ASSETS_EMPLOYER_CONTRIBUTIONS_DOM">"c3333"</definedName>
    <definedName name="IQ_OPEB_ASSETS_EMPLOYER_CONTRIBUTIONS_FOREIGN">"c3334"</definedName>
    <definedName name="IQ_OPEB_ASSETS_FOREIGN">"c3355"</definedName>
    <definedName name="IQ_OPEB_ASSETS_FX_ADJ">"c3344"</definedName>
    <definedName name="IQ_OPEB_ASSETS_FX_ADJ_DOM">"c3342"</definedName>
    <definedName name="IQ_OPEB_ASSETS_FX_ADJ_FOREIGN">"c3343"</definedName>
    <definedName name="IQ_OPEB_ASSETS_OTHER_PLAN_ADJ">"c3353"</definedName>
    <definedName name="IQ_OPEB_ASSETS_OTHER_PLAN_ADJ_DOM">"c3351"</definedName>
    <definedName name="IQ_OPEB_ASSETS_OTHER_PLAN_ADJ_FOREIGN">"c3352"</definedName>
    <definedName name="IQ_OPEB_ASSETS_PARTICIP_CONTRIBUTIONS">"c3338"</definedName>
    <definedName name="IQ_OPEB_ASSETS_PARTICIP_CONTRIBUTIONS_DOM">"c3336"</definedName>
    <definedName name="IQ_OPEB_ASSETS_PARTICIP_CONTRIBUTIONS_FOREIGN">"c3337"</definedName>
    <definedName name="IQ_OPEB_BENEFIT_INFO_DATE">"c3410"</definedName>
    <definedName name="IQ_OPEB_BENEFIT_INFO_DATE_DOM">"c3408"</definedName>
    <definedName name="IQ_OPEB_BENEFIT_INFO_DATE_FOREIGN">"c3409"</definedName>
    <definedName name="IQ_OPEB_BREAKDOWN_EQ">"c3275"</definedName>
    <definedName name="IQ_OPEB_BREAKDOWN_EQ_DOM">"c3273"</definedName>
    <definedName name="IQ_OPEB_BREAKDOWN_EQ_FOREIGN">"c3274"</definedName>
    <definedName name="IQ_OPEB_BREAKDOWN_FI">"c3278"</definedName>
    <definedName name="IQ_OPEB_BREAKDOWN_FI_DOM">"c3276"</definedName>
    <definedName name="IQ_OPEB_BREAKDOWN_FI_FOREIGN">"c3277"</definedName>
    <definedName name="IQ_OPEB_BREAKDOWN_OTHER">"c3284"</definedName>
    <definedName name="IQ_OPEB_BREAKDOWN_OTHER_DOM">"c3282"</definedName>
    <definedName name="IQ_OPEB_BREAKDOWN_OTHER_FOREIGN">"c3283"</definedName>
    <definedName name="IQ_OPEB_BREAKDOWN_PCT_EQ">"c3263"</definedName>
    <definedName name="IQ_OPEB_BREAKDOWN_PCT_EQ_DOM">"c3261"</definedName>
    <definedName name="IQ_OPEB_BREAKDOWN_PCT_EQ_FOREIGN">"c3262"</definedName>
    <definedName name="IQ_OPEB_BREAKDOWN_PCT_FI">"c3266"</definedName>
    <definedName name="IQ_OPEB_BREAKDOWN_PCT_FI_DOM">"c3264"</definedName>
    <definedName name="IQ_OPEB_BREAKDOWN_PCT_FI_FOREIGN">"c3265"</definedName>
    <definedName name="IQ_OPEB_BREAKDOWN_PCT_OTHER">"c3272"</definedName>
    <definedName name="IQ_OPEB_BREAKDOWN_PCT_OTHER_DOM">"c3270"</definedName>
    <definedName name="IQ_OPEB_BREAKDOWN_PCT_OTHER_FOREIGN">"c3271"</definedName>
    <definedName name="IQ_OPEB_BREAKDOWN_PCT_RE">"c3269"</definedName>
    <definedName name="IQ_OPEB_BREAKDOWN_PCT_RE_DOM">"c3267"</definedName>
    <definedName name="IQ_OPEB_BREAKDOWN_PCT_RE_FOREIGN">"c3268"</definedName>
    <definedName name="IQ_OPEB_BREAKDOWN_RE">"c3281"</definedName>
    <definedName name="IQ_OPEB_BREAKDOWN_RE_DOM">"c3279"</definedName>
    <definedName name="IQ_OPEB_BREAKDOWN_RE_FOREIGN">"c3280"</definedName>
    <definedName name="IQ_OPEB_DECREASE_EFFECT_PBO">"c3458"</definedName>
    <definedName name="IQ_OPEB_DECREASE_EFFECT_PBO_DOM">"c3456"</definedName>
    <definedName name="IQ_OPEB_DECREASE_EFFECT_PBO_FOREIGN">"c3457"</definedName>
    <definedName name="IQ_OPEB_DECREASE_EFFECT_SERVICE_INT_COST">"c3455"</definedName>
    <definedName name="IQ_OPEB_DECREASE_EFFECT_SERVICE_INT_COST_DOM">"c3453"</definedName>
    <definedName name="IQ_OPEB_DECREASE_EFFECT_SERVICE_INT_COST_FOREIGN">"c3454"</definedName>
    <definedName name="IQ_OPEB_DISC_RATE_MAX">"c3422"</definedName>
    <definedName name="IQ_OPEB_DISC_RATE_MAX_DOM">"c3420"</definedName>
    <definedName name="IQ_OPEB_DISC_RATE_MAX_FOREIGN">"c3421"</definedName>
    <definedName name="IQ_OPEB_DISC_RATE_MIN">"c3419"</definedName>
    <definedName name="IQ_OPEB_DISC_RATE_MIN_DOM">"c3417"</definedName>
    <definedName name="IQ_OPEB_DISC_RATE_MIN_FOREIGN">"c3418"</definedName>
    <definedName name="IQ_OPEB_EST_BENEFIT_1YR">"c3287"</definedName>
    <definedName name="IQ_OPEB_EST_BENEFIT_1YR_DOM">"c3285"</definedName>
    <definedName name="IQ_OPEB_EST_BENEFIT_1YR_FOREIGN">"c3286"</definedName>
    <definedName name="IQ_OPEB_EST_BENEFIT_2YR">"c3290"</definedName>
    <definedName name="IQ_OPEB_EST_BENEFIT_2YR_DOM">"c3288"</definedName>
    <definedName name="IQ_OPEB_EST_BENEFIT_2YR_FOREIGN">"c3289"</definedName>
    <definedName name="IQ_OPEB_EST_BENEFIT_3YR">"c3293"</definedName>
    <definedName name="IQ_OPEB_EST_BENEFIT_3YR_DOM">"c3291"</definedName>
    <definedName name="IQ_OPEB_EST_BENEFIT_3YR_FOREIGN">"c3292"</definedName>
    <definedName name="IQ_OPEB_EST_BENEFIT_4YR">"c3296"</definedName>
    <definedName name="IQ_OPEB_EST_BENEFIT_4YR_DOM">"c3294"</definedName>
    <definedName name="IQ_OPEB_EST_BENEFIT_4YR_FOREIGN">"c3295"</definedName>
    <definedName name="IQ_OPEB_EST_BENEFIT_5YR">"c3299"</definedName>
    <definedName name="IQ_OPEB_EST_BENEFIT_5YR_DOM">"c3297"</definedName>
    <definedName name="IQ_OPEB_EST_BENEFIT_5YR_FOREIGN">"c3298"</definedName>
    <definedName name="IQ_OPEB_EST_BENEFIT_AFTER5">"c3302"</definedName>
    <definedName name="IQ_OPEB_EST_BENEFIT_AFTER5_DOM">"c3300"</definedName>
    <definedName name="IQ_OPEB_EST_BENEFIT_AFTER5_FOREIGN">"c3301"</definedName>
    <definedName name="IQ_OPEB_EXP_RATE_RETURN_MAX">"c3434"</definedName>
    <definedName name="IQ_OPEB_EXP_RATE_RETURN_MAX_DOM">"c3432"</definedName>
    <definedName name="IQ_OPEB_EXP_RATE_RETURN_MAX_FOREIGN">"c3433"</definedName>
    <definedName name="IQ_OPEB_EXP_RATE_RETURN_MIN">"c3431"</definedName>
    <definedName name="IQ_OPEB_EXP_RATE_RETURN_MIN_DOM">"c3429"</definedName>
    <definedName name="IQ_OPEB_EXP_RATE_RETURN_MIN_FOREIGN">"c3430"</definedName>
    <definedName name="IQ_OPEB_EXP_RETURN">"c3398"</definedName>
    <definedName name="IQ_OPEB_EXP_RETURN_DOM">"c3396"</definedName>
    <definedName name="IQ_OPEB_EXP_RETURN_FOREIGN">"c3397"</definedName>
    <definedName name="IQ_OPEB_HEALTH_COST_TREND_INITIAL">"c3413"</definedName>
    <definedName name="IQ_OPEB_HEALTH_COST_TREND_INITIAL_DOM">"c3411"</definedName>
    <definedName name="IQ_OPEB_HEALTH_COST_TREND_INITIAL_FOREIGN">"c3412"</definedName>
    <definedName name="IQ_OPEB_HEALTH_COST_TREND_ULTIMATE">"c3416"</definedName>
    <definedName name="IQ_OPEB_HEALTH_COST_TREND_ULTIMATE_DOM">"c3414"</definedName>
    <definedName name="IQ_OPEB_HEALTH_COST_TREND_ULTIMATE_FOREIGN">"c3415"</definedName>
    <definedName name="IQ_OPEB_INCREASE_EFFECT_PBO">"c3452"</definedName>
    <definedName name="IQ_OPEB_INCREASE_EFFECT_PBO_DOM">"c3450"</definedName>
    <definedName name="IQ_OPEB_INCREASE_EFFECT_PBO_FOREIGN">"c3451"</definedName>
    <definedName name="IQ_OPEB_INCREASE_EFFECT_SERVICE_INT_COST">"c3449"</definedName>
    <definedName name="IQ_OPEB_INCREASE_EFFECT_SERVICE_INT_COST_DOM">"c3447"</definedName>
    <definedName name="IQ_OPEB_INCREASE_EFFECT_SERVICE_INT_COST_FOREIGN">"c3448"</definedName>
    <definedName name="IQ_OPEB_INTAN_ASSETS">"c3311"</definedName>
    <definedName name="IQ_OPEB_INTAN_ASSETS_DOM">"c3309"</definedName>
    <definedName name="IQ_OPEB_INTAN_ASSETS_FOREIGN">"c3310"</definedName>
    <definedName name="IQ_OPEB_INTEREST_COST">"c3395"</definedName>
    <definedName name="IQ_OPEB_INTEREST_COST_DOM">"c3393"</definedName>
    <definedName name="IQ_OPEB_INTEREST_COST_FOREIGN">"c3394"</definedName>
    <definedName name="IQ_OPEB_NET_ASSET_RECOG">"c3326"</definedName>
    <definedName name="IQ_OPEB_NET_ASSET_RECOG_DOM">"c3324"</definedName>
    <definedName name="IQ_OPEB_NET_ASSET_RECOG_FOREIGN">"c3325"</definedName>
    <definedName name="IQ_OPEB_OBLIGATION_ACCUMULATED">"c3407"</definedName>
    <definedName name="IQ_OPEB_OBLIGATION_ACCUMULATED_DOM">"c3405"</definedName>
    <definedName name="IQ_OPEB_OBLIGATION_ACCUMULATED_FOREIGN">"c3406"</definedName>
    <definedName name="IQ_OPEB_OBLIGATION_ACQ">"c3380"</definedName>
    <definedName name="IQ_OPEB_OBLIGATION_ACQ_DOM">"c3378"</definedName>
    <definedName name="IQ_OPEB_OBLIGATION_ACQ_FOREIGN">"c3379"</definedName>
    <definedName name="IQ_OPEB_OBLIGATION_ACTUARIAL_GAIN_LOSS">"c3371"</definedName>
    <definedName name="IQ_OPEB_OBLIGATION_ACTUARIAL_GAIN_LOSS_DOM">"c3369"</definedName>
    <definedName name="IQ_OPEB_OBLIGATION_ACTUARIAL_GAIN_LOSS_FOREIGN">"c3370"</definedName>
    <definedName name="IQ_OPEB_OBLIGATION_BEG">"c3359"</definedName>
    <definedName name="IQ_OPEB_OBLIGATION_BEG_DOM">"c3357"</definedName>
    <definedName name="IQ_OPEB_OBLIGATION_BEG_FOREIGN">"c3358"</definedName>
    <definedName name="IQ_OPEB_OBLIGATION_CURTAIL">"c3383"</definedName>
    <definedName name="IQ_OPEB_OBLIGATION_CURTAIL_DOM">"c3381"</definedName>
    <definedName name="IQ_OPEB_OBLIGATION_CURTAIL_FOREIGN">"c3382"</definedName>
    <definedName name="IQ_OPEB_OBLIGATION_EMPLOYEE_CONTRIBUTIONS">"c3368"</definedName>
    <definedName name="IQ_OPEB_OBLIGATION_EMPLOYEE_CONTRIBUTIONS_DOM">"c3366"</definedName>
    <definedName name="IQ_OPEB_OBLIGATION_EMPLOYEE_CONTRIBUTIONS_FOREIGN">"c3367"</definedName>
    <definedName name="IQ_OPEB_OBLIGATION_FX_ADJ">"c3377"</definedName>
    <definedName name="IQ_OPEB_OBLIGATION_FX_ADJ_DOM">"c3375"</definedName>
    <definedName name="IQ_OPEB_OBLIGATION_FX_ADJ_FOREIGN">"c3376"</definedName>
    <definedName name="IQ_OPEB_OBLIGATION_INTEREST_COST">"c3365"</definedName>
    <definedName name="IQ_OPEB_OBLIGATION_INTEREST_COST_DOM">"c3363"</definedName>
    <definedName name="IQ_OPEB_OBLIGATION_INTEREST_COST_FOREIGN">"c3364"</definedName>
    <definedName name="IQ_OPEB_OBLIGATION_OTHER_PLAN_ADJ">"c3386"</definedName>
    <definedName name="IQ_OPEB_OBLIGATION_OTHER_PLAN_ADJ_DOM">"c3384"</definedName>
    <definedName name="IQ_OPEB_OBLIGATION_OTHER_PLAN_ADJ_FOREIGN">"c3385"</definedName>
    <definedName name="IQ_OPEB_OBLIGATION_PAID">"c3374"</definedName>
    <definedName name="IQ_OPEB_OBLIGATION_PAID_DOM">"c3372"</definedName>
    <definedName name="IQ_OPEB_OBLIGATION_PAID_FOREIGN">"c3373"</definedName>
    <definedName name="IQ_OPEB_OBLIGATION_PROJECTED">"c3389"</definedName>
    <definedName name="IQ_OPEB_OBLIGATION_PROJECTED_DOM">"c3387"</definedName>
    <definedName name="IQ_OPEB_OBLIGATION_PROJECTED_FOREIGN">"c3388"</definedName>
    <definedName name="IQ_OPEB_OBLIGATION_SERVICE_COST">"c3362"</definedName>
    <definedName name="IQ_OPEB_OBLIGATION_SERVICE_COST_DOM">"c3360"</definedName>
    <definedName name="IQ_OPEB_OBLIGATION_SERVICE_COST_FOREIGN">"c3361"</definedName>
    <definedName name="IQ_OPEB_OTHER">"c3317"</definedName>
    <definedName name="IQ_OPEB_OTHER_ADJ">"c3323"</definedName>
    <definedName name="IQ_OPEB_OTHER_ADJ_DOM">"c3321"</definedName>
    <definedName name="IQ_OPEB_OTHER_ADJ_FOREIGN">"c3322"</definedName>
    <definedName name="IQ_OPEB_OTHER_COST">"c3401"</definedName>
    <definedName name="IQ_OPEB_OTHER_COST_DOM">"c3399"</definedName>
    <definedName name="IQ_OPEB_OTHER_COST_FOREIGN">"c3400"</definedName>
    <definedName name="IQ_OPEB_OTHER_DOM">"c3315"</definedName>
    <definedName name="IQ_OPEB_OTHER_FOREIGN">"c3316"</definedName>
    <definedName name="IQ_OPEB_PBO_ASSUMED_RATE_RET_MAX">"c3440"</definedName>
    <definedName name="IQ_OPEB_PBO_ASSUMED_RATE_RET_MAX_DOM">"c3438"</definedName>
    <definedName name="IQ_OPEB_PBO_ASSUMED_RATE_RET_MAX_FOREIGN">"c3439"</definedName>
    <definedName name="IQ_OPEB_PBO_ASSUMED_RATE_RET_MIN">"c3437"</definedName>
    <definedName name="IQ_OPEB_PBO_ASSUMED_RATE_RET_MIN_DOM">"c3435"</definedName>
    <definedName name="IQ_OPEB_PBO_ASSUMED_RATE_RET_MIN_FOREIGN">"c3436"</definedName>
    <definedName name="IQ_OPEB_PBO_RATE_COMP_INCREASE_MAX">"c3446"</definedName>
    <definedName name="IQ_OPEB_PBO_RATE_COMP_INCREASE_MAX_DOM">"c3444"</definedName>
    <definedName name="IQ_OPEB_PBO_RATE_COMP_INCREASE_MAX_FOREIGN">"c3445"</definedName>
    <definedName name="IQ_OPEB_PBO_RATE_COMP_INCREASE_MIN">"c3443"</definedName>
    <definedName name="IQ_OPEB_PBO_RATE_COMP_INCREASE_MIN_DOM">"c3441"</definedName>
    <definedName name="IQ_OPEB_PBO_RATE_COMP_INCREASE_MIN_FOREIGN">"c3442"</definedName>
    <definedName name="IQ_OPEB_PREPAID_COST">"c3305"</definedName>
    <definedName name="IQ_OPEB_PREPAID_COST_DOM">"c3303"</definedName>
    <definedName name="IQ_OPEB_PREPAID_COST_FOREIGN">"c3304"</definedName>
    <definedName name="IQ_OPEB_RATE_COMP_INCREASE_MAX">"c3428"</definedName>
    <definedName name="IQ_OPEB_RATE_COMP_INCREASE_MAX_DOM">"c3426"</definedName>
    <definedName name="IQ_OPEB_RATE_COMP_INCREASE_MAX_FOREIGN">"c3427"</definedName>
    <definedName name="IQ_OPEB_RATE_COMP_INCREASE_MIN">"c3425"</definedName>
    <definedName name="IQ_OPEB_RATE_COMP_INCREASE_MIN_DOM">"c3423"</definedName>
    <definedName name="IQ_OPEB_RATE_COMP_INCREASE_MIN_FOREIGN">"c3424"</definedName>
    <definedName name="IQ_OPEB_SERVICE_COST">"c3392"</definedName>
    <definedName name="IQ_OPEB_SERVICE_COST_DOM">"c3390"</definedName>
    <definedName name="IQ_OPEB_SERVICE_COST_FOREIGN">"c3391"</definedName>
    <definedName name="IQ_OPEB_TOTAL_COST">"c3404"</definedName>
    <definedName name="IQ_OPEB_TOTAL_COST_DOM">"c3402"</definedName>
    <definedName name="IQ_OPEB_TOTAL_COST_FOREIGN">"c3403"</definedName>
    <definedName name="IQ_OPEB_UNRECOG_PRIOR">"c3320"</definedName>
    <definedName name="IQ_OPEB_UNRECOG_PRIOR_DOM">"c3318"</definedName>
    <definedName name="IQ_OPEB_UNRECOG_PRIOR_FOREIGN">"c3319"</definedName>
    <definedName name="IQ_OPENPRICE">"c848"</definedName>
    <definedName name="IQ_OPER_INC">"c849"</definedName>
    <definedName name="IQ_OPER_INC_BR">"c850"</definedName>
    <definedName name="IQ_OPER_INC_FIN">"c851"</definedName>
    <definedName name="IQ_OPER_INC_INS">"c852"</definedName>
    <definedName name="IQ_OPER_INC_MARGIN">"c1448"</definedName>
    <definedName name="IQ_OPER_INC_REIT">"c853"</definedName>
    <definedName name="IQ_OPER_INC_UTI">"c854"</definedName>
    <definedName name="IQ_OPERATIONS_EXP">"c855"</definedName>
    <definedName name="IQ_OPTIONS_BEG_OS">"c1572"</definedName>
    <definedName name="IQ_OPTIONS_CANCELLED">"c856"</definedName>
    <definedName name="IQ_OPTIONS_END_OS">"c1573"</definedName>
    <definedName name="IQ_OPTIONS_EXERCISED">"c2116"</definedName>
    <definedName name="IQ_OPTIONS_GRANTED">"c2673"</definedName>
    <definedName name="IQ_OPTIONS_ISSUED">"c857"</definedName>
    <definedName name="IQ_OPTIONS_STRIKE_PRICE_GRANTED">"c2678"</definedName>
    <definedName name="IQ_OPTIONS_STRIKE_PRICE_OS">"c2677"</definedName>
    <definedName name="IQ_ORDER_BACKLOG">"c2090"</definedName>
    <definedName name="IQ_OTHER_ADJUST_GROSS_LOANS">"c859"</definedName>
    <definedName name="IQ_OTHER_AMORT">"c5563"</definedName>
    <definedName name="IQ_OTHER_ASSETS">"c860"</definedName>
    <definedName name="IQ_OTHER_ASSETS_BNK">"c861"</definedName>
    <definedName name="IQ_OTHER_ASSETS_BR">"c862"</definedName>
    <definedName name="IQ_OTHER_ASSETS_FIN">"c863"</definedName>
    <definedName name="IQ_OTHER_ASSETS_INS">"c864"</definedName>
    <definedName name="IQ_OTHER_ASSETS_REIT">"c865"</definedName>
    <definedName name="IQ_OTHER_ASSETS_SERV_RIGHTS">"c2243"</definedName>
    <definedName name="IQ_OTHER_ASSETS_UTI">"c866"</definedName>
    <definedName name="IQ_OTHER_BEARING_LIAB">"c1608"</definedName>
    <definedName name="IQ_OTHER_BENEFITS_OBLIGATION">"c867"</definedName>
    <definedName name="IQ_OTHER_CA">"c868"</definedName>
    <definedName name="IQ_OTHER_CA_SUPPL">"c869"</definedName>
    <definedName name="IQ_OTHER_CA_SUPPL_BNK">"c870"</definedName>
    <definedName name="IQ_OTHER_CA_SUPPL_BR">"c871"</definedName>
    <definedName name="IQ_OTHER_CA_SUPPL_FIN">"c872"</definedName>
    <definedName name="IQ_OTHER_CA_SUPPL_INS">"c873"</definedName>
    <definedName name="IQ_OTHER_CA_SUPPL_REIT">"c874"</definedName>
    <definedName name="IQ_OTHER_CA_SUPPL_UTI">"c875"</definedName>
    <definedName name="IQ_OTHER_CA_UTI">"c876"</definedName>
    <definedName name="IQ_OTHER_CL">"c877"</definedName>
    <definedName name="IQ_OTHER_CL_SUPPL">"c878"</definedName>
    <definedName name="IQ_OTHER_CL_SUPPL_BNK">"c879"</definedName>
    <definedName name="IQ_OTHER_CL_SUPPL_BR">"c880"</definedName>
    <definedName name="IQ_OTHER_CL_SUPPL_FIN">"c881"</definedName>
    <definedName name="IQ_OTHER_CL_SUPPL_REIT">"c882"</definedName>
    <definedName name="IQ_OTHER_CL_SUPPL_UTI">"c883"</definedName>
    <definedName name="IQ_OTHER_CL_UTI">"c884"</definedName>
    <definedName name="IQ_OTHER_CURRENT_ASSETS">"c1403"</definedName>
    <definedName name="IQ_OTHER_CURRENT_LIAB">"c1404"</definedName>
    <definedName name="IQ_OTHER_DEBT">"c2507"</definedName>
    <definedName name="IQ_OTHER_DEBT_PCT">"c2508"</definedName>
    <definedName name="IQ_OTHER_DEP">"c885"</definedName>
    <definedName name="IQ_OTHER_EARNING">"c1609"</definedName>
    <definedName name="IQ_OTHER_EQUITY">"c886"</definedName>
    <definedName name="IQ_OTHER_EQUITY_BNK">"c887"</definedName>
    <definedName name="IQ_OTHER_EQUITY_BR">"c888"</definedName>
    <definedName name="IQ_OTHER_EQUITY_FIN">"c889"</definedName>
    <definedName name="IQ_OTHER_EQUITY_INS">"c890"</definedName>
    <definedName name="IQ_OTHER_EQUITY_REIT">"c891"</definedName>
    <definedName name="IQ_OTHER_EQUITY_UTI">"c892"</definedName>
    <definedName name="IQ_OTHER_FINANCE_ACT">"c893"</definedName>
    <definedName name="IQ_OTHER_FINANCE_ACT_BNK">"c894"</definedName>
    <definedName name="IQ_OTHER_FINANCE_ACT_BR">"c895"</definedName>
    <definedName name="IQ_OTHER_FINANCE_ACT_FIN">"c896"</definedName>
    <definedName name="IQ_OTHER_FINANCE_ACT_INS">"c897"</definedName>
    <definedName name="IQ_OTHER_FINANCE_ACT_REIT">"c898"</definedName>
    <definedName name="IQ_OTHER_FINANCE_ACT_SUPPL">"c899"</definedName>
    <definedName name="IQ_OTHER_FINANCE_ACT_SUPPL_BNK">"c900"</definedName>
    <definedName name="IQ_OTHER_FINANCE_ACT_SUPPL_BR">"c901"</definedName>
    <definedName name="IQ_OTHER_FINANCE_ACT_SUPPL_FIN">"c902"</definedName>
    <definedName name="IQ_OTHER_FINANCE_ACT_SUPPL_INS">"c903"</definedName>
    <definedName name="IQ_OTHER_FINANCE_ACT_SUPPL_REIT">"c904"</definedName>
    <definedName name="IQ_OTHER_FINANCE_ACT_SUPPL_UTI">"c905"</definedName>
    <definedName name="IQ_OTHER_FINANCE_ACT_UTI">"c906"</definedName>
    <definedName name="IQ_OTHER_INTAN">"c907"</definedName>
    <definedName name="IQ_OTHER_INTAN_BNK">"c908"</definedName>
    <definedName name="IQ_OTHER_INTAN_BR">"c909"</definedName>
    <definedName name="IQ_OTHER_INTAN_FIN">"c910"</definedName>
    <definedName name="IQ_OTHER_INTAN_INS">"c911"</definedName>
    <definedName name="IQ_OTHER_INTAN_REIT">"c912"</definedName>
    <definedName name="IQ_OTHER_INTAN_UTI">"c913"</definedName>
    <definedName name="IQ_OTHER_INV">"c914"</definedName>
    <definedName name="IQ_OTHER_INVEST">"c915"</definedName>
    <definedName name="IQ_OTHER_INVEST_ACT">"c916"</definedName>
    <definedName name="IQ_OTHER_INVEST_ACT_BNK">"c917"</definedName>
    <definedName name="IQ_OTHER_INVEST_ACT_BR">"c918"</definedName>
    <definedName name="IQ_OTHER_INVEST_ACT_FIN">"c919"</definedName>
    <definedName name="IQ_OTHER_INVEST_ACT_INS">"c920"</definedName>
    <definedName name="IQ_OTHER_INVEST_ACT_REIT">"c921"</definedName>
    <definedName name="IQ_OTHER_INVEST_ACT_SUPPL">"c922"</definedName>
    <definedName name="IQ_OTHER_INVEST_ACT_SUPPL_BNK">"c923"</definedName>
    <definedName name="IQ_OTHER_INVEST_ACT_SUPPL_BR">"c924"</definedName>
    <definedName name="IQ_OTHER_INVEST_ACT_SUPPL_FIN">"c925"</definedName>
    <definedName name="IQ_OTHER_INVEST_ACT_SUPPL_INS">"c926"</definedName>
    <definedName name="IQ_OTHER_INVEST_ACT_SUPPL_REIT">"c927"</definedName>
    <definedName name="IQ_OTHER_INVEST_ACT_SUPPL_UTI">"c928"</definedName>
    <definedName name="IQ_OTHER_INVEST_ACT_UTI">"c929"</definedName>
    <definedName name="IQ_OTHER_INVESTING">"c1408"</definedName>
    <definedName name="IQ_OTHER_LIAB">"c930"</definedName>
    <definedName name="IQ_OTHER_LIAB_BNK">"c931"</definedName>
    <definedName name="IQ_OTHER_LIAB_BR">"c932"</definedName>
    <definedName name="IQ_OTHER_LIAB_FIN">"c933"</definedName>
    <definedName name="IQ_OTHER_LIAB_INS">"c934"</definedName>
    <definedName name="IQ_OTHER_LIAB_LT">"c935"</definedName>
    <definedName name="IQ_OTHER_LIAB_LT_BNK">"c936"</definedName>
    <definedName name="IQ_OTHER_LIAB_LT_BR">"c937"</definedName>
    <definedName name="IQ_OTHER_LIAB_LT_FIN">"c938"</definedName>
    <definedName name="IQ_OTHER_LIAB_LT_INS">"c939"</definedName>
    <definedName name="IQ_OTHER_LIAB_LT_REIT">"c940"</definedName>
    <definedName name="IQ_OTHER_LIAB_LT_UTI">"c941"</definedName>
    <definedName name="IQ_OTHER_LIAB_REIT">"c942"</definedName>
    <definedName name="IQ_OTHER_LIAB_UTI">"c943"</definedName>
    <definedName name="IQ_OTHER_LIAB_WRITTEN">"c944"</definedName>
    <definedName name="IQ_OTHER_LOANS">"c945"</definedName>
    <definedName name="IQ_OTHER_LONG_TERM">"c1409"</definedName>
    <definedName name="IQ_OTHER_LT_ASSETS">"c946"</definedName>
    <definedName name="IQ_OTHER_LT_ASSETS_BNK">"c947"</definedName>
    <definedName name="IQ_OTHER_LT_ASSETS_BR">"c948"</definedName>
    <definedName name="IQ_OTHER_LT_ASSETS_FIN">"c949"</definedName>
    <definedName name="IQ_OTHER_LT_ASSETS_INS">"c950"</definedName>
    <definedName name="IQ_OTHER_LT_ASSETS_REIT">"c951"</definedName>
    <definedName name="IQ_OTHER_LT_ASSETS_UTI">"c952"</definedName>
    <definedName name="IQ_OTHER_NET">"c1453"</definedName>
    <definedName name="IQ_OTHER_NON_INT_EXP">"c953"</definedName>
    <definedName name="IQ_OTHER_NON_INT_EXP_TOTAL">"c954"</definedName>
    <definedName name="IQ_OTHER_NON_INT_INC">"c955"</definedName>
    <definedName name="IQ_OTHER_NON_OPER_EXP">"c956"</definedName>
    <definedName name="IQ_OTHER_NON_OPER_EXP_BR">"c957"</definedName>
    <definedName name="IQ_OTHER_NON_OPER_EXP_FIN">"c958"</definedName>
    <definedName name="IQ_OTHER_NON_OPER_EXP_INS">"c959"</definedName>
    <definedName name="IQ_OTHER_NON_OPER_EXP_REIT">"c960"</definedName>
    <definedName name="IQ_OTHER_NON_OPER_EXP_SUPPL">"c961"</definedName>
    <definedName name="IQ_OTHER_NON_OPER_EXP_SUPPL_BR">"c962"</definedName>
    <definedName name="IQ_OTHER_NON_OPER_EXP_SUPPL_FIN">"c963"</definedName>
    <definedName name="IQ_OTHER_NON_OPER_EXP_SUPPL_INS">"c964"</definedName>
    <definedName name="IQ_OTHER_NON_OPER_EXP_SUPPL_REIT">"c965"</definedName>
    <definedName name="IQ_OTHER_NON_OPER_EXP_SUPPL_UTI">"c966"</definedName>
    <definedName name="IQ_OTHER_NON_OPER_EXP_UTI">"c967"</definedName>
    <definedName name="IQ_OTHER_OPER">"c982"</definedName>
    <definedName name="IQ_OTHER_OPER_ACT">"c983"</definedName>
    <definedName name="IQ_OTHER_OPER_ACT_BNK">"c984"</definedName>
    <definedName name="IQ_OTHER_OPER_ACT_BR">"c985"</definedName>
    <definedName name="IQ_OTHER_OPER_ACT_FIN">"c986"</definedName>
    <definedName name="IQ_OTHER_OPER_ACT_INS">"c987"</definedName>
    <definedName name="IQ_OTHER_OPER_ACT_REIT">"c988"</definedName>
    <definedName name="IQ_OTHER_OPER_ACT_UTI">"c989"</definedName>
    <definedName name="IQ_OTHER_OPER_BR">"c990"</definedName>
    <definedName name="IQ_OTHER_OPER_FIN">"c991"</definedName>
    <definedName name="IQ_OTHER_OPER_INS">"c992"</definedName>
    <definedName name="IQ_OTHER_OPER_REIT">"c993"</definedName>
    <definedName name="IQ_OTHER_OPER_SUPPL_BR">"c994"</definedName>
    <definedName name="IQ_OTHER_OPER_SUPPL_FIN">"c995"</definedName>
    <definedName name="IQ_OTHER_OPER_SUPPL_INS">"c996"</definedName>
    <definedName name="IQ_OTHER_OPER_SUPPL_REIT">"c997"</definedName>
    <definedName name="IQ_OTHER_OPER_SUPPL_UTI">"c998"</definedName>
    <definedName name="IQ_OTHER_OPER_TOT_BNK">"c999"</definedName>
    <definedName name="IQ_OTHER_OPER_TOT_BR">"c1000"</definedName>
    <definedName name="IQ_OTHER_OPER_TOT_FIN">"c1001"</definedName>
    <definedName name="IQ_OTHER_OPER_TOT_INS">"c1002"</definedName>
    <definedName name="IQ_OTHER_OPER_TOT_REIT">"c1003"</definedName>
    <definedName name="IQ_OTHER_OPER_TOT_UTI">"c1004"</definedName>
    <definedName name="IQ_OTHER_OPER_UTI">"c1005"</definedName>
    <definedName name="IQ_OTHER_OPTIONS_BEG_OS">"c2686"</definedName>
    <definedName name="IQ_OTHER_OPTIONS_CANCELLED">"c2689"</definedName>
    <definedName name="IQ_OTHER_OPTIONS_END_OS">"c2690"</definedName>
    <definedName name="IQ_OTHER_OPTIONS_EXERCISED">"c2688"</definedName>
    <definedName name="IQ_OTHER_OPTIONS_GRANTED">"c2687"</definedName>
    <definedName name="IQ_OTHER_OPTIONS_STRIKE_PRICE_OS">"c2691"</definedName>
    <definedName name="IQ_OTHER_OUTSTANDING_BS_DATE">"c1972"</definedName>
    <definedName name="IQ_OTHER_OUTSTANDING_FILING_DATE">"c1974"</definedName>
    <definedName name="IQ_OTHER_PC_WRITTEN">"c1006"</definedName>
    <definedName name="IQ_OTHER_REAL_ESTATE">"c1007"</definedName>
    <definedName name="IQ_OTHER_RECEIV">"c1008"</definedName>
    <definedName name="IQ_OTHER_RECEIV_INS">"c1009"</definedName>
    <definedName name="IQ_OTHER_REV">"c1010"</definedName>
    <definedName name="IQ_OTHER_REV_BR">"c1011"</definedName>
    <definedName name="IQ_OTHER_REV_FIN">"c1012"</definedName>
    <definedName name="IQ_OTHER_REV_INS">"c1013"</definedName>
    <definedName name="IQ_OTHER_REV_REIT">"c1014"</definedName>
    <definedName name="IQ_OTHER_REV_SUPPL">"c1015"</definedName>
    <definedName name="IQ_OTHER_REV_SUPPL_BR">"c1016"</definedName>
    <definedName name="IQ_OTHER_REV_SUPPL_FIN">"c1017"</definedName>
    <definedName name="IQ_OTHER_REV_SUPPL_INS">"c1018"</definedName>
    <definedName name="IQ_OTHER_REV_SUPPL_REIT">"c1019"</definedName>
    <definedName name="IQ_OTHER_REV_SUPPL_UTI">"c1020"</definedName>
    <definedName name="IQ_OTHER_REV_UTI">"c1021"</definedName>
    <definedName name="IQ_OTHER_REVENUE">"c1410"</definedName>
    <definedName name="IQ_OTHER_STRIKE_PRICE_GRANTED">"c2692"</definedName>
    <definedName name="IQ_OTHER_UNDRAWN">"c2522"</definedName>
    <definedName name="IQ_OTHER_UNUSUAL">"c1488"</definedName>
    <definedName name="IQ_OTHER_UNUSUAL_BNK">"c1560"</definedName>
    <definedName name="IQ_OTHER_UNUSUAL_BR">"c1561"</definedName>
    <definedName name="IQ_OTHER_UNUSUAL_FIN">"c1562"</definedName>
    <definedName name="IQ_OTHER_UNUSUAL_INS">"c1563"</definedName>
    <definedName name="IQ_OTHER_UNUSUAL_REIT">"c1564"</definedName>
    <definedName name="IQ_OTHER_UNUSUAL_SUPPL">"c1494"</definedName>
    <definedName name="IQ_OTHER_UNUSUAL_SUPPL_BNK">"c1495"</definedName>
    <definedName name="IQ_OTHER_UNUSUAL_SUPPL_BR">"c1496"</definedName>
    <definedName name="IQ_OTHER_UNUSUAL_SUPPL_FIN">"c1497"</definedName>
    <definedName name="IQ_OTHER_UNUSUAL_SUPPL_INS">"c1498"</definedName>
    <definedName name="IQ_OTHER_UNUSUAL_SUPPL_REIT">"c1499"</definedName>
    <definedName name="IQ_OTHER_UNUSUAL_SUPPL_UTI">"c1500"</definedName>
    <definedName name="IQ_OTHER_UNUSUAL_UTI">"c1565"</definedName>
    <definedName name="IQ_OTHER_WARRANTS_BEG_OS">"c2712"</definedName>
    <definedName name="IQ_OTHER_WARRANTS_CANCELLED">"c2715"</definedName>
    <definedName name="IQ_OTHER_WARRANTS_END_OS">"c2716"</definedName>
    <definedName name="IQ_OTHER_WARRANTS_EXERCISED">"c2714"</definedName>
    <definedName name="IQ_OTHER_WARRANTS_ISSUED">"c2713"</definedName>
    <definedName name="IQ_OTHER_WARRANTS_STRIKE_PRICE_ISSUED">"c2718"</definedName>
    <definedName name="IQ_OTHER_WARRANTS_STRIKE_PRICE_OS">"c2717"</definedName>
    <definedName name="IQ_OUTSTANDING_BS_DATE">"c2128"</definedName>
    <definedName name="IQ_OUTSTANDING_FILING_DATE">"c1023"</definedName>
    <definedName name="IQ_OWNERSHIP">"c2160"</definedName>
    <definedName name="IQ_PART_TIME">"c1024"</definedName>
    <definedName name="IQ_PAY_ACCRUED">"c1457"</definedName>
    <definedName name="IQ_PAYOUT_RATIO">"c1900"</definedName>
    <definedName name="IQ_PBV">"c1025"</definedName>
    <definedName name="IQ_PBV_AVG">"c1026"</definedName>
    <definedName name="IQ_PC_EARNED">"c2749"</definedName>
    <definedName name="IQ_PC_GAAP_COMBINED_RATIO">"c2781"</definedName>
    <definedName name="IQ_PC_GAAP_COMBINED_RATIO_EXCL_CL">"c2782"</definedName>
    <definedName name="IQ_PC_GAAP_EXPENSE_RATIO">"c2780"</definedName>
    <definedName name="IQ_PC_GAAP_LOSS">"c2779"</definedName>
    <definedName name="IQ_PC_POLICY_BENEFITS_EXP">"c2790"</definedName>
    <definedName name="IQ_PC_STAT_COMBINED_RATIO">"c2778"</definedName>
    <definedName name="IQ_PC_STAT_COMBINED_RATIO_EXCL_DIV">"c2777"</definedName>
    <definedName name="IQ_PC_STAT_DIVIDEND_RATIO">"c2776"</definedName>
    <definedName name="IQ_PC_STAT_EXPENSE_RATIO">"c2775"</definedName>
    <definedName name="IQ_PC_STAT_LOSS_RATIO">"c2774"</definedName>
    <definedName name="IQ_PC_STATUTORY_SURPLUS">"c2770"</definedName>
    <definedName name="IQ_PC_WRITTEN">"c1027"</definedName>
    <definedName name="IQ_PE_EXCL">"c1028"</definedName>
    <definedName name="IQ_PE_EXCL_AVG">"c1029"</definedName>
    <definedName name="IQ_PE_EXCL_FWD">"c1030"</definedName>
    <definedName name="IQ_PE_EXCL_FWD_REUT">"c4049"</definedName>
    <definedName name="IQ_PE_NORMALIZED">"c2207"</definedName>
    <definedName name="IQ_PE_RATIO">"c1610"</definedName>
    <definedName name="IQ_PEG_FWD">"c1863"</definedName>
    <definedName name="IQ_PEG_FWD_REUT">"c4052"</definedName>
    <definedName name="IQ_PENSION">"c1031"</definedName>
    <definedName name="IQ_PENSION_ACCRUED_LIAB">"c3134"</definedName>
    <definedName name="IQ_PENSION_ACCRUED_LIAB_DOM">"c3132"</definedName>
    <definedName name="IQ_PENSION_ACCRUED_LIAB_FOREIGN">"c3133"</definedName>
    <definedName name="IQ_PENSION_ACCUM_OTHER_CI">"c3140"</definedName>
    <definedName name="IQ_PENSION_ACCUM_OTHER_CI_DOM">"c3138"</definedName>
    <definedName name="IQ_PENSION_ACCUM_OTHER_CI_FOREIGN">"c3139"</definedName>
    <definedName name="IQ_PENSION_ACCUMULATED_OBLIGATION">"c3570"</definedName>
    <definedName name="IQ_PENSION_ACCUMULATED_OBLIGATION_DOMESTIC">"c3568"</definedName>
    <definedName name="IQ_PENSION_ACCUMULATED_OBLIGATION_FOREIGN">"c3569"</definedName>
    <definedName name="IQ_PENSION_ASSETS">"c3182"</definedName>
    <definedName name="IQ_PENSION_ASSETS_ACQ">"c3173"</definedName>
    <definedName name="IQ_PENSION_ASSETS_ACQ_DOM">"c3171"</definedName>
    <definedName name="IQ_PENSION_ASSETS_ACQ_FOREIGN">"c3172"</definedName>
    <definedName name="IQ_PENSION_ASSETS_ACTUAL_RETURN">"c3158"</definedName>
    <definedName name="IQ_PENSION_ASSETS_ACTUAL_RETURN_DOM">"c3156"</definedName>
    <definedName name="IQ_PENSION_ASSETS_ACTUAL_RETURN_FOREIGN">"c3157"</definedName>
    <definedName name="IQ_PENSION_ASSETS_BEG">"c3155"</definedName>
    <definedName name="IQ_PENSION_ASSETS_BEG_DOM">"c3153"</definedName>
    <definedName name="IQ_PENSION_ASSETS_BEG_FOREIGN">"c3154"</definedName>
    <definedName name="IQ_PENSION_ASSETS_BENEFITS_PAID">"c3167"</definedName>
    <definedName name="IQ_PENSION_ASSETS_BENEFITS_PAID_DOM">"c3165"</definedName>
    <definedName name="IQ_PENSION_ASSETS_BENEFITS_PAID_FOREIGN">"c3166"</definedName>
    <definedName name="IQ_PENSION_ASSETS_CURTAIL">"c3176"</definedName>
    <definedName name="IQ_PENSION_ASSETS_CURTAIL_DOM">"c3174"</definedName>
    <definedName name="IQ_PENSION_ASSETS_CURTAIL_FOREIGN">"c3175"</definedName>
    <definedName name="IQ_PENSION_ASSETS_DOM">"c3180"</definedName>
    <definedName name="IQ_PENSION_ASSETS_EMPLOYER_CONTRIBUTIONS">"c3161"</definedName>
    <definedName name="IQ_PENSION_ASSETS_EMPLOYER_CONTRIBUTIONS_DOM">"c3159"</definedName>
    <definedName name="IQ_PENSION_ASSETS_EMPLOYER_CONTRIBUTIONS_FOREIGN">"c3160"</definedName>
    <definedName name="IQ_PENSION_ASSETS_FOREIGN">"c3181"</definedName>
    <definedName name="IQ_PENSION_ASSETS_FX_ADJ">"c3170"</definedName>
    <definedName name="IQ_PENSION_ASSETS_FX_ADJ_DOM">"c3168"</definedName>
    <definedName name="IQ_PENSION_ASSETS_FX_ADJ_FOREIGN">"c3169"</definedName>
    <definedName name="IQ_PENSION_ASSETS_OTHER_PLAN_ADJ">"c3179"</definedName>
    <definedName name="IQ_PENSION_ASSETS_OTHER_PLAN_ADJ_DOM">"c3177"</definedName>
    <definedName name="IQ_PENSION_ASSETS_OTHER_PLAN_ADJ_FOREIGN">"c3178"</definedName>
    <definedName name="IQ_PENSION_ASSETS_PARTICIP_CONTRIBUTIONS">"c3164"</definedName>
    <definedName name="IQ_PENSION_ASSETS_PARTICIP_CONTRIBUTIONS_DOM">"c3162"</definedName>
    <definedName name="IQ_PENSION_ASSETS_PARTICIP_CONTRIBUTIONS_FOREIGN">"c3163"</definedName>
    <definedName name="IQ_PENSION_BENEFIT_INFO_DATE">"c3230"</definedName>
    <definedName name="IQ_PENSION_BENEFIT_INFO_DATE_DOM">"c3228"</definedName>
    <definedName name="IQ_PENSION_BENEFIT_INFO_DATE_FOREIGN">"c3229"</definedName>
    <definedName name="IQ_PENSION_BREAKDOWN_EQ">"c3101"</definedName>
    <definedName name="IQ_PENSION_BREAKDOWN_EQ_DOM">"c3099"</definedName>
    <definedName name="IQ_PENSION_BREAKDOWN_EQ_FOREIGN">"c3100"</definedName>
    <definedName name="IQ_PENSION_BREAKDOWN_FI">"c3104"</definedName>
    <definedName name="IQ_PENSION_BREAKDOWN_FI_DOM">"c3102"</definedName>
    <definedName name="IQ_PENSION_BREAKDOWN_FI_FOREIGN">"c3103"</definedName>
    <definedName name="IQ_PENSION_BREAKDOWN_OTHER">"c3110"</definedName>
    <definedName name="IQ_PENSION_BREAKDOWN_OTHER_DOM">"c3108"</definedName>
    <definedName name="IQ_PENSION_BREAKDOWN_OTHER_FOREIGN">"c3109"</definedName>
    <definedName name="IQ_PENSION_BREAKDOWN_PCT_EQ">"c3089"</definedName>
    <definedName name="IQ_PENSION_BREAKDOWN_PCT_EQ_DOM">"c3087"</definedName>
    <definedName name="IQ_PENSION_BREAKDOWN_PCT_EQ_FOREIGN">"c3088"</definedName>
    <definedName name="IQ_PENSION_BREAKDOWN_PCT_FI">"c3092"</definedName>
    <definedName name="IQ_PENSION_BREAKDOWN_PCT_FI_DOM">"c3090"</definedName>
    <definedName name="IQ_PENSION_BREAKDOWN_PCT_FI_FOREIGN">"c3091"</definedName>
    <definedName name="IQ_PENSION_BREAKDOWN_PCT_OTHER">"c3098"</definedName>
    <definedName name="IQ_PENSION_BREAKDOWN_PCT_OTHER_DOM">"c3096"</definedName>
    <definedName name="IQ_PENSION_BREAKDOWN_PCT_OTHER_FOREIGN">"c3097"</definedName>
    <definedName name="IQ_PENSION_BREAKDOWN_PCT_RE">"c3095"</definedName>
    <definedName name="IQ_PENSION_BREAKDOWN_PCT_RE_DOM">"c3093"</definedName>
    <definedName name="IQ_PENSION_BREAKDOWN_PCT_RE_FOREIGN">"c3094"</definedName>
    <definedName name="IQ_PENSION_BREAKDOWN_RE">"c3107"</definedName>
    <definedName name="IQ_PENSION_BREAKDOWN_RE_DOM">"c3105"</definedName>
    <definedName name="IQ_PENSION_BREAKDOWN_RE_FOREIGN">"c3106"</definedName>
    <definedName name="IQ_PENSION_CONTRIBUTION_TOTAL_COST">"c3559"</definedName>
    <definedName name="IQ_PENSION_DISC_RATE_MAX">"c3236"</definedName>
    <definedName name="IQ_PENSION_DISC_RATE_MAX_DOM">"c3234"</definedName>
    <definedName name="IQ_PENSION_DISC_RATE_MAX_FOREIGN">"c3235"</definedName>
    <definedName name="IQ_PENSION_DISC_RATE_MIN">"c3233"</definedName>
    <definedName name="IQ_PENSION_DISC_RATE_MIN_DOM">"c3231"</definedName>
    <definedName name="IQ_PENSION_DISC_RATE_MIN_FOREIGN">"c3232"</definedName>
    <definedName name="IQ_PENSION_DISCOUNT_RATE_DOMESTIC">"c3573"</definedName>
    <definedName name="IQ_PENSION_DISCOUNT_RATE_FOREIGN">"c3574"</definedName>
    <definedName name="IQ_PENSION_EST_BENEFIT_1YR">"c3113"</definedName>
    <definedName name="IQ_PENSION_EST_BENEFIT_1YR_DOM">"c3111"</definedName>
    <definedName name="IQ_PENSION_EST_BENEFIT_1YR_FOREIGN">"c3112"</definedName>
    <definedName name="IQ_PENSION_EST_BENEFIT_2YR">"c3116"</definedName>
    <definedName name="IQ_PENSION_EST_BENEFIT_2YR_DOM">"c3114"</definedName>
    <definedName name="IQ_PENSION_EST_BENEFIT_2YR_FOREIGN">"c3115"</definedName>
    <definedName name="IQ_PENSION_EST_BENEFIT_3YR">"c3119"</definedName>
    <definedName name="IQ_PENSION_EST_BENEFIT_3YR_DOM">"c3117"</definedName>
    <definedName name="IQ_PENSION_EST_BENEFIT_3YR_FOREIGN">"c3118"</definedName>
    <definedName name="IQ_PENSION_EST_BENEFIT_4YR">"c3122"</definedName>
    <definedName name="IQ_PENSION_EST_BENEFIT_4YR_DOM">"c3120"</definedName>
    <definedName name="IQ_PENSION_EST_BENEFIT_4YR_FOREIGN">"c3121"</definedName>
    <definedName name="IQ_PENSION_EST_BENEFIT_5YR">"c3125"</definedName>
    <definedName name="IQ_PENSION_EST_BENEFIT_5YR_DOM">"c3123"</definedName>
    <definedName name="IQ_PENSION_EST_BENEFIT_5YR_FOREIGN">"c3124"</definedName>
    <definedName name="IQ_PENSION_EST_BENEFIT_AFTER5">"c3128"</definedName>
    <definedName name="IQ_PENSION_EST_BENEFIT_AFTER5_DOM">"c3126"</definedName>
    <definedName name="IQ_PENSION_EST_BENEFIT_AFTER5_FOREIGN">"c3127"</definedName>
    <definedName name="IQ_PENSION_EST_CONTRIBUTIONS_NEXTYR">"c3218"</definedName>
    <definedName name="IQ_PENSION_EST_CONTRIBUTIONS_NEXTYR_DOM">"c3216"</definedName>
    <definedName name="IQ_PENSION_EST_CONTRIBUTIONS_NEXTYR_FOREIGN">"c3217"</definedName>
    <definedName name="IQ_PENSION_EXP_RATE_RETURN_MAX">"c3248"</definedName>
    <definedName name="IQ_PENSION_EXP_RATE_RETURN_MAX_DOM">"c3246"</definedName>
    <definedName name="IQ_PENSION_EXP_RATE_RETURN_MAX_FOREIGN">"c3247"</definedName>
    <definedName name="IQ_PENSION_EXP_RATE_RETURN_MIN">"c3245"</definedName>
    <definedName name="IQ_PENSION_EXP_RATE_RETURN_MIN_DOM">"c3243"</definedName>
    <definedName name="IQ_PENSION_EXP_RATE_RETURN_MIN_FOREIGN">"c3244"</definedName>
    <definedName name="IQ_PENSION_EXP_RETURN_DOMESTIC">"c3571"</definedName>
    <definedName name="IQ_PENSION_EXP_RETURN_FOREIGN">"c3572"</definedName>
    <definedName name="IQ_PENSION_INTAN_ASSETS">"c3137"</definedName>
    <definedName name="IQ_PENSION_INTAN_ASSETS_DOM">"c3135"</definedName>
    <definedName name="IQ_PENSION_INTAN_ASSETS_FOREIGN">"c3136"</definedName>
    <definedName name="IQ_PENSION_INTEREST_COST">"c3582"</definedName>
    <definedName name="IQ_PENSION_INTEREST_COST_DOM">"c3580"</definedName>
    <definedName name="IQ_PENSION_INTEREST_COST_FOREIGN">"c3581"</definedName>
    <definedName name="IQ_PENSION_NET_ASSET_RECOG">"c3152"</definedName>
    <definedName name="IQ_PENSION_NET_ASSET_RECOG_DOM">"c3150"</definedName>
    <definedName name="IQ_PENSION_NET_ASSET_RECOG_FOREIGN">"c3151"</definedName>
    <definedName name="IQ_PENSION_OBLIGATION_ACQ">"c3206"</definedName>
    <definedName name="IQ_PENSION_OBLIGATION_ACQ_DOM">"c3204"</definedName>
    <definedName name="IQ_PENSION_OBLIGATION_ACQ_FOREIGN">"c3205"</definedName>
    <definedName name="IQ_PENSION_OBLIGATION_ACTUARIAL_GAIN_LOSS">"c3197"</definedName>
    <definedName name="IQ_PENSION_OBLIGATION_ACTUARIAL_GAIN_LOSS_DOM">"c3195"</definedName>
    <definedName name="IQ_PENSION_OBLIGATION_ACTUARIAL_GAIN_LOSS_FOREIGN">"c3196"</definedName>
    <definedName name="IQ_PENSION_OBLIGATION_BEG">"c3185"</definedName>
    <definedName name="IQ_PENSION_OBLIGATION_BEG_DOM">"c3183"</definedName>
    <definedName name="IQ_PENSION_OBLIGATION_BEG_FOREIGN">"c3184"</definedName>
    <definedName name="IQ_PENSION_OBLIGATION_CURTAIL">"c3209"</definedName>
    <definedName name="IQ_PENSION_OBLIGATION_CURTAIL_DOM">"c3207"</definedName>
    <definedName name="IQ_PENSION_OBLIGATION_CURTAIL_FOREIGN">"c3208"</definedName>
    <definedName name="IQ_PENSION_OBLIGATION_EMPLOYEE_CONTRIBUTIONS">"c3194"</definedName>
    <definedName name="IQ_PENSION_OBLIGATION_EMPLOYEE_CONTRIBUTIONS_DOM">"c3192"</definedName>
    <definedName name="IQ_PENSION_OBLIGATION_EMPLOYEE_CONTRIBUTIONS_FOREIGN">"c3193"</definedName>
    <definedName name="IQ_PENSION_OBLIGATION_FX_ADJ">"c3203"</definedName>
    <definedName name="IQ_PENSION_OBLIGATION_FX_ADJ_DOM">"c3201"</definedName>
    <definedName name="IQ_PENSION_OBLIGATION_FX_ADJ_FOREIGN">"c3202"</definedName>
    <definedName name="IQ_PENSION_OBLIGATION_INTEREST_COST">"c3191"</definedName>
    <definedName name="IQ_PENSION_OBLIGATION_INTEREST_COST_DOM">"c3189"</definedName>
    <definedName name="IQ_PENSION_OBLIGATION_INTEREST_COST_FOREIGN">"c3190"</definedName>
    <definedName name="IQ_PENSION_OBLIGATION_OTHER_COST">"c3555"</definedName>
    <definedName name="IQ_PENSION_OBLIGATION_OTHER_COST_DOM">"c3553"</definedName>
    <definedName name="IQ_PENSION_OBLIGATION_OTHER_COST_FOREIGN">"c3554"</definedName>
    <definedName name="IQ_PENSION_OBLIGATION_OTHER_PLAN_ADJ">"c3212"</definedName>
    <definedName name="IQ_PENSION_OBLIGATION_OTHER_PLAN_ADJ_DOM">"c3210"</definedName>
    <definedName name="IQ_PENSION_OBLIGATION_OTHER_PLAN_ADJ_FOREIGN">"c3211"</definedName>
    <definedName name="IQ_PENSION_OBLIGATION_PAID">"c3200"</definedName>
    <definedName name="IQ_PENSION_OBLIGATION_PAID_DOM">"c3198"</definedName>
    <definedName name="IQ_PENSION_OBLIGATION_PAID_FOREIGN">"c3199"</definedName>
    <definedName name="IQ_PENSION_OBLIGATION_PROJECTED">"c3215"</definedName>
    <definedName name="IQ_PENSION_OBLIGATION_PROJECTED_DOM">"c3213"</definedName>
    <definedName name="IQ_PENSION_OBLIGATION_PROJECTED_FOREIGN">"c3214"</definedName>
    <definedName name="IQ_PENSION_OBLIGATION_ROA">"c3552"</definedName>
    <definedName name="IQ_PENSION_OBLIGATION_ROA_DOM">"c3550"</definedName>
    <definedName name="IQ_PENSION_OBLIGATION_ROA_FOREIGN">"c3551"</definedName>
    <definedName name="IQ_PENSION_OBLIGATION_SERVICE_COST">"c3188"</definedName>
    <definedName name="IQ_PENSION_OBLIGATION_SERVICE_COST_DOM">"c3186"</definedName>
    <definedName name="IQ_PENSION_OBLIGATION_SERVICE_COST_FOREIGN">"c3187"</definedName>
    <definedName name="IQ_PENSION_OBLIGATION_TOTAL_COST">"c3558"</definedName>
    <definedName name="IQ_PENSION_OBLIGATION_TOTAL_COST_DOM">"c3556"</definedName>
    <definedName name="IQ_PENSION_OBLIGATION_TOTAL_COST_FOREIGN">"c3557"</definedName>
    <definedName name="IQ_PENSION_OTHER">"c3143"</definedName>
    <definedName name="IQ_PENSION_OTHER_ADJ">"c3149"</definedName>
    <definedName name="IQ_PENSION_OTHER_ADJ_DOM">"c3147"</definedName>
    <definedName name="IQ_PENSION_OTHER_ADJ_FOREIGN">"c3148"</definedName>
    <definedName name="IQ_PENSION_OTHER_DOM">"c3141"</definedName>
    <definedName name="IQ_PENSION_OTHER_FOREIGN">"c3142"</definedName>
    <definedName name="IQ_PENSION_PBO_ASSUMED_RATE_RET_MAX">"c3254"</definedName>
    <definedName name="IQ_PENSION_PBO_ASSUMED_RATE_RET_MAX_DOM">"c3252"</definedName>
    <definedName name="IQ_PENSION_PBO_ASSUMED_RATE_RET_MAX_FOREIGN">"c3253"</definedName>
    <definedName name="IQ_PENSION_PBO_ASSUMED_RATE_RET_MIN">"c3251"</definedName>
    <definedName name="IQ_PENSION_PBO_ASSUMED_RATE_RET_MIN_DOM">"c3249"</definedName>
    <definedName name="IQ_PENSION_PBO_ASSUMED_RATE_RET_MIN_FOREIGN">"c3250"</definedName>
    <definedName name="IQ_PENSION_PBO_RATE_COMP_INCREASE_MAX">"c3260"</definedName>
    <definedName name="IQ_PENSION_PBO_RATE_COMP_INCREASE_MAX_DOM">"c3258"</definedName>
    <definedName name="IQ_PENSION_PBO_RATE_COMP_INCREASE_MAX_FOREIGN">"c3259"</definedName>
    <definedName name="IQ_PENSION_PBO_RATE_COMP_INCREASE_MIN">"c3257"</definedName>
    <definedName name="IQ_PENSION_PBO_RATE_COMP_INCREASE_MIN_DOM">"c3255"</definedName>
    <definedName name="IQ_PENSION_PBO_RATE_COMP_INCREASE_MIN_FOREIGN">"c3256"</definedName>
    <definedName name="IQ_PENSION_PREPAID_COST">"c3131"</definedName>
    <definedName name="IQ_PENSION_PREPAID_COST_DOM">"c3129"</definedName>
    <definedName name="IQ_PENSION_PREPAID_COST_FOREIGN">"c3130"</definedName>
    <definedName name="IQ_PENSION_PROJECTED_OBLIGATION">"c3566"</definedName>
    <definedName name="IQ_PENSION_PROJECTED_OBLIGATION_DOMESTIC">"c3564"</definedName>
    <definedName name="IQ_PENSION_PROJECTED_OBLIGATION_FOREIGN">"c3565"</definedName>
    <definedName name="IQ_PENSION_QUART_ADDL_CONTRIBUTIONS_EXP">"c3224"</definedName>
    <definedName name="IQ_PENSION_QUART_ADDL_CONTRIBUTIONS_EXP_DOM">"c3222"</definedName>
    <definedName name="IQ_PENSION_QUART_ADDL_CONTRIBUTIONS_EXP_FOREIGN">"c3223"</definedName>
    <definedName name="IQ_PENSION_QUART_EMPLOYER_CONTRIBUTIONS">"c3221"</definedName>
    <definedName name="IQ_PENSION_QUART_EMPLOYER_CONTRIBUTIONS_DOM">"c3219"</definedName>
    <definedName name="IQ_PENSION_QUART_EMPLOYER_CONTRIBUTIONS_FOREIGN">"c3220"</definedName>
    <definedName name="IQ_PENSION_RATE_COMP_GROWTH_DOMESTIC">"c3575"</definedName>
    <definedName name="IQ_PENSION_RATE_COMP_GROWTH_FOREIGN">"c3576"</definedName>
    <definedName name="IQ_PENSION_RATE_COMP_INCREASE_MAX">"c3242"</definedName>
    <definedName name="IQ_PENSION_RATE_COMP_INCREASE_MAX_DOM">"c3240"</definedName>
    <definedName name="IQ_PENSION_RATE_COMP_INCREASE_MAX_FOREIGN">"c3241"</definedName>
    <definedName name="IQ_PENSION_RATE_COMP_INCREASE_MIN">"c3239"</definedName>
    <definedName name="IQ_PENSION_RATE_COMP_INCREASE_MIN_DOM">"c3237"</definedName>
    <definedName name="IQ_PENSION_RATE_COMP_INCREASE_MIN_FOREIGN">"c3238"</definedName>
    <definedName name="IQ_PENSION_SERVICE_COST">"c3579"</definedName>
    <definedName name="IQ_PENSION_SERVICE_COST_DOM">"c3577"</definedName>
    <definedName name="IQ_PENSION_SERVICE_COST_FOREIGN">"c3578"</definedName>
    <definedName name="IQ_PENSION_TOTAL_ASSETS">"c3563"</definedName>
    <definedName name="IQ_PENSION_TOTAL_ASSETS_DOMESTIC">"c3561"</definedName>
    <definedName name="IQ_PENSION_TOTAL_ASSETS_FOREIGN">"c3562"</definedName>
    <definedName name="IQ_PENSION_TOTAL_EXP">"c3560"</definedName>
    <definedName name="IQ_PENSION_UNFUNDED_ADDL_MIN_LIAB">"c3227"</definedName>
    <definedName name="IQ_PENSION_UNFUNDED_ADDL_MIN_LIAB_DOM">"c3225"</definedName>
    <definedName name="IQ_PENSION_UNFUNDED_ADDL_MIN_LIAB_FOREIGN">"c3226"</definedName>
    <definedName name="IQ_PENSION_UNRECOG_PRIOR">"c3146"</definedName>
    <definedName name="IQ_PENSION_UNRECOG_PRIOR_DOM">"c3144"</definedName>
    <definedName name="IQ_PENSION_UNRECOG_PRIOR_FOREIGN">"c3145"</definedName>
    <definedName name="IQ_PENSION_UV_LIAB">"c3567"</definedName>
    <definedName name="IQ_PERIODDATE">"c1414"</definedName>
    <definedName name="IQ_PERIODDATE_BS">"c1032"</definedName>
    <definedName name="IQ_PERIODDATE_CF">"c1033"</definedName>
    <definedName name="IQ_PERIODDATE_IS">"c1034"</definedName>
    <definedName name="IQ_PERIODLENGTH_CF">"c1502"</definedName>
    <definedName name="IQ_PERIODLENGTH_IS">"c1503"</definedName>
    <definedName name="IQ_PERTYPE">"c1611"</definedName>
    <definedName name="IQ_PLL">"c2114"</definedName>
    <definedName name="IQ_PMT_FREQ">"c2236"</definedName>
    <definedName name="IQ_POISON_PUT_EFFECT_DATE">"c2486"</definedName>
    <definedName name="IQ_POISON_PUT_EXPIRATION_DATE">"c2487"</definedName>
    <definedName name="IQ_POISON_PUT_PRICE">"c2488"</definedName>
    <definedName name="IQ_POLICY_BENEFITS">"c1036"</definedName>
    <definedName name="IQ_POLICY_COST">"c1037"</definedName>
    <definedName name="IQ_POLICY_LIAB">"c1612"</definedName>
    <definedName name="IQ_POLICY_LOANS">"c1038"</definedName>
    <definedName name="IQ_POST_RETIRE_EXP">"c1039"</definedName>
    <definedName name="IQ_POSTPAID_CHURN">"c2121"</definedName>
    <definedName name="IQ_POSTPAID_SUBS">"c2118"</definedName>
    <definedName name="IQ_PRE_OPEN_COST">"c1040"</definedName>
    <definedName name="IQ_PREF_CONVERT">"c1041"</definedName>
    <definedName name="IQ_PREF_DIV_CF">"c1042"</definedName>
    <definedName name="IQ_PREF_DIV_OTHER">"c1043"</definedName>
    <definedName name="IQ_PREF_DIVID">"c1461"</definedName>
    <definedName name="IQ_PREF_EQUITY">"c1044"</definedName>
    <definedName name="IQ_PREF_ISSUED">"c1045"</definedName>
    <definedName name="IQ_PREF_ISSUED_BNK">"c1046"</definedName>
    <definedName name="IQ_PREF_ISSUED_BR">"c1047"</definedName>
    <definedName name="IQ_PREF_ISSUED_FIN">"c1048"</definedName>
    <definedName name="IQ_PREF_ISSUED_INS">"c1049"</definedName>
    <definedName name="IQ_PREF_ISSUED_REIT">"c1050"</definedName>
    <definedName name="IQ_PREF_ISSUED_UTI">"c1051"</definedName>
    <definedName name="IQ_PREF_NON_REDEEM">"c1052"</definedName>
    <definedName name="IQ_PREF_OTHER">"c1053"</definedName>
    <definedName name="IQ_PREF_OTHER_BNK">"c1054"</definedName>
    <definedName name="IQ_PREF_OTHER_BR">"c1055"</definedName>
    <definedName name="IQ_PREF_OTHER_FIN">"c1056"</definedName>
    <definedName name="IQ_PREF_OTHER_INS">"c1057"</definedName>
    <definedName name="IQ_PREF_OTHER_REIT">"c1058"</definedName>
    <definedName name="IQ_PREF_REDEEM">"c1059"</definedName>
    <definedName name="IQ_PREF_REP">"c1060"</definedName>
    <definedName name="IQ_PREF_REP_BNK">"c1061"</definedName>
    <definedName name="IQ_PREF_REP_BR">"c1062"</definedName>
    <definedName name="IQ_PREF_REP_FIN">"c1063"</definedName>
    <definedName name="IQ_PREF_REP_INS">"c1064"</definedName>
    <definedName name="IQ_PREF_REP_REIT">"c1065"</definedName>
    <definedName name="IQ_PREF_REP_UTI">"c1066"</definedName>
    <definedName name="IQ_PREF_STOCK">"c1416"</definedName>
    <definedName name="IQ_PREF_TOT">"c1415"</definedName>
    <definedName name="IQ_PREMIUMS_ANNUITY_REV">"c1067"</definedName>
    <definedName name="IQ_PREPAID_CHURN">"c2120"</definedName>
    <definedName name="IQ_PREPAID_EXP">"c1068"</definedName>
    <definedName name="IQ_PREPAID_EXPEN">"c1418"</definedName>
    <definedName name="IQ_PREPAID_SUBS">"c2117"</definedName>
    <definedName name="IQ_PRICE_OVER_BVPS">"c1412"</definedName>
    <definedName name="IQ_PRICE_OVER_LTM_EPS">"c1413"</definedName>
    <definedName name="IQ_PRICE_TARGET">"c82"</definedName>
    <definedName name="IQ_PRICE_TARGET_REUT">"c3631"</definedName>
    <definedName name="IQ_PRICEDATE">"c1069"</definedName>
    <definedName name="IQ_PRICING_DATE">"c1613"</definedName>
    <definedName name="IQ_PRIMARY_INDUSTRY">"c1070"</definedName>
    <definedName name="IQ_PRINCIPAL_AMT">"c2157"</definedName>
    <definedName name="IQ_PRO_FORMA_BASIC_EPS">"c1614"</definedName>
    <definedName name="IQ_PRO_FORMA_DILUT_EPS">"c1615"</definedName>
    <definedName name="IQ_PRO_FORMA_NET_INC">"c1452"</definedName>
    <definedName name="IQ_PROFESSIONAL">"c1071"</definedName>
    <definedName name="IQ_PROFESSIONAL_TITLE">"c1072"</definedName>
    <definedName name="IQ_PROJECTED_PENSION_OBLIGATION">"c1292"</definedName>
    <definedName name="IQ_PROJECTED_PENSION_OBLIGATION_DOMESTIC">"c2656"</definedName>
    <definedName name="IQ_PROJECTED_PENSION_OBLIGATION_FOREIGN">"c2664"</definedName>
    <definedName name="IQ_PROPERTY_EXP">"c1073"</definedName>
    <definedName name="IQ_PROPERTY_GROSS">"c1379"</definedName>
    <definedName name="IQ_PROPERTY_MGMT_FEE">"c1074"</definedName>
    <definedName name="IQ_PROPERTY_NET">"c1402"</definedName>
    <definedName name="IQ_PROV_BAD_DEBTS">"c1075"</definedName>
    <definedName name="IQ_PROV_BAD_DEBTS_CF">"c1076"</definedName>
    <definedName name="IQ_PROVISION_10YR_ANN_GROWTH">"c1077"</definedName>
    <definedName name="IQ_PROVISION_1YR_ANN_GROWTH">"c1078"</definedName>
    <definedName name="IQ_PROVISION_2YR_ANN_GROWTH">"c1079"</definedName>
    <definedName name="IQ_PROVISION_3YR_ANN_GROWTH">"c1080"</definedName>
    <definedName name="IQ_PROVISION_5YR_ANN_GROWTH">"c1081"</definedName>
    <definedName name="IQ_PROVISION_7YR_ANN_GROWTH">"c1082"</definedName>
    <definedName name="IQ_PROVISION_CHARGE_OFFS">"c1083"</definedName>
    <definedName name="IQ_PTBV">"c1084"</definedName>
    <definedName name="IQ_PTBV_AVG">"c1085"</definedName>
    <definedName name="IQ_PUT_DATE_SCHEDULE">"c2483"</definedName>
    <definedName name="IQ_PUT_NOTIFICATION">"c2485"</definedName>
    <definedName name="IQ_PUT_PRICE_SCHEDULE">"c2484"</definedName>
    <definedName name="IQ_QUICK_RATIO">"c1086"</definedName>
    <definedName name="IQ_RATE_COMP_GROWTH_DOMESTIC">"c1087"</definedName>
    <definedName name="IQ_RATE_COMP_GROWTH_FOREIGN">"c1088"</definedName>
    <definedName name="IQ_RAW_INV">"c1089"</definedName>
    <definedName name="IQ_RC">"c2497"</definedName>
    <definedName name="IQ_RC_PCT">"c2498"</definedName>
    <definedName name="IQ_RD_EXP">"c1090"</definedName>
    <definedName name="IQ_RD_EXP_FN">"c1091"</definedName>
    <definedName name="IQ_RE">"c1092"</definedName>
    <definedName name="IQ_REAL_ESTATE">"c1093"</definedName>
    <definedName name="IQ_REAL_ESTATE_ASSETS">"c1094"</definedName>
    <definedName name="IQ_RECURRING_PROFIT_ACT_OR_EST">"c4507"</definedName>
    <definedName name="IQ_RECURRING_PROFIT_SHARE_ACT_OR_EST">"c4508"</definedName>
    <definedName name="IQ_REDEEM_PREF_STOCK">"c1417"</definedName>
    <definedName name="IQ_REG_ASSETS">"c1095"</definedName>
    <definedName name="IQ_REINSUR_PAY">"c1096"</definedName>
    <definedName name="IQ_REINSUR_PAY_CF">"c1097"</definedName>
    <definedName name="IQ_REINSUR_RECOVER">"c1098"</definedName>
    <definedName name="IQ_REINSUR_RECOVER_CF">"c1099"</definedName>
    <definedName name="IQ_REINSURANCE">"c1100"</definedName>
    <definedName name="IQ_RENTAL_REV">"c1101"</definedName>
    <definedName name="IQ_RESEARCH_DEV">"c1419"</definedName>
    <definedName name="IQ_RESIDENTIAL_LOANS">"c1102"</definedName>
    <definedName name="IQ_RESTATEMENT_BS">"c1643"</definedName>
    <definedName name="IQ_RESTATEMENT_CF">"c1644"</definedName>
    <definedName name="IQ_RESTATEMENT_IS">"c1642"</definedName>
    <definedName name="IQ_RESTR_STOCK_COMP">"c3506"</definedName>
    <definedName name="IQ_RESTR_STOCK_COMP_PRETAX">"c3504"</definedName>
    <definedName name="IQ_RESTR_STOCK_COMP_TAX">"c3505"</definedName>
    <definedName name="IQ_RESTRICTED_CASH">"c1103"</definedName>
    <definedName name="IQ_RESTRUCTURE">"c1104"</definedName>
    <definedName name="IQ_RESTRUCTURE_BNK">"c1105"</definedName>
    <definedName name="IQ_RESTRUCTURE_BR">"c1106"</definedName>
    <definedName name="IQ_RESTRUCTURE_CF">"c1107"</definedName>
    <definedName name="IQ_RESTRUCTURE_FIN">"c1108"</definedName>
    <definedName name="IQ_RESTRUCTURE_INS">"c1109"</definedName>
    <definedName name="IQ_RESTRUCTURE_REIT">"c1110"</definedName>
    <definedName name="IQ_RESTRUCTURE_UTI">"c1111"</definedName>
    <definedName name="IQ_RESTRUCTURED_LOANS">"c1112"</definedName>
    <definedName name="IQ_RETAIL_ACQUIRED_FRANCHISE_STORES" localSheetId="2">"c2895"</definedName>
    <definedName name="IQ_RETAIL_ACQUIRED_FRANCHISE_STORES" localSheetId="18" hidden="1">"c2895"</definedName>
    <definedName name="IQ_RETAIL_ACQUIRED_FRANCHISE_STORES">"c2903"</definedName>
    <definedName name="IQ_RETAIL_ACQUIRED_OWNED_STORES" localSheetId="2">"c2903"</definedName>
    <definedName name="IQ_RETAIL_ACQUIRED_OWNED_STORES" localSheetId="18" hidden="1">"c2903"</definedName>
    <definedName name="IQ_RETAIL_ACQUIRED_OWNED_STORES">"c2895"</definedName>
    <definedName name="IQ_RETAIL_ACQUIRED_STORES">"c2887"</definedName>
    <definedName name="IQ_RETAIL_AVG_STORE_SIZE_GROSS">"c2066"</definedName>
    <definedName name="IQ_RETAIL_AVG_STORE_SIZE_NET">"c2067"</definedName>
    <definedName name="IQ_RETAIL_AVG_WK_SALES">"c2891"</definedName>
    <definedName name="IQ_RETAIL_AVG_WK_SALES_FRANCHISE">"c2899"</definedName>
    <definedName name="IQ_RETAIL_AVG_WK_SALES_OWNED">"c2907"</definedName>
    <definedName name="IQ_RETAIL_CLOSED_FRANCHISE_STORES">"c2896"</definedName>
    <definedName name="IQ_RETAIL_CLOSED_OWNED_STORES">"c2904"</definedName>
    <definedName name="IQ_RETAIL_CLOSED_STORES">"c2063"</definedName>
    <definedName name="IQ_RETAIL_FRANCHISE_STORES_BEG">"c2893"</definedName>
    <definedName name="IQ_RETAIL_OPENED_FRANCHISE_STORES">"c2894"</definedName>
    <definedName name="IQ_RETAIL_OPENED_OWNED_STORES">"c2902"</definedName>
    <definedName name="IQ_RETAIL_OPENED_STORES">"c2062"</definedName>
    <definedName name="IQ_RETAIL_OWNED_STORES_BEG">"c2901"</definedName>
    <definedName name="IQ_RETAIL_SALES_SQFT_ALL_GROSS">"c2138"</definedName>
    <definedName name="IQ_RETAIL_SALES_SQFT_ALL_NET">"c2139"</definedName>
    <definedName name="IQ_RETAIL_SALES_SQFT_COMPARABLE_GROSS">"c2136"</definedName>
    <definedName name="IQ_RETAIL_SALES_SQFT_COMPARABLE_NET">"c2137"</definedName>
    <definedName name="IQ_RETAIL_SALES_SQFT_OWNED_GROSS">"c2134"</definedName>
    <definedName name="IQ_RETAIL_SALES_SQFT_OWNED_NET">"c2135"</definedName>
    <definedName name="IQ_RETAIL_SOLD_FRANCHISE_STORES">"c2897"</definedName>
    <definedName name="IQ_RETAIL_SOLD_OWNED_STORES">"c2905"</definedName>
    <definedName name="IQ_RETAIL_SOLD_STORES">"c2889"</definedName>
    <definedName name="IQ_RETAIL_SQ_FOOTAGE">"c2064"</definedName>
    <definedName name="IQ_RETAIL_STORE_SELLING_AREA">"c2065"</definedName>
    <definedName name="IQ_RETAIL_STORES_BEG">"c2885"</definedName>
    <definedName name="IQ_RETAIL_TOTAL_FRANCHISE_STORES">"c2898"</definedName>
    <definedName name="IQ_RETAIL_TOTAL_OWNED_STORES">"c2906"</definedName>
    <definedName name="IQ_RETAIL_TOTAL_STORES">"c2061"</definedName>
    <definedName name="IQ_RETAINED_EARN">"c1420"</definedName>
    <definedName name="IQ_RETURN_ASSETS">"c1113"</definedName>
    <definedName name="IQ_RETURN_ASSETS_BANK">"c1114"</definedName>
    <definedName name="IQ_RETURN_ASSETS_BROK">"c1115"</definedName>
    <definedName name="IQ_RETURN_ASSETS_FS">"c1116"</definedName>
    <definedName name="IQ_RETURN_CAPITAL">"c1117"</definedName>
    <definedName name="IQ_RETURN_EQUITY">"c1118"</definedName>
    <definedName name="IQ_RETURN_EQUITY_BANK">"c1119"</definedName>
    <definedName name="IQ_RETURN_EQUITY_BROK">"c1120"</definedName>
    <definedName name="IQ_RETURN_EQUITY_FS">"c1121"</definedName>
    <definedName name="IQ_RETURN_INVESTMENT">"c1421"</definedName>
    <definedName name="IQ_REV">"c1122"</definedName>
    <definedName name="IQ_REV_BEFORE_LL">"c1123"</definedName>
    <definedName name="IQ_REV_STDDEV_EST">"c1124"</definedName>
    <definedName name="IQ_REV_STDDEV_EST_REUT">"c3639"</definedName>
    <definedName name="IQ_REV_UTI">"c1125"</definedName>
    <definedName name="IQ_REVENUE">"c1422"</definedName>
    <definedName name="IQ_REVENUE_ACT_OR_EST">"c2214"</definedName>
    <definedName name="IQ_REVENUE_EST">"c1126"</definedName>
    <definedName name="IQ_REVENUE_EST_REUT">"c3634"</definedName>
    <definedName name="IQ_REVENUE_HIGH_EST">"c1127"</definedName>
    <definedName name="IQ_REVENUE_HIGH_EST_REUT">"c3636"</definedName>
    <definedName name="IQ_REVENUE_LOW_EST">"c1128"</definedName>
    <definedName name="IQ_REVENUE_LOW_EST_REUT">"c3637"</definedName>
    <definedName name="IQ_REVENUE_MEDIAN_EST">"c1662"</definedName>
    <definedName name="IQ_REVENUE_MEDIAN_EST_REUT">"c3635"</definedName>
    <definedName name="IQ_REVENUE_NUM_EST">"c1129"</definedName>
    <definedName name="IQ_REVENUE_NUM_EST_REUT">"c3638"</definedName>
    <definedName name="IQ_REVISION_DATE_" localSheetId="2">39489.6256597222</definedName>
    <definedName name="IQ_REVISION_DATE_" localSheetId="18" hidden="1">39489.6256597222</definedName>
    <definedName name="IQ_REVISION_DATE_">39244.4711574074</definedName>
    <definedName name="IQ_RISK_ADJ_BANK_ASSETS">"c2670"</definedName>
    <definedName name="IQ_SALARY">"c1130"</definedName>
    <definedName name="IQ_SALE_INTAN_CF">"c1131"</definedName>
    <definedName name="IQ_SALE_INTAN_CF_BNK">"c1132"</definedName>
    <definedName name="IQ_SALE_INTAN_CF_BR">"c1133"</definedName>
    <definedName name="IQ_SALE_INTAN_CF_FIN">"c1134"</definedName>
    <definedName name="IQ_SALE_INTAN_CF_INS">"c1135"</definedName>
    <definedName name="IQ_SALE_INTAN_CF_REIT">"c1627"</definedName>
    <definedName name="IQ_SALE_INTAN_CF_UTI">"c1136"</definedName>
    <definedName name="IQ_SALE_PPE_CF">"c1137"</definedName>
    <definedName name="IQ_SALE_PPE_CF_BNK">"c1138"</definedName>
    <definedName name="IQ_SALE_PPE_CF_BR">"c1139"</definedName>
    <definedName name="IQ_SALE_PPE_CF_FIN">"c1140"</definedName>
    <definedName name="IQ_SALE_PPE_CF_INS">"c1141"</definedName>
    <definedName name="IQ_SALE_PPE_CF_UTI">"c1142"</definedName>
    <definedName name="IQ_SALE_RE_ASSETS">"c1629"</definedName>
    <definedName name="IQ_SALE_REAL_ESTATE_CF">"c1143"</definedName>
    <definedName name="IQ_SALE_REAL_ESTATE_CF_BNK">"c1144"</definedName>
    <definedName name="IQ_SALE_REAL_ESTATE_CF_BR">"c1145"</definedName>
    <definedName name="IQ_SALE_REAL_ESTATE_CF_FIN">"c1146"</definedName>
    <definedName name="IQ_SALE_REAL_ESTATE_CF_INS">"c1147"</definedName>
    <definedName name="IQ_SALE_REAL_ESTATE_CF_UTI">"c1148"</definedName>
    <definedName name="IQ_SALES_MARKETING">"c2240"</definedName>
    <definedName name="IQ_SAME_STORE">"c1149"</definedName>
    <definedName name="IQ_SAME_STORE_FRANCHISE">"c2900"</definedName>
    <definedName name="IQ_SAME_STORE_OWNED">"c2908"</definedName>
    <definedName name="IQ_SAME_STORE_TOTAL">"c2892"</definedName>
    <definedName name="IQ_SAVING_DEP">"c1150"</definedName>
    <definedName name="IQ_SEC_PURCHASED_RESELL">"c5513"</definedName>
    <definedName name="IQ_SECUR_RECEIV">"c1151"</definedName>
    <definedName name="IQ_SECURED_DEBT">"c2546"</definedName>
    <definedName name="IQ_SECURED_DEBT_PCT">"c2547"</definedName>
    <definedName name="IQ_SECURITY_BORROW">"c1152"</definedName>
    <definedName name="IQ_SECURITY_LEVEL">"c2159"</definedName>
    <definedName name="IQ_SECURITY_NOTES">"c2202"</definedName>
    <definedName name="IQ_SECURITY_OWN">"c1153"</definedName>
    <definedName name="IQ_SECURITY_RESELL">"c1154"</definedName>
    <definedName name="IQ_SECURITY_TYPE">"c2158"</definedName>
    <definedName name="IQ_SEPARATE_ACCT_ASSETS">"c1155"</definedName>
    <definedName name="IQ_SEPARATE_ACCT_LIAB">"c1156"</definedName>
    <definedName name="IQ_SERV_CHARGE_DEPOSITS">"c1157"</definedName>
    <definedName name="IQ_SGA">"c1158"</definedName>
    <definedName name="IQ_SGA_BNK">"c1159"</definedName>
    <definedName name="IQ_SGA_INS">"c1160"</definedName>
    <definedName name="IQ_SGA_MARGIN">"c1898"</definedName>
    <definedName name="IQ_SGA_REIT">"c1161"</definedName>
    <definedName name="IQ_SGA_SUPPL">"c1162"</definedName>
    <definedName name="IQ_SGA_UTI">"c1163"</definedName>
    <definedName name="IQ_SHAREOUTSTANDING">"c1347"</definedName>
    <definedName name="IQ_SHARESOUTSTANDING">"c1164"</definedName>
    <definedName name="IQ_SHORT_INTEREST">"c1165"</definedName>
    <definedName name="IQ_SHORT_INTEREST_OVER_FLOAT">"c1577"</definedName>
    <definedName name="IQ_SHORT_INTEREST_PERCENT">"c1576"</definedName>
    <definedName name="IQ_SHORT_TERM_INVEST">"c1425"</definedName>
    <definedName name="IQ_SMALL_INT_BEAR_CD">"c1166"</definedName>
    <definedName name="IQ_SOFTWARE">"c1167"</definedName>
    <definedName name="IQ_SOURCE">"c1168"</definedName>
    <definedName name="IQ_SP">"c2171"</definedName>
    <definedName name="IQ_SP_BANK">"c2637"</definedName>
    <definedName name="IQ_SP_BANK_ACTION">"c2636"</definedName>
    <definedName name="IQ_SP_BANK_DATE">"c2635"</definedName>
    <definedName name="IQ_SP_DATE">"c2172"</definedName>
    <definedName name="IQ_SP_FIN_ENHANCE_FX">"c2631"</definedName>
    <definedName name="IQ_SP_FIN_ENHANCE_FX_ACTION">"c2630"</definedName>
    <definedName name="IQ_SP_FIN_ENHANCE_FX_DATE">"c2629"</definedName>
    <definedName name="IQ_SP_FIN_ENHANCE_LC">"c2634"</definedName>
    <definedName name="IQ_SP_FIN_ENHANCE_LC_ACTION">"c2633"</definedName>
    <definedName name="IQ_SP_FIN_ENHANCE_LC_DATE">"c2632"</definedName>
    <definedName name="IQ_SP_FIN_STRENGTH_LC_ACTION_LT">"c2625"</definedName>
    <definedName name="IQ_SP_FIN_STRENGTH_LC_ACTION_ST">"c2626"</definedName>
    <definedName name="IQ_SP_FIN_STRENGTH_LC_DATE_LT">"c2623"</definedName>
    <definedName name="IQ_SP_FIN_STRENGTH_LC_DATE_ST">"c2624"</definedName>
    <definedName name="IQ_SP_FIN_STRENGTH_LC_LT">"c2627"</definedName>
    <definedName name="IQ_SP_FIN_STRENGTH_LC_ST">"c2628"</definedName>
    <definedName name="IQ_SP_FX_ACTION_LT">"c2613"</definedName>
    <definedName name="IQ_SP_FX_ACTION_ST">"c2614"</definedName>
    <definedName name="IQ_SP_FX_DATE_LT">"c2611"</definedName>
    <definedName name="IQ_SP_FX_DATE_ST">"c2612"</definedName>
    <definedName name="IQ_SP_FX_LT">"c2615"</definedName>
    <definedName name="IQ_SP_FX_ST">"c2616"</definedName>
    <definedName name="IQ_SP_ISSUE_ACTION">"c2644"</definedName>
    <definedName name="IQ_SP_ISSUE_DATE">"c2643"</definedName>
    <definedName name="IQ_SP_ISSUE_LT">"c2645"</definedName>
    <definedName name="IQ_SP_ISSUE_OUTLOOK_WATCH">"c2650"</definedName>
    <definedName name="IQ_SP_ISSUE_OUTLOOK_WATCH_DATE">"c2649"</definedName>
    <definedName name="IQ_SP_ISSUE_RECOVER">"c2648"</definedName>
    <definedName name="IQ_SP_ISSUE_RECOVER_ACTION">"c2647"</definedName>
    <definedName name="IQ_SP_ISSUE_RECOVER_DATE">"c2646"</definedName>
    <definedName name="IQ_SP_LC_ACTION_LT">"c2619"</definedName>
    <definedName name="IQ_SP_LC_ACTION_ST">"c2620"</definedName>
    <definedName name="IQ_SP_LC_DATE_LT">"c2617"</definedName>
    <definedName name="IQ_SP_LC_DATE_ST">"c2618"</definedName>
    <definedName name="IQ_SP_LC_LT">"c2621"</definedName>
    <definedName name="IQ_SP_LC_ST">"c2622"</definedName>
    <definedName name="IQ_SP_OUTLOOK_WATCH">"c2639"</definedName>
    <definedName name="IQ_SP_OUTLOOK_WATCH_DATE">"c2638"</definedName>
    <definedName name="IQ_SP_REASON">"c2174"</definedName>
    <definedName name="IQ_SP_STATUS">"c2173"</definedName>
    <definedName name="IQ_SPECIAL_DIV_CF">"c1169"</definedName>
    <definedName name="IQ_SPECIAL_DIV_CF_BNK">"c1170"</definedName>
    <definedName name="IQ_SPECIAL_DIV_CF_BR">"c1171"</definedName>
    <definedName name="IQ_SPECIAL_DIV_CF_FIN">"c1172"</definedName>
    <definedName name="IQ_SPECIAL_DIV_CF_INS">"c1173"</definedName>
    <definedName name="IQ_SPECIAL_DIV_CF_REIT">"c1174"</definedName>
    <definedName name="IQ_SPECIAL_DIV_CF_UTI">"c1175"</definedName>
    <definedName name="IQ_SPECIAL_DIV_SHARE">"c3007"</definedName>
    <definedName name="IQ_SR_BONDS_NOTES">"c2501"</definedName>
    <definedName name="IQ_SR_BONDS_NOTES_PCT">"c2502"</definedName>
    <definedName name="IQ_SR_DEBT">"c2526"</definedName>
    <definedName name="IQ_SR_DEBT_EBITDA">"c2552"</definedName>
    <definedName name="IQ_SR_DEBT_EBITDA_CAPEX">"c2553"</definedName>
    <definedName name="IQ_SR_DEBT_PCT">"c2527"</definedName>
    <definedName name="IQ_SR_SUB_DEBT">"c2530"</definedName>
    <definedName name="IQ_SR_SUB_DEBT_EBITDA">"c2556"</definedName>
    <definedName name="IQ_SR_SUB_DEBT_EBITDA_CAPEX">"c2557"</definedName>
    <definedName name="IQ_SR_SUB_DEBT_PCT">"c2531"</definedName>
    <definedName name="IQ_ST_DEBT">"c1176"</definedName>
    <definedName name="IQ_ST_DEBT_BNK">"c1177"</definedName>
    <definedName name="IQ_ST_DEBT_BR">"c1178"</definedName>
    <definedName name="IQ_ST_DEBT_FIN">"c1179"</definedName>
    <definedName name="IQ_ST_DEBT_INS">"c1180"</definedName>
    <definedName name="IQ_ST_DEBT_ISSUED">"c1181"</definedName>
    <definedName name="IQ_ST_DEBT_ISSUED_BNK">"c1182"</definedName>
    <definedName name="IQ_ST_DEBT_ISSUED_BR">"c1183"</definedName>
    <definedName name="IQ_ST_DEBT_ISSUED_FIN">"c1184"</definedName>
    <definedName name="IQ_ST_DEBT_ISSUED_INS">"c1185"</definedName>
    <definedName name="IQ_ST_DEBT_ISSUED_REIT">"c1186"</definedName>
    <definedName name="IQ_ST_DEBT_ISSUED_UTI">"c1187"</definedName>
    <definedName name="IQ_ST_DEBT_PCT">"c2539"</definedName>
    <definedName name="IQ_ST_DEBT_REIT">"c1188"</definedName>
    <definedName name="IQ_ST_DEBT_REPAID">"c1189"</definedName>
    <definedName name="IQ_ST_DEBT_REPAID_BNK">"c1190"</definedName>
    <definedName name="IQ_ST_DEBT_REPAID_BR">"c1191"</definedName>
    <definedName name="IQ_ST_DEBT_REPAID_FIN">"c1192"</definedName>
    <definedName name="IQ_ST_DEBT_REPAID_INS">"c1193"</definedName>
    <definedName name="IQ_ST_DEBT_REPAID_REIT">"c1194"</definedName>
    <definedName name="IQ_ST_DEBT_REPAID_UTI">"c1195"</definedName>
    <definedName name="IQ_ST_DEBT_UTI">"c1196"</definedName>
    <definedName name="IQ_ST_INVEST">"c1197"</definedName>
    <definedName name="IQ_ST_INVEST_UTI">"c1198"</definedName>
    <definedName name="IQ_ST_NOTE_RECEIV">"c1199"</definedName>
    <definedName name="IQ_STATE">"c1200"</definedName>
    <definedName name="IQ_STATUTORY_SURPLUS">"c1201"</definedName>
    <definedName name="IQ_STOCK_BASED">"c1202"</definedName>
    <definedName name="IQ_STOCK_BASED_AT">"c2999"</definedName>
    <definedName name="IQ_STOCK_BASED_CF">"c1203"</definedName>
    <definedName name="IQ_STOCK_BASED_COGS">"c2990"</definedName>
    <definedName name="IQ_STOCK_BASED_COMP">"c3512"</definedName>
    <definedName name="IQ_STOCK_BASED_COMP_PRETAX">"c3510"</definedName>
    <definedName name="IQ_STOCK_BASED_COMP_TAX">"c3511"</definedName>
    <definedName name="IQ_STOCK_BASED_GA">"c2993"</definedName>
    <definedName name="IQ_STOCK_BASED_OTHER">"c2995"</definedName>
    <definedName name="IQ_STOCK_BASED_RD">"c2991"</definedName>
    <definedName name="IQ_STOCK_BASED_SGA">"c2994"</definedName>
    <definedName name="IQ_STOCK_BASED_SM">"c2992"</definedName>
    <definedName name="IQ_STOCK_BASED_TOTAL">"c3040"</definedName>
    <definedName name="IQ_STOCK_OPTIONS_COMP">"c3509"</definedName>
    <definedName name="IQ_STOCK_OPTIONS_COMP_PRETAX">"c3507"</definedName>
    <definedName name="IQ_STOCK_OPTIONS_COMP_TAX">"c3508"</definedName>
    <definedName name="IQ_STRIKE_PRICE_ISSUED">"c1645"</definedName>
    <definedName name="IQ_STRIKE_PRICE_OS">"c1646"</definedName>
    <definedName name="IQ_STW">"c2166"</definedName>
    <definedName name="IQ_SUB_BONDS_NOTES">"c2503"</definedName>
    <definedName name="IQ_SUB_BONDS_NOTES_PCT">"c2504"</definedName>
    <definedName name="IQ_SUB_DEBT">"c2532"</definedName>
    <definedName name="IQ_SUB_DEBT_EBITDA">"c2558"</definedName>
    <definedName name="IQ_SUB_DEBT_EBITDA_CAPEX">"c2559"</definedName>
    <definedName name="IQ_SUB_DEBT_PCT">"c2533"</definedName>
    <definedName name="IQ_SUB_LEASE_AFTER_FIVE">"c1207"</definedName>
    <definedName name="IQ_SUB_LEASE_INC_CY">"c1208"</definedName>
    <definedName name="IQ_SUB_LEASE_INC_CY1">"c1209"</definedName>
    <definedName name="IQ_SUB_LEASE_INC_CY2">"c1210"</definedName>
    <definedName name="IQ_SUB_LEASE_INC_CY3">"c1211"</definedName>
    <definedName name="IQ_SUB_LEASE_INC_CY4">"c1212"</definedName>
    <definedName name="IQ_SUB_LEASE_NEXT_FIVE">"c1213"</definedName>
    <definedName name="IQ_SVA">"c1214"</definedName>
    <definedName name="IQ_TARGET_PRICE_NUM">"c1653"</definedName>
    <definedName name="IQ_TARGET_PRICE_NUM_REUT">"c5319"</definedName>
    <definedName name="IQ_TARGET_PRICE_STDDEV">"c1654"</definedName>
    <definedName name="IQ_TARGET_PRICE_STDDEV_REUT">"c5320"</definedName>
    <definedName name="IQ_TAX_BENEFIT_CF_1YR">"c3483"</definedName>
    <definedName name="IQ_TAX_BENEFIT_CF_2YR">"c3484"</definedName>
    <definedName name="IQ_TAX_BENEFIT_CF_3YR">"c3485"</definedName>
    <definedName name="IQ_TAX_BENEFIT_CF_4YR">"c3486"</definedName>
    <definedName name="IQ_TAX_BENEFIT_CF_5YR">"c3487"</definedName>
    <definedName name="IQ_TAX_BENEFIT_CF_AFTER_FIVE">"c3488"</definedName>
    <definedName name="IQ_TAX_BENEFIT_CF_MAX_YEAR">"c3491"</definedName>
    <definedName name="IQ_TAX_BENEFIT_CF_NO_EXP">"c3489"</definedName>
    <definedName name="IQ_TAX_BENEFIT_CF_TOTAL">"c3490"</definedName>
    <definedName name="IQ_TAX_BENEFIT_OPTIONS">"c1215"</definedName>
    <definedName name="IQ_TAX_EQUIV_NET_INT_INC">"c1216"</definedName>
    <definedName name="IQ_TBV">"c1906"</definedName>
    <definedName name="IQ_TBV_10YR_ANN_GROWTH">"c1936"</definedName>
    <definedName name="IQ_TBV_1YR_ANN_GROWTH">"c1931"</definedName>
    <definedName name="IQ_TBV_2YR_ANN_GROWTH">"c1932"</definedName>
    <definedName name="IQ_TBV_3YR_ANN_GROWTH">"c1933"</definedName>
    <definedName name="IQ_TBV_5YR_ANN_GROWTH">"c1934"</definedName>
    <definedName name="IQ_TBV_7YR_ANN_GROWTH">"c1935"</definedName>
    <definedName name="IQ_TBV_SHARE">"c1217"</definedName>
    <definedName name="IQ_TEMPLATE">"c1521"</definedName>
    <definedName name="IQ_TENANT">"c1218"</definedName>
    <definedName name="IQ_TERM_LOANS">"c2499"</definedName>
    <definedName name="IQ_TERM_LOANS_PCT">"c2500"</definedName>
    <definedName name="IQ_TEV">"c1219"</definedName>
    <definedName name="IQ_TEV_EBIT">"c1220"</definedName>
    <definedName name="IQ_TEV_EBIT_AVG">"c1221"</definedName>
    <definedName name="IQ_TEV_EBITDA">"c1222"</definedName>
    <definedName name="IQ_TEV_EBITDA_AVG">"c1223"</definedName>
    <definedName name="IQ_TEV_EBITDA_FWD">"c1224"</definedName>
    <definedName name="IQ_TEV_EBITDA_FWD_REUT">"c4050"</definedName>
    <definedName name="IQ_TEV_EMPLOYEE_AVG">"c1225"</definedName>
    <definedName name="IQ_TEV_TOTAL_REV">"c1226"</definedName>
    <definedName name="IQ_TEV_TOTAL_REV_AVG">"c1227"</definedName>
    <definedName name="IQ_TEV_TOTAL_REV_FWD">"c1228"</definedName>
    <definedName name="IQ_TEV_TOTAL_REV_FWD_REUT">"c4051"</definedName>
    <definedName name="IQ_TEV_UFCF">"c2208"</definedName>
    <definedName name="IQ_TIER_ONE_CAPITAL">"c2667"</definedName>
    <definedName name="IQ_TIER_ONE_RATIO">"c1229"</definedName>
    <definedName name="IQ_TIER_TWO_CAPITAL">"c2669"</definedName>
    <definedName name="IQ_TIME_DEP">"c1230"</definedName>
    <definedName name="IQ_TODAY">0</definedName>
    <definedName name="IQ_TOT_ADJ_INC">"c1616"</definedName>
    <definedName name="IQ_TOTAL_AR_BR">"c1231"</definedName>
    <definedName name="IQ_TOTAL_AR_REIT">"c1232"</definedName>
    <definedName name="IQ_TOTAL_AR_UTI">"c1233"</definedName>
    <definedName name="IQ_TOTAL_ASSETS">"c1234"</definedName>
    <definedName name="IQ_TOTAL_ASSETS_10YR_ANN_GROWTH">"c1235"</definedName>
    <definedName name="IQ_TOTAL_ASSETS_1YR_ANN_GROWTH">"c1236"</definedName>
    <definedName name="IQ_TOTAL_ASSETS_2YR_ANN_GROWTH">"c1237"</definedName>
    <definedName name="IQ_TOTAL_ASSETS_3YR_ANN_GROWTH">"c1238"</definedName>
    <definedName name="IQ_TOTAL_ASSETS_5YR_ANN_GROWTH">"c1239"</definedName>
    <definedName name="IQ_TOTAL_ASSETS_7YR_ANN_GROWTH">"c1240"</definedName>
    <definedName name="IQ_TOTAL_AVG_CE_TOTAL_AVG_ASSETS">"c1241"</definedName>
    <definedName name="IQ_TOTAL_AVG_EQUITY_TOTAL_AVG_ASSETS">"c1242"</definedName>
    <definedName name="IQ_TOTAL_BANK_CAPITAL">"c2668"</definedName>
    <definedName name="IQ_TOTAL_CA">"c1243"</definedName>
    <definedName name="IQ_TOTAL_CAP">"c1507"</definedName>
    <definedName name="IQ_TOTAL_CAPITAL_RATIO">"c1244"</definedName>
    <definedName name="IQ_TOTAL_CASH_DIVID">"c1455"</definedName>
    <definedName name="IQ_TOTAL_CASH_FINAN">"c1352"</definedName>
    <definedName name="IQ_TOTAL_CASH_INVEST">"c1353"</definedName>
    <definedName name="IQ_TOTAL_CASH_OPER">"c1354"</definedName>
    <definedName name="IQ_TOTAL_CHURN">"c2122"</definedName>
    <definedName name="IQ_TOTAL_CL">"c1245"</definedName>
    <definedName name="IQ_TOTAL_COMMON">"c1411"</definedName>
    <definedName name="IQ_TOTAL_COMMON_EQUITY">"c1246"</definedName>
    <definedName name="IQ_TOTAL_CURRENT_ASSETS">"c1430"</definedName>
    <definedName name="IQ_TOTAL_CURRENT_LIAB">"c1431"</definedName>
    <definedName name="IQ_TOTAL_DEBT">"c1247"</definedName>
    <definedName name="IQ_TOTAL_DEBT_CAPITAL">"c1248"</definedName>
    <definedName name="IQ_TOTAL_DEBT_EBITDA">"c1249"</definedName>
    <definedName name="IQ_TOTAL_DEBT_EBITDA_CAPEX">"c2948"</definedName>
    <definedName name="IQ_TOTAL_DEBT_EQUITY">"c1250"</definedName>
    <definedName name="IQ_TOTAL_DEBT_EXCL_FIN">"c2937"</definedName>
    <definedName name="IQ_TOTAL_DEBT_ISSUED">"c1251"</definedName>
    <definedName name="IQ_TOTAL_DEBT_ISSUED_BNK">"c1252"</definedName>
    <definedName name="IQ_TOTAL_DEBT_ISSUED_BR">"c1253"</definedName>
    <definedName name="IQ_TOTAL_DEBT_ISSUED_FIN">"c1254"</definedName>
    <definedName name="IQ_TOTAL_DEBT_ISSUED_REIT">"c1255"</definedName>
    <definedName name="IQ_TOTAL_DEBT_ISSUED_UTI">"c1256"</definedName>
    <definedName name="IQ_TOTAL_DEBT_ISSUES_INS">"c1257"</definedName>
    <definedName name="IQ_TOTAL_DEBT_OVER_EBITDA">"c1433"</definedName>
    <definedName name="IQ_TOTAL_DEBT_OVER_TOTAL_BV">"c1434"</definedName>
    <definedName name="IQ_TOTAL_DEBT_OVER_TOTAL_CAP">"c1432"</definedName>
    <definedName name="IQ_TOTAL_DEBT_REPAID">"c1258"</definedName>
    <definedName name="IQ_TOTAL_DEBT_REPAID_BNK">"c1259"</definedName>
    <definedName name="IQ_TOTAL_DEBT_REPAID_BR">"c1260"</definedName>
    <definedName name="IQ_TOTAL_DEBT_REPAID_FIN">"c1261"</definedName>
    <definedName name="IQ_TOTAL_DEBT_REPAID_INS">"c1262"</definedName>
    <definedName name="IQ_TOTAL_DEBT_REPAID_REIT">"c1263"</definedName>
    <definedName name="IQ_TOTAL_DEBT_REPAID_UTI">"c1264"</definedName>
    <definedName name="IQ_TOTAL_DEPOSITS">"c1265"</definedName>
    <definedName name="IQ_TOTAL_DIV_PAID_CF">"c1266"</definedName>
    <definedName name="IQ_TOTAL_EMPLOYEE">"c2141"</definedName>
    <definedName name="IQ_TOTAL_EMPLOYEES">"c1522"</definedName>
    <definedName name="IQ_TOTAL_EQUITY">"c1267"</definedName>
    <definedName name="IQ_TOTAL_EQUITY_10YR_ANN_GROWTH">"c1268"</definedName>
    <definedName name="IQ_TOTAL_EQUITY_1YR_ANN_GROWTH">"c1269"</definedName>
    <definedName name="IQ_TOTAL_EQUITY_2YR_ANN_GROWTH">"c1270"</definedName>
    <definedName name="IQ_TOTAL_EQUITY_3YR_ANN_GROWTH">"c1271"</definedName>
    <definedName name="IQ_TOTAL_EQUITY_5YR_ANN_GROWTH">"c1272"</definedName>
    <definedName name="IQ_TOTAL_EQUITY_7YR_ANN_GROWTH">"c1273"</definedName>
    <definedName name="IQ_TOTAL_EQUITY_ALLOWANCE_TOTAL_LOANS">"c1274"</definedName>
    <definedName name="IQ_TOTAL_INTEREST_EXP">"c1382"</definedName>
    <definedName name="IQ_TOTAL_INVENTORY">"c1385"</definedName>
    <definedName name="IQ_TOTAL_INVEST">"c1275"</definedName>
    <definedName name="IQ_TOTAL_LIAB">"c1276"</definedName>
    <definedName name="IQ_TOTAL_LIAB_BNK">"c1277"</definedName>
    <definedName name="IQ_TOTAL_LIAB_BR">"c1278"</definedName>
    <definedName name="IQ_TOTAL_LIAB_EQUITY">"c1279"</definedName>
    <definedName name="IQ_TOTAL_LIAB_FIN">"c1280"</definedName>
    <definedName name="IQ_TOTAL_LIAB_INS">"c1281"</definedName>
    <definedName name="IQ_TOTAL_LIAB_REIT">"c1282"</definedName>
    <definedName name="IQ_TOTAL_LIAB_SHAREHOLD">"c1435"</definedName>
    <definedName name="IQ_TOTAL_LIAB_TOTAL_ASSETS">"c1283"</definedName>
    <definedName name="IQ_TOTAL_LONG_DEBT">"c1617"</definedName>
    <definedName name="IQ_TOTAL_NON_REC">"c1444"</definedName>
    <definedName name="IQ_TOTAL_OPER_EXP_BR">"c1284"</definedName>
    <definedName name="IQ_TOTAL_OPER_EXP_FIN">"c1285"</definedName>
    <definedName name="IQ_TOTAL_OPER_EXP_INS">"c1286"</definedName>
    <definedName name="IQ_TOTAL_OPER_EXP_REIT">"c1287"</definedName>
    <definedName name="IQ_TOTAL_OPER_EXP_UTI">"c1288"</definedName>
    <definedName name="IQ_TOTAL_OPER_EXPEN">"c1445"</definedName>
    <definedName name="IQ_TOTAL_OPTIONS_BEG_OS">"c2693"</definedName>
    <definedName name="IQ_TOTAL_OPTIONS_CANCELLED">"c2696"</definedName>
    <definedName name="IQ_TOTAL_OPTIONS_END_OS">"c2697"</definedName>
    <definedName name="IQ_TOTAL_OPTIONS_EXERCISED">"c2695"</definedName>
    <definedName name="IQ_TOTAL_OPTIONS_GRANTED">"c2694"</definedName>
    <definedName name="IQ_TOTAL_OTHER_OPER">"c1289"</definedName>
    <definedName name="IQ_TOTAL_OUTSTANDING_BS_DATE">"c1022"</definedName>
    <definedName name="IQ_TOTAL_OUTSTANDING_FILING_DATE">"c2107"</definedName>
    <definedName name="IQ_TOTAL_PENSION_ASSETS">"c1290"</definedName>
    <definedName name="IQ_TOTAL_PENSION_ASSETS_DOMESTIC">"c2658"</definedName>
    <definedName name="IQ_TOTAL_PENSION_ASSETS_FOREIGN">"c2666"</definedName>
    <definedName name="IQ_TOTAL_PENSION_EXP">"c1291"</definedName>
    <definedName name="IQ_TOTAL_PRINCIPAL">"c2509"</definedName>
    <definedName name="IQ_TOTAL_PRINCIPAL_PCT">"c2510"</definedName>
    <definedName name="IQ_TOTAL_PROVED_RESERVES_NGL">"c2924"</definedName>
    <definedName name="IQ_TOTAL_PROVED_RESERVES_OIL">"c2040"</definedName>
    <definedName name="IQ_TOTAL_RECEIV">"c1293"</definedName>
    <definedName name="IQ_TOTAL_REV">"c1294"</definedName>
    <definedName name="IQ_TOTAL_REV_10YR_ANN_GROWTH">"c1295"</definedName>
    <definedName name="IQ_TOTAL_REV_1YR_ANN_GROWTH">"c1296"</definedName>
    <definedName name="IQ_TOTAL_REV_2YR_ANN_GROWTH">"c1297"</definedName>
    <definedName name="IQ_TOTAL_REV_3YR_ANN_GROWTH">"c1298"</definedName>
    <definedName name="IQ_TOTAL_REV_5YR_ANN_GROWTH">"c1299"</definedName>
    <definedName name="IQ_TOTAL_REV_7YR_ANN_GROWTH">"c1300"</definedName>
    <definedName name="IQ_TOTAL_REV_AS_REPORTED">"c1301"</definedName>
    <definedName name="IQ_TOTAL_REV_BNK">"c1302"</definedName>
    <definedName name="IQ_TOTAL_REV_BR">"c1303"</definedName>
    <definedName name="IQ_TOTAL_REV_EMPLOYEE">"c1304"</definedName>
    <definedName name="IQ_TOTAL_REV_FIN">"c1305"</definedName>
    <definedName name="IQ_TOTAL_REV_INS">"c1306"</definedName>
    <definedName name="IQ_TOTAL_REV_REIT">"c1307"</definedName>
    <definedName name="IQ_TOTAL_REV_SHARE">"c1912"</definedName>
    <definedName name="IQ_TOTAL_REV_UTI">"c1308"</definedName>
    <definedName name="IQ_TOTAL_REVENUE">"c1436"</definedName>
    <definedName name="IQ_TOTAL_SPECIAL">"c1618"</definedName>
    <definedName name="IQ_TOTAL_ST_BORROW">"c1424"</definedName>
    <definedName name="IQ_TOTAL_SUB_DEBT">"c2528"</definedName>
    <definedName name="IQ_TOTAL_SUB_DEBT_EBITDA">"c2554"</definedName>
    <definedName name="IQ_TOTAL_SUB_DEBT_EBITDA_CAPEX">"c2555"</definedName>
    <definedName name="IQ_TOTAL_SUB_DEBT_PCT">"c2529"</definedName>
    <definedName name="IQ_TOTAL_SUBS">"c2119"</definedName>
    <definedName name="IQ_TOTAL_UNUSUAL">"c1508"</definedName>
    <definedName name="IQ_TOTAL_UNUSUAL_BNK">"c5516"</definedName>
    <definedName name="IQ_TOTAL_UNUSUAL_BR">"c5517"</definedName>
    <definedName name="IQ_TOTAL_UNUSUAL_FIN">"c5518"</definedName>
    <definedName name="IQ_TOTAL_UNUSUAL_INS">"c5519"</definedName>
    <definedName name="IQ_TOTAL_UNUSUAL_REIT">"c5520"</definedName>
    <definedName name="IQ_TOTAL_UNUSUAL_UTI">"c5521"</definedName>
    <definedName name="IQ_TOTAL_WARRANTS_BEG_OS">"c2719"</definedName>
    <definedName name="IQ_TOTAL_WARRANTS_CANCELLED">"c2722"</definedName>
    <definedName name="IQ_TOTAL_WARRANTS_END_OS">"c2723"</definedName>
    <definedName name="IQ_TOTAL_WARRANTS_EXERCISED">"c2721"</definedName>
    <definedName name="IQ_TOTAL_WARRANTS_ISSUED">"c2720"</definedName>
    <definedName name="IQ_TR_ACCT_METHOD">"c2363"</definedName>
    <definedName name="IQ_TR_ACQ_52_WK_HI_PCT">"c2348"</definedName>
    <definedName name="IQ_TR_ACQ_52_WK_LOW_PCT">"c2347"</definedName>
    <definedName name="IQ_TR_ACQ_CASH_ST_INVEST">"c2372"</definedName>
    <definedName name="IQ_TR_ACQ_CLOSEPRICE_1D">"c3027"</definedName>
    <definedName name="IQ_TR_ACQ_DILUT_EPS_EXCL">"c3028"</definedName>
    <definedName name="IQ_TR_ACQ_EARNING_CO">"c2379"</definedName>
    <definedName name="IQ_TR_ACQ_EBIT">"c2380"</definedName>
    <definedName name="IQ_TR_ACQ_EBIT_EQ_INC">"c3611"</definedName>
    <definedName name="IQ_TR_ACQ_EBITDA">"c2381"</definedName>
    <definedName name="IQ_TR_ACQ_EBITDA_EQ_INC">"c3610"</definedName>
    <definedName name="IQ_TR_ACQ_FILING_CURRENCY">"c3033"</definedName>
    <definedName name="IQ_TR_ACQ_FILINGDATE">"c3607"</definedName>
    <definedName name="IQ_TR_ACQ_MCAP_1DAY">"c2345"</definedName>
    <definedName name="IQ_TR_ACQ_MIN_INT">"c2374"</definedName>
    <definedName name="IQ_TR_ACQ_NET_DEBT">"c2373"</definedName>
    <definedName name="IQ_TR_ACQ_NI">"c2378"</definedName>
    <definedName name="IQ_TR_ACQ_PERIODDATE">"c3606"</definedName>
    <definedName name="IQ_TR_ACQ_PRICEDATE_1D">"c2346"</definedName>
    <definedName name="IQ_TR_ACQ_RETURN">"c2349"</definedName>
    <definedName name="IQ_TR_ACQ_STOCKYEARHIGH_1D">"c2343"</definedName>
    <definedName name="IQ_TR_ACQ_STOCKYEARLOW_1D">"c2344"</definedName>
    <definedName name="IQ_TR_ACQ_TOTAL_ASSETS">"c2371"</definedName>
    <definedName name="IQ_TR_ACQ_TOTAL_COMMON_EQ">"c2377"</definedName>
    <definedName name="IQ_TR_ACQ_TOTAL_DEBT">"c2376"</definedName>
    <definedName name="IQ_TR_ACQ_TOTAL_PREF">"c2375"</definedName>
    <definedName name="IQ_TR_ACQ_TOTAL_REV">"c2382"</definedName>
    <definedName name="IQ_TR_ADJ_SIZE">"c3024"</definedName>
    <definedName name="IQ_TR_ANN_DATE">"c2395"</definedName>
    <definedName name="IQ_TR_ANN_DATE_BL">"c2394"</definedName>
    <definedName name="IQ_TR_BID_DATE">"c2357"</definedName>
    <definedName name="IQ_TR_BLUESKY_FEES">"c2277"</definedName>
    <definedName name="IQ_TR_BUY_ACC_ADVISORS">"c3048"</definedName>
    <definedName name="IQ_TR_BUY_FIN_ADVISORS">"c3045"</definedName>
    <definedName name="IQ_TR_BUY_LEG_ADVISORS">"c2387"</definedName>
    <definedName name="IQ_TR_BUYER_ID">"c2404"</definedName>
    <definedName name="IQ_TR_BUYERNAME">"c2401"</definedName>
    <definedName name="IQ_TR_CANCELLED_DATE">"c2284"</definedName>
    <definedName name="IQ_TR_CASH_CONSID_PCT">"c2296"</definedName>
    <definedName name="IQ_TR_CASH_ST_INVEST">"c3025"</definedName>
    <definedName name="IQ_TR_CHANGE_CONTROL">"c2365"</definedName>
    <definedName name="IQ_TR_CLOSED_DATE">"c2283"</definedName>
    <definedName name="IQ_TR_CO_NET_PROCEEDS">"c2268"</definedName>
    <definedName name="IQ_TR_CO_NET_PROCEEDS_PCT">"c2270"</definedName>
    <definedName name="IQ_TR_COMMENTS">"c2383"</definedName>
    <definedName name="IQ_TR_CURRENCY">"c3016"</definedName>
    <definedName name="IQ_TR_DEAL_ATTITUDE">"c2364"</definedName>
    <definedName name="IQ_TR_DEAL_CONDITIONS">"c2367"</definedName>
    <definedName name="IQ_TR_DEAL_RESOLUTION">"c2391"</definedName>
    <definedName name="IQ_TR_DEAL_RESPONSES">"c2366"</definedName>
    <definedName name="IQ_TR_DEBT_CONSID_PCT">"c2299"</definedName>
    <definedName name="IQ_TR_DEF_AGRMT_DATE">"c2285"</definedName>
    <definedName name="IQ_TR_DISCLOSED_FEES_EXP">"c2288"</definedName>
    <definedName name="IQ_TR_EARNOUTS">"c3023"</definedName>
    <definedName name="IQ_TR_EXPIRED_DATE">"c2412"</definedName>
    <definedName name="IQ_TR_GROSS_OFFERING_AMT">"c2262"</definedName>
    <definedName name="IQ_TR_HYBRID_CONSID_PCT">"c2300"</definedName>
    <definedName name="IQ_TR_IMPLIED_EQ">"c3018"</definedName>
    <definedName name="IQ_TR_IMPLIED_EQ_BV">"c3019"</definedName>
    <definedName name="IQ_TR_IMPLIED_EQ_NI_LTM">"c3020"</definedName>
    <definedName name="IQ_TR_IMPLIED_EV">"c2301"</definedName>
    <definedName name="IQ_TR_IMPLIED_EV_BV">"c2306"</definedName>
    <definedName name="IQ_TR_IMPLIED_EV_EBIT">"c2302"</definedName>
    <definedName name="IQ_TR_IMPLIED_EV_EBITDA">"c2303"</definedName>
    <definedName name="IQ_TR_IMPLIED_EV_NI_LTM">"c2307"</definedName>
    <definedName name="IQ_TR_IMPLIED_EV_REV">"c2304"</definedName>
    <definedName name="IQ_TR_INIT_FILED_DATE">"c3495"</definedName>
    <definedName name="IQ_TR_LOI_DATE">"c2282"</definedName>
    <definedName name="IQ_TR_MAJ_MIN_STAKE">"c2389"</definedName>
    <definedName name="IQ_TR_NEGOTIATED_BUYBACK_PRICE">"c2414"</definedName>
    <definedName name="IQ_TR_NET_ASSUM_LIABILITIES">"c2308"</definedName>
    <definedName name="IQ_TR_NET_PROCEEDS">"c2267"</definedName>
    <definedName name="IQ_TR_OFFER_DATE">"c2265"</definedName>
    <definedName name="IQ_TR_OFFER_DATE_MA">"c3035"</definedName>
    <definedName name="IQ_TR_OFFER_PER_SHARE">"c3017"</definedName>
    <definedName name="IQ_TR_OPTIONS_CONSID_PCT">"c2311"</definedName>
    <definedName name="IQ_TR_OTHER_CONSID">"c3022"</definedName>
    <definedName name="IQ_TR_PCT_SOUGHT">"c2309"</definedName>
    <definedName name="IQ_TR_PFEATURES">"c2384"</definedName>
    <definedName name="IQ_TR_PIPE_CONV_PRICE_SHARE">"c2292"</definedName>
    <definedName name="IQ_TR_PIPE_CPN_PCT">"c2291"</definedName>
    <definedName name="IQ_TR_PIPE_NUMBER_SHARES">"c2293"</definedName>
    <definedName name="IQ_TR_PIPE_PPS">"c2290"</definedName>
    <definedName name="IQ_TR_POSTMONEY_VAL">"c2286"</definedName>
    <definedName name="IQ_TR_PREDEAL_SITUATION">"c2390"</definedName>
    <definedName name="IQ_TR_PREF_CONSID_PCT">"c2310"</definedName>
    <definedName name="IQ_TR_PREMONEY_VAL">"c2287"</definedName>
    <definedName name="IQ_TR_PRINTING_FEES">"c2276"</definedName>
    <definedName name="IQ_TR_PT_MONETARY_VALUES">"c2415"</definedName>
    <definedName name="IQ_TR_PT_NUMBER_SHARES">"c2417"</definedName>
    <definedName name="IQ_TR_PT_PCT_SHARES">"c2416"</definedName>
    <definedName name="IQ_TR_RATING_FEES">"c2275"</definedName>
    <definedName name="IQ_TR_REG_EFFECT_DATE">"c2264"</definedName>
    <definedName name="IQ_TR_REG_FILED_DATE">"c2263"</definedName>
    <definedName name="IQ_TR_RENEWAL_BUYBACK">"c2413"</definedName>
    <definedName name="IQ_TR_ROUND_NUMBER">"c2295"</definedName>
    <definedName name="IQ_TR_SEC_FEES">"c2274"</definedName>
    <definedName name="IQ_TR_SECURITY_TYPE_REG">"c2279"</definedName>
    <definedName name="IQ_TR_SELL_ACC_ADVISORS">"c3049"</definedName>
    <definedName name="IQ_TR_SELL_FIN_ADVISORS">"c3046"</definedName>
    <definedName name="IQ_TR_SELL_LEG_ADVISORS">"c2388"</definedName>
    <definedName name="IQ_TR_SELLER_ID">"c2406"</definedName>
    <definedName name="IQ_TR_SELLERNAME">"c2402"</definedName>
    <definedName name="IQ_TR_SFEATURES">"c2385"</definedName>
    <definedName name="IQ_TR_SH_NET_PROCEEDS">"c2269"</definedName>
    <definedName name="IQ_TR_SH_NET_PROCEEDS_PCT">"c2271"</definedName>
    <definedName name="IQ_TR_SPECIAL_COMMITTEE">"c2362"</definedName>
    <definedName name="IQ_TR_STATUS">"c2399"</definedName>
    <definedName name="IQ_TR_STOCK_CONSID_PCT">"c2312"</definedName>
    <definedName name="IQ_TR_SUSPENDED_DATE">"c2407"</definedName>
    <definedName name="IQ_TR_TARGET_52WKHI_PCT">"c2351"</definedName>
    <definedName name="IQ_TR_TARGET_52WKLOW_PCT">"c2350"</definedName>
    <definedName name="IQ_TR_TARGET_ACC_ADVISORS">"c3047"</definedName>
    <definedName name="IQ_TR_TARGET_CASH_ST_INVEST">"c2327"</definedName>
    <definedName name="IQ_TR_TARGET_CLOSEPRICE_1D">"c2352"</definedName>
    <definedName name="IQ_TR_TARGET_CLOSEPRICE_1M">"c2354"</definedName>
    <definedName name="IQ_TR_TARGET_CLOSEPRICE_1W">"c2353"</definedName>
    <definedName name="IQ_TR_TARGET_DILUT_EPS_EXCL">"c2324"</definedName>
    <definedName name="IQ_TR_TARGET_EARNING_CO">"c2332"</definedName>
    <definedName name="IQ_TR_TARGET_EBIT">"c2333"</definedName>
    <definedName name="IQ_TR_TARGET_EBIT_EQ_INC">"c3609"</definedName>
    <definedName name="IQ_TR_TARGET_EBITDA">"c2334"</definedName>
    <definedName name="IQ_TR_TARGET_EBITDA_EQ_INC">"c3608"</definedName>
    <definedName name="IQ_TR_TARGET_FILING_CURRENCY">"c3034"</definedName>
    <definedName name="IQ_TR_TARGET_FILINGDATE">"c3605"</definedName>
    <definedName name="IQ_TR_TARGET_FIN_ADVISORS">"c3044"</definedName>
    <definedName name="IQ_TR_TARGET_ID">"c2405"</definedName>
    <definedName name="IQ_TR_TARGET_LEG_ADVISORS">"c2386"</definedName>
    <definedName name="IQ_TR_TARGET_MARKETCAP">"c2342"</definedName>
    <definedName name="IQ_TR_TARGET_MIN_INT">"c2328"</definedName>
    <definedName name="IQ_TR_TARGET_NET_DEBT">"c2326"</definedName>
    <definedName name="IQ_TR_TARGET_NI">"c2331"</definedName>
    <definedName name="IQ_TR_TARGET_PERIODDATE">"c3604"</definedName>
    <definedName name="IQ_TR_TARGET_PRICEDATE_1D">"c2341"</definedName>
    <definedName name="IQ_TR_TARGET_RETURN">"c2355"</definedName>
    <definedName name="IQ_TR_TARGET_SEC_DETAIL">"c3021"</definedName>
    <definedName name="IQ_TR_TARGET_SEC_TI_ID">"c2368"</definedName>
    <definedName name="IQ_TR_TARGET_SEC_TYPE">"c2369"</definedName>
    <definedName name="IQ_TR_TARGET_SPD">"c2313"</definedName>
    <definedName name="IQ_TR_TARGET_SPD_PCT">"c2314"</definedName>
    <definedName name="IQ_TR_TARGET_STOCKPREMIUM_1D">"c2336"</definedName>
    <definedName name="IQ_TR_TARGET_STOCKPREMIUM_1M">"c2337"</definedName>
    <definedName name="IQ_TR_TARGET_STOCKPREMIUM_1W">"c2338"</definedName>
    <definedName name="IQ_TR_TARGET_STOCKYEARHIGH_1D">"c2339"</definedName>
    <definedName name="IQ_TR_TARGET_STOCKYEARLOW_1D">"c2340"</definedName>
    <definedName name="IQ_TR_TARGET_TOTAL_ASSETS">"c2325"</definedName>
    <definedName name="IQ_TR_TARGET_TOTAL_COMMON_EQ">"c2421"</definedName>
    <definedName name="IQ_TR_TARGET_TOTAL_DEBT">"c2330"</definedName>
    <definedName name="IQ_TR_TARGET_TOTAL_PREF">"c2329"</definedName>
    <definedName name="IQ_TR_TARGET_TOTAL_REV">"c2335"</definedName>
    <definedName name="IQ_TR_TARGETNAME">"c2403"</definedName>
    <definedName name="IQ_TR_TERM_FEE">"c2298"</definedName>
    <definedName name="IQ_TR_TERM_FEE_PCT">"c2297"</definedName>
    <definedName name="IQ_TR_TODATE">"c3036"</definedName>
    <definedName name="IQ_TR_TODATE_MONETARY_VALUE">"c2418"</definedName>
    <definedName name="IQ_TR_TODATE_NUMBER_SHARES">"c2420"</definedName>
    <definedName name="IQ_TR_TODATE_PCT_SHARES">"c2419"</definedName>
    <definedName name="IQ_TR_TOTAL_ACCT_FEES">"c2273"</definedName>
    <definedName name="IQ_TR_TOTAL_CASH">"c2315"</definedName>
    <definedName name="IQ_TR_TOTAL_CONSID_SH">"c2316"</definedName>
    <definedName name="IQ_TR_TOTAL_DEBT">"c2317"</definedName>
    <definedName name="IQ_TR_TOTAL_GROSS_TV">"c2318"</definedName>
    <definedName name="IQ_TR_TOTAL_HYBRID">"c2319"</definedName>
    <definedName name="IQ_TR_TOTAL_LEGAL_FEES">"c2272"</definedName>
    <definedName name="IQ_TR_TOTAL_NET_TV">"c2320"</definedName>
    <definedName name="IQ_TR_TOTAL_NEWMONEY">"c2289"</definedName>
    <definedName name="IQ_TR_TOTAL_OPTIONS">"c2322"</definedName>
    <definedName name="IQ_TR_TOTAL_OPTIONS_BUYER">"c3026"</definedName>
    <definedName name="IQ_TR_TOTAL_PREFERRED">"c2321"</definedName>
    <definedName name="IQ_TR_TOTAL_REG_AMT">"c2261"</definedName>
    <definedName name="IQ_TR_TOTAL_STOCK">"c2323"</definedName>
    <definedName name="IQ_TR_TOTAL_TAKEDOWNS">"c2278"</definedName>
    <definedName name="IQ_TR_TOTAL_UW_COMP">"c2280"</definedName>
    <definedName name="IQ_TR_TOTALVALUE">"c2400"</definedName>
    <definedName name="IQ_TR_TRANSACTION_TYPE">"c2398"</definedName>
    <definedName name="IQ_TR_WITHDRAWN_DTE">"c2266"</definedName>
    <definedName name="IQ_TRADE_AR">"c1345"</definedName>
    <definedName name="IQ_TRADE_PRINCIPAL">"c1309"</definedName>
    <definedName name="IQ_TRADING_ASSETS">"c1310"</definedName>
    <definedName name="IQ_TRADING_CURRENCY">"c2212"</definedName>
    <definedName name="IQ_TREASURY">"c1311"</definedName>
    <definedName name="IQ_TREASURY_OTHER_EQUITY">"c1312"</definedName>
    <definedName name="IQ_TREASURY_OTHER_EQUITY_BNK">"c1313"</definedName>
    <definedName name="IQ_TREASURY_OTHER_EQUITY_BR">"c1314"</definedName>
    <definedName name="IQ_TREASURY_OTHER_EQUITY_FIN">"c1315"</definedName>
    <definedName name="IQ_TREASURY_OTHER_EQUITY_INS">"c1316"</definedName>
    <definedName name="IQ_TREASURY_OTHER_EQUITY_REIT">"c1317"</definedName>
    <definedName name="IQ_TREASURY_OTHER_EQUITY_UTI">"c1318"</definedName>
    <definedName name="IQ_TREASURY_STOCK">"c1438"</definedName>
    <definedName name="IQ_TRUST_INC">"c1319"</definedName>
    <definedName name="IQ_TRUST_PREF">"c1320"</definedName>
    <definedName name="IQ_TRUST_PREFERRED">"c3029"</definedName>
    <definedName name="IQ_TRUST_PREFERRED_PCT">"c3030"</definedName>
    <definedName name="IQ_UFCF_10YR_ANN_GROWTH">"c1948"</definedName>
    <definedName name="IQ_UFCF_1YR_ANN_GROWTH">"c1943"</definedName>
    <definedName name="IQ_UFCF_2YR_ANN_GROWTH">"c1944"</definedName>
    <definedName name="IQ_UFCF_3YR_ANN_GROWTH">"c1945"</definedName>
    <definedName name="IQ_UFCF_5YR_ANN_GROWTH">"c1946"</definedName>
    <definedName name="IQ_UFCF_7YR_ANN_GROWTH">"c1947"</definedName>
    <definedName name="IQ_UFCF_MARGIN">"c1962"</definedName>
    <definedName name="IQ_ULT_PARENT">"c3037"</definedName>
    <definedName name="IQ_ULT_PARENT_CIQID">"c3039"</definedName>
    <definedName name="IQ_ULT_PARENT_TICKER">"c3038"</definedName>
    <definedName name="IQ_UNAMORT_DISC">"c2513"</definedName>
    <definedName name="IQ_UNAMORT_DISC_PCT">"c2514"</definedName>
    <definedName name="IQ_UNAMORT_PREMIUM">"c2511"</definedName>
    <definedName name="IQ_UNAMORT_PREMIUM_PCT">"c2512"</definedName>
    <definedName name="IQ_UNDRAWN_CP">"c2518"</definedName>
    <definedName name="IQ_UNDRAWN_CREDIT">"c3032"</definedName>
    <definedName name="IQ_UNDRAWN_RC">"c2517"</definedName>
    <definedName name="IQ_UNDRAWN_TL">"c2519"</definedName>
    <definedName name="IQ_UNEARN_PREMIUM">"c1321"</definedName>
    <definedName name="IQ_UNEARN_REV_CURRENT">"c1322"</definedName>
    <definedName name="IQ_UNEARN_REV_CURRENT_BNK">"c1323"</definedName>
    <definedName name="IQ_UNEARN_REV_CURRENT_BR">"c1324"</definedName>
    <definedName name="IQ_UNEARN_REV_CURRENT_FIN">"c1325"</definedName>
    <definedName name="IQ_UNEARN_REV_CURRENT_INS">"c1326"</definedName>
    <definedName name="IQ_UNEARN_REV_CURRENT_REIT">"c1327"</definedName>
    <definedName name="IQ_UNEARN_REV_CURRENT_UTI">"c1328"</definedName>
    <definedName name="IQ_UNEARN_REV_LT">"c1329"</definedName>
    <definedName name="IQ_UNLEVERED_FCF">"c1908"</definedName>
    <definedName name="IQ_UNPAID_CLAIMS">"c1330"</definedName>
    <definedName name="IQ_UNREALIZED_GAIN">"c1619"</definedName>
    <definedName name="IQ_UNSECURED_DEBT">"c2548"</definedName>
    <definedName name="IQ_UNSECURED_DEBT_PCT">"c2549"</definedName>
    <definedName name="IQ_UNUSUAL_EXP">"c1456"</definedName>
    <definedName name="IQ_US_GAAP">"c1331"</definedName>
    <definedName name="IQ_US_GAAP_BASIC_EPS_EXCL">"c2984"</definedName>
    <definedName name="IQ_US_GAAP_BASIC_EPS_INCL">"c2982"</definedName>
    <definedName name="IQ_US_GAAP_BASIC_WEIGHT">"c2980"</definedName>
    <definedName name="IQ_US_GAAP_CA_ADJ">"c2925"</definedName>
    <definedName name="IQ_US_GAAP_CASH_FINAN">"c2945"</definedName>
    <definedName name="IQ_US_GAAP_CASH_FINAN_ADJ">"c2941"</definedName>
    <definedName name="IQ_US_GAAP_CASH_INVEST">"c2944"</definedName>
    <definedName name="IQ_US_GAAP_CASH_INVEST_ADJ">"c2940"</definedName>
    <definedName name="IQ_US_GAAP_CASH_OPER">"c2943"</definedName>
    <definedName name="IQ_US_GAAP_CASH_OPER_ADJ">"c2939"</definedName>
    <definedName name="IQ_US_GAAP_CL_ADJ">"c2927"</definedName>
    <definedName name="IQ_US_GAAP_COST_REV_ADJ">"c2951"</definedName>
    <definedName name="IQ_US_GAAP_DILUT_EPS_EXCL">"c2985"</definedName>
    <definedName name="IQ_US_GAAP_DILUT_EPS_INCL">"c2983"</definedName>
    <definedName name="IQ_US_GAAP_DILUT_NI">"c2979"</definedName>
    <definedName name="IQ_US_GAAP_DILUT_WEIGHT">"c2981"</definedName>
    <definedName name="IQ_US_GAAP_DO_ADJ">"c2959"</definedName>
    <definedName name="IQ_US_GAAP_EXTRA_ACC_ITEMS_ADJ">"c2958"</definedName>
    <definedName name="IQ_US_GAAP_INC_TAX_ADJ">"c2961"</definedName>
    <definedName name="IQ_US_GAAP_INTEREST_EXP_ADJ">"c2957"</definedName>
    <definedName name="IQ_US_GAAP_LIAB_LT_ADJ">"c2928"</definedName>
    <definedName name="IQ_US_GAAP_LIAB_TOTAL_LIAB">"c2933"</definedName>
    <definedName name="IQ_US_GAAP_MINORITY_INTEREST_IS_ADJ">"c2960"</definedName>
    <definedName name="IQ_US_GAAP_NCA_ADJ">"c2926"</definedName>
    <definedName name="IQ_US_GAAP_NET_CHANGE">"c2946"</definedName>
    <definedName name="IQ_US_GAAP_NET_CHANGE_ADJ">"c2942"</definedName>
    <definedName name="IQ_US_GAAP_NI">"c2976"</definedName>
    <definedName name="IQ_US_GAAP_NI_ADJ">"c2963"</definedName>
    <definedName name="IQ_US_GAAP_NI_AVAIL_INCL">"c2978"</definedName>
    <definedName name="IQ_US_GAAP_OTHER_ADJ_ADJ">"c2962"</definedName>
    <definedName name="IQ_US_GAAP_OTHER_NON_OPER_ADJ">"c2955"</definedName>
    <definedName name="IQ_US_GAAP_OTHER_OPER_ADJ">"c2954"</definedName>
    <definedName name="IQ_US_GAAP_RD_ADJ">"c2953"</definedName>
    <definedName name="IQ_US_GAAP_SGA_ADJ">"c2952"</definedName>
    <definedName name="IQ_US_GAAP_TOTAL_ASSETS">"c2931"</definedName>
    <definedName name="IQ_US_GAAP_TOTAL_EQUITY">"c2934"</definedName>
    <definedName name="IQ_US_GAAP_TOTAL_EQUITY_ADJ">"c2929"</definedName>
    <definedName name="IQ_US_GAAP_TOTAL_REV_ADJ">"c2950"</definedName>
    <definedName name="IQ_US_GAAP_TOTAL_UNUSUAL_ADJ">"c2956"</definedName>
    <definedName name="IQ_UTIL_PPE_NET">"c1620"</definedName>
    <definedName name="IQ_UTIL_REV">"c2091"</definedName>
    <definedName name="IQ_UV_PENSION_LIAB">"c1332"</definedName>
    <definedName name="IQ_VALUE_TRADED_LAST_3MTH">"c1530"</definedName>
    <definedName name="IQ_VALUE_TRADED_LAST_6MTH">"c1531"</definedName>
    <definedName name="IQ_VALUE_TRADED_LAST_MTH">"c1529"</definedName>
    <definedName name="IQ_VALUE_TRADED_LAST_WK">"c1528"</definedName>
    <definedName name="IQ_VALUE_TRADED_LAST_YR">"c1532"</definedName>
    <definedName name="IQ_VOL_LAST_3MTH">"c1525"</definedName>
    <definedName name="IQ_VOL_LAST_6MTH">"c1526"</definedName>
    <definedName name="IQ_VOL_LAST_MTH">"c1524"</definedName>
    <definedName name="IQ_VOL_LAST_WK">"c1523"</definedName>
    <definedName name="IQ_VOL_LAST_YR">"c1527"</definedName>
    <definedName name="IQ_VOLUME">"c1333"</definedName>
    <definedName name="IQ_WARRANTS_BEG_OS">"c2698"</definedName>
    <definedName name="IQ_WARRANTS_CANCELLED">"c2701"</definedName>
    <definedName name="IQ_WARRANTS_END_OS">"c2702"</definedName>
    <definedName name="IQ_WARRANTS_EXERCISED">"c2700"</definedName>
    <definedName name="IQ_WARRANTS_ISSUED">"c2699"</definedName>
    <definedName name="IQ_WARRANTS_STRIKE_PRICE_ISSUED">"c2704"</definedName>
    <definedName name="IQ_WARRANTS_STRIKE_PRICE_OS">"c2703"</definedName>
    <definedName name="IQ_WEIGHTED_AVG_PRICE">"c1334"</definedName>
    <definedName name="IQ_WIP_INV">"c1335"</definedName>
    <definedName name="IQ_WORKING_CAP">"c3494"</definedName>
    <definedName name="IQ_WORKMEN_WRITTEN">"c1336"</definedName>
    <definedName name="IQ_XDIV_DATE">"c2203"</definedName>
    <definedName name="IQ_YEARHIGH">"c1337"</definedName>
    <definedName name="IQ_YEARHIGH_DATE">"c2250"</definedName>
    <definedName name="IQ_YEARLOW">"c1338"</definedName>
    <definedName name="IQ_YEARLOW_DATE">"c2251"</definedName>
    <definedName name="IQ_YTD">3000</definedName>
    <definedName name="IQ_YTW">"c2163"</definedName>
    <definedName name="IQ_YTW_DATE">"c2164"</definedName>
    <definedName name="IQ_YTW_DATE_TYPE">"c2165"</definedName>
    <definedName name="IQ_Z_SCORE">"c1339"</definedName>
    <definedName name="KeepVersions" localSheetId="19">IndexInformation!$B$8</definedName>
    <definedName name="LanguageCode">IndexInformation!$B$38</definedName>
    <definedName name="LastCell" localSheetId="0">ImportantDisclosures!$A$22</definedName>
    <definedName name="Linking_2">sumry!$A$5:$DV$50</definedName>
    <definedName name="Linking_3">sumry!$B$5:$DX$50</definedName>
    <definedName name="Linking_4">sumry!$B$5:$DY$50</definedName>
    <definedName name="Linking_5">bal!$A$5:$BC$44</definedName>
    <definedName name="Linking_6">flow!$A$8:$BA$58</definedName>
    <definedName name="Linking_7">sumry!$A$5:$DY$50</definedName>
    <definedName name="Linking_8">flow!$A$7:$BA$58</definedName>
    <definedName name="Linking_Range_1">sumry!$B$5:$DU$50</definedName>
    <definedName name="Linking_Range_10">flow!$A$7:$AO$58</definedName>
    <definedName name="Linking_Range_11">flow!$A$8:$AO$58</definedName>
    <definedName name="Linking_Range_12" localSheetId="1">Valuation!$B$3:$I$19</definedName>
    <definedName name="Linking_Range_12">sumry!$B$5:$DV$50</definedName>
    <definedName name="Linking_Range_13" localSheetId="1">Valuation!$B$22:$G$28</definedName>
    <definedName name="Linking_Range_13">flow!$A$7:$AU$58</definedName>
    <definedName name="Linking_Range_14">sumry!$B$5:$DS$50</definedName>
    <definedName name="Linking_Range_15">flow!$A$7:$AP$58</definedName>
    <definedName name="Linking_Range_16">bal!$A$5:$AU$44</definedName>
    <definedName name="Linking_Range_17">flow!$A$7:$AS$58</definedName>
    <definedName name="Linking_Range_18">Valuation!$B$3:$N$18</definedName>
    <definedName name="Linking_Range_19">Valuation!$B$22:$G$28</definedName>
    <definedName name="Linking_Range_2">bal!$A$5:$AM$44</definedName>
    <definedName name="Linking_Range_20">flow!$A$7:$AS$60</definedName>
    <definedName name="Linking_Range_21">flow!$A$7:$AT$59</definedName>
    <definedName name="Linking_Range_22">bal!$A$5:$AY$44</definedName>
    <definedName name="Linking_Range_23">flow!$A$8:$AS$58</definedName>
    <definedName name="Linking_Range_24">sumry!$B$4:$DU$65</definedName>
    <definedName name="Linking_Range_25">bal!$A$5:$AV$44</definedName>
    <definedName name="Linking_Range_26">flow!$A$7:$AT$58</definedName>
    <definedName name="Linking_Range_27">flow!$A$8:$AW$58</definedName>
    <definedName name="Linking_Range_3">flow!$A$8:$AK$58</definedName>
    <definedName name="Linking_Range_4">sumry!$B$5:$DR$63</definedName>
    <definedName name="Linking_Range_5">sumry!$B$5:$DR$50</definedName>
    <definedName name="Linking_Range_6">bal!$A$5:$AO$44</definedName>
    <definedName name="Linking_Range_7">flow!$A$7:$AM$58</definedName>
    <definedName name="Linking_Range_8">sumry!$B$4:$DS$50</definedName>
    <definedName name="Linking_Range_9">bal!$A$5:$AQ$44</definedName>
    <definedName name="MacroVersion" localSheetId="19">IndexInformation!$B$1</definedName>
    <definedName name="ModelPrice" localSheetId="0">ImportantDisclosures!$A$14</definedName>
    <definedName name="Multiplier" localSheetId="19">IndexInformation!$B$35</definedName>
    <definedName name="NextYearEPS" localSheetId="19">IndexInformation!$B$13</definedName>
    <definedName name="NextYearTotalRevenue" localSheetId="19">IndexInformation!$B$12</definedName>
    <definedName name="NextYearTotalRevenueActual" localSheetId="19">IndexInformation!$B$33</definedName>
    <definedName name="ObjectType">IndexInformation!$B$37</definedName>
    <definedName name="OpMargin" localSheetId="18">OFFSET([0]!XRange2,5,0)</definedName>
    <definedName name="PANA" localSheetId="20">ModPubIndex!$A$11</definedName>
    <definedName name="PathName" localSheetId="19">IndexInformation!$B$25</definedName>
    <definedName name="Phase1NPVFCF" localSheetId="18">OFFSET([0]!XRange,39,0)</definedName>
    <definedName name="Phase2NPVFCF" localSheetId="18">OFFSET([0]!XRange,40,0)</definedName>
    <definedName name="Phase3NPVFCF" localSheetId="18">OFFSET([0]!XRange,41,0)</definedName>
    <definedName name="_xlnm.Print_Area" localSheetId="11">bal!$A$1:$AO$45</definedName>
    <definedName name="_xlnm.Print_Area" localSheetId="13">dtc!$A$1:$AB$61</definedName>
    <definedName name="_xlnm.Print_Area" localSheetId="2">Earnings!$A$1:$L$45</definedName>
    <definedName name="_xlnm.Print_Area" localSheetId="12">flow!$A$1:$AM$60</definedName>
    <definedName name="_xlnm.Print_Area" localSheetId="8">'qtrP&amp;L'!$A$1:$BV$215</definedName>
    <definedName name="_xlnm.Print_Area" localSheetId="6">qtrSales!$A$1:$AL$220</definedName>
    <definedName name="_xlnm.Print_Area" localSheetId="5">sumry!$B$1:$DV$65</definedName>
    <definedName name="_xlnm.Print_Area" localSheetId="15">turn!$A$1:$AH$142</definedName>
    <definedName name="_xlnm.Print_Area" localSheetId="1">Valuation!$B$3:$O$28</definedName>
    <definedName name="_xlnm.Print_Area" localSheetId="14">work!$A$1:$BJ$48</definedName>
    <definedName name="_xlnm.Print_Area" localSheetId="10">'yrP&amp;L'!$A$1:$AH$66</definedName>
    <definedName name="_xlnm.Print_Area" localSheetId="9">yrSales!$A$1:$AI$152</definedName>
    <definedName name="_xlnm.Print_Area">#REF!</definedName>
    <definedName name="_xlnm.Print_Titles" localSheetId="8">'qtrP&amp;L'!$1:$7</definedName>
    <definedName name="_xlnm.Print_Titles">#REF!</definedName>
    <definedName name="PRODUCT" localSheetId="20">ModPubIndex!$A$6</definedName>
    <definedName name="ProjectName" localSheetId="1">{"Client Name or Project Name"}</definedName>
    <definedName name="ProjectName">{"Client Name or Project Name"}</definedName>
    <definedName name="PSYM" localSheetId="20">ModPubIndex!$A$4</definedName>
    <definedName name="PublishDate" localSheetId="19">IndexInformation!$B$2</definedName>
    <definedName name="Rating" localSheetId="19">IndexInformation!$B$9</definedName>
    <definedName name="RatingsDefined" localSheetId="0">ImportantDisclosures!$A$21</definedName>
    <definedName name="RatingsDefs" localSheetId="0">ImportantDisclosures!#REF!</definedName>
    <definedName name="RegACDisclosure" localSheetId="0">ImportantDisclosures!#REF!</definedName>
    <definedName name="Rel_Forw" localSheetId="1">OFFSET(Date_Range,0,10,,1)</definedName>
    <definedName name="Rel_Forw">OFFSET(Date_Range,0,10,,1)</definedName>
    <definedName name="Rem_Bus_ROIC" localSheetId="18">OFFSET([0]!XRange,11,0)</definedName>
    <definedName name="ResearchTopic" localSheetId="19">IndexInformation!$B$4</definedName>
    <definedName name="RIC" localSheetId="19">IndexInformation!$B$21</definedName>
    <definedName name="rngAppName" localSheetId="18">'MWA Lease'!$A$1</definedName>
    <definedName name="rngCompany" localSheetId="18">'MWA Lease'!$F$6</definedName>
    <definedName name="rngTicker" localSheetId="18">'MWA Lease'!$I$3</definedName>
    <definedName name="RNOA_Print">#N/A</definedName>
    <definedName name="SECSettlement" localSheetId="0">ImportantDisclosures!#REF!</definedName>
    <definedName name="SEDOL" localSheetId="19">IndexInformation!$B$22</definedName>
    <definedName name="SedolTicker" localSheetId="18">'MWA Lease'!$F$4</definedName>
    <definedName name="SourceDefined" localSheetId="0">ImportantDisclosures!$A$19</definedName>
    <definedName name="StockRating" localSheetId="0">ImportantDisclosures!$A$11</definedName>
    <definedName name="SubjectCode" localSheetId="19">IndexInformation!$B$6</definedName>
    <definedName name="SubmitterUserId">IndexInformation!$B$39</definedName>
    <definedName name="SUPPRESSED" localSheetId="20">ModPubIndex!$A$13</definedName>
    <definedName name="TargetPrice" localSheetId="0">ImportantDisclosures!$A$15</definedName>
    <definedName name="TemplateRegion">IndexInformation!$B$36</definedName>
    <definedName name="Ticker" localSheetId="0">ImportantDisclosures!$A$10</definedName>
    <definedName name="TickerRegion">IndexInformation!$B$41</definedName>
    <definedName name="Tickers" localSheetId="19">IndexInformation!$B$19</definedName>
    <definedName name="Total_Bus_ROIC" localSheetId="18">OFFSET([0]!XRange,12,0)</definedName>
    <definedName name="TRSLTicker">"AEO.N"</definedName>
    <definedName name="Update_This">[3]!Update_This</definedName>
    <definedName name="UpdateReason" localSheetId="19">IndexInformation!$B$17</definedName>
    <definedName name="USRegDisclosures" localSheetId="0">ImportantDisclosures!#REF!</definedName>
    <definedName name="Version">"June 29, 2004"</definedName>
    <definedName name="WACC" localSheetId="18">OFFSET([0]!XRange,13,0)</definedName>
  </definedNames>
  <calcPr calcId="145621"/>
</workbook>
</file>

<file path=xl/calcChain.xml><?xml version="1.0" encoding="utf-8"?>
<calcChain xmlns="http://schemas.openxmlformats.org/spreadsheetml/2006/main">
  <c r="Q111" i="63" l="1"/>
  <c r="R111" i="63" s="1"/>
  <c r="S111" i="63" s="1"/>
  <c r="R69" i="63"/>
  <c r="R68" i="63"/>
  <c r="S68" i="63" s="1"/>
  <c r="S69" i="63"/>
  <c r="Q69" i="63"/>
  <c r="Q68" i="63"/>
  <c r="S110" i="63"/>
  <c r="R110" i="63"/>
  <c r="Q110" i="63"/>
  <c r="R63" i="63"/>
  <c r="S63" i="63"/>
  <c r="Q63" i="63"/>
  <c r="AY46" i="11"/>
  <c r="AW46" i="11"/>
  <c r="O27" i="66"/>
  <c r="T34" i="66"/>
  <c r="S34" i="66"/>
  <c r="T33" i="66"/>
  <c r="S33" i="66"/>
  <c r="T32" i="66"/>
  <c r="S32" i="66"/>
  <c r="T31" i="66"/>
  <c r="S31" i="66"/>
  <c r="G28" i="66"/>
  <c r="E28" i="66"/>
  <c r="C28" i="66"/>
  <c r="N26" i="66"/>
  <c r="N25" i="66"/>
  <c r="G25" i="66" l="1"/>
  <c r="E25" i="66"/>
  <c r="C25" i="66"/>
  <c r="G16" i="66"/>
  <c r="I16" i="66" s="1"/>
  <c r="K13" i="66"/>
  <c r="I13" i="66"/>
  <c r="G13" i="66"/>
  <c r="M13" i="66" s="1"/>
  <c r="N13" i="66" s="1"/>
  <c r="E13" i="66"/>
  <c r="C13" i="66"/>
  <c r="K9" i="66"/>
  <c r="I9" i="66"/>
  <c r="G9" i="66"/>
  <c r="G8" i="66"/>
  <c r="G10" i="66" s="1"/>
  <c r="G12" i="66" s="1"/>
  <c r="G14" i="66" s="1"/>
  <c r="G18" i="66" s="1"/>
  <c r="E9" i="66"/>
  <c r="E10" i="66" s="1"/>
  <c r="E8" i="66"/>
  <c r="C9" i="66"/>
  <c r="C10" i="66" s="1"/>
  <c r="C8" i="66"/>
  <c r="M9" i="66"/>
  <c r="N9" i="66" s="1"/>
  <c r="G6" i="66"/>
  <c r="E6" i="66"/>
  <c r="E12" i="66" s="1"/>
  <c r="E14" i="66" s="1"/>
  <c r="E18" i="66" s="1"/>
  <c r="C6" i="66"/>
  <c r="C12" i="66" s="1"/>
  <c r="C14" i="66" s="1"/>
  <c r="C18" i="66" s="1"/>
  <c r="G4" i="66"/>
  <c r="E4" i="66"/>
  <c r="C4" i="66"/>
  <c r="AA13" i="9"/>
  <c r="M16" i="66" l="1"/>
  <c r="N16" i="66" s="1"/>
  <c r="K16" i="66"/>
  <c r="M5" i="74" l="1"/>
  <c r="AU208" i="5" l="1"/>
  <c r="C215" i="5"/>
  <c r="CR180" i="7" l="1"/>
  <c r="CR179" i="7"/>
  <c r="CR178" i="7"/>
  <c r="AU32" i="11"/>
  <c r="AW88" i="10"/>
  <c r="AW87" i="10"/>
  <c r="AW86" i="10"/>
  <c r="AW85" i="10"/>
  <c r="AW84" i="10"/>
  <c r="AW40" i="10"/>
  <c r="AW24" i="10"/>
  <c r="AN59" i="13"/>
  <c r="AN53" i="13"/>
  <c r="AN47" i="13"/>
  <c r="AN35" i="13"/>
  <c r="AN29" i="13"/>
  <c r="AN32" i="13"/>
  <c r="CF43" i="21"/>
  <c r="CF37" i="21"/>
  <c r="CG37" i="21"/>
  <c r="CH37" i="21"/>
  <c r="CG31" i="21"/>
  <c r="CH31" i="21"/>
  <c r="CF31" i="21"/>
  <c r="CG25" i="21"/>
  <c r="CH25" i="21"/>
  <c r="CG19" i="21"/>
  <c r="CH19" i="21"/>
  <c r="CF19" i="21"/>
  <c r="Y73" i="9"/>
  <c r="X73" i="9"/>
  <c r="W73" i="9"/>
  <c r="V73" i="9"/>
  <c r="E202" i="5"/>
  <c r="X194" i="5"/>
  <c r="X201" i="5"/>
  <c r="X208" i="5"/>
  <c r="E209" i="5"/>
  <c r="E208" i="5"/>
  <c r="CO113" i="7"/>
  <c r="CN113" i="7"/>
  <c r="CO53" i="7"/>
  <c r="CO33" i="7"/>
  <c r="CO23" i="7"/>
  <c r="CO13" i="7"/>
  <c r="CX15" i="7"/>
  <c r="CX16" i="7"/>
  <c r="CX17" i="7"/>
  <c r="CX19" i="7"/>
  <c r="CX14" i="7"/>
  <c r="CX12" i="7"/>
  <c r="CX10" i="7"/>
  <c r="CX11" i="7"/>
  <c r="CX9" i="7"/>
  <c r="CG13" i="21"/>
  <c r="N4" i="74" s="1"/>
  <c r="F168" i="12"/>
  <c r="P83" i="63"/>
  <c r="P42" i="63"/>
  <c r="D40" i="59"/>
  <c r="D39" i="59"/>
  <c r="D38" i="59"/>
  <c r="D37" i="59"/>
  <c r="D36" i="59"/>
  <c r="D23" i="59"/>
  <c r="D18" i="59"/>
  <c r="D15" i="59"/>
  <c r="D10" i="59"/>
  <c r="D9" i="59"/>
  <c r="D6" i="59"/>
  <c r="D4" i="59"/>
  <c r="X5" i="9" l="1"/>
  <c r="Y5" i="8"/>
  <c r="CR177" i="7" l="1"/>
  <c r="Q149" i="72" l="1"/>
  <c r="R149" i="72" s="1"/>
  <c r="S149" i="72" s="1"/>
  <c r="T149" i="72" s="1"/>
  <c r="U149" i="72" s="1"/>
  <c r="V149" i="72" s="1"/>
  <c r="W149" i="72" s="1"/>
  <c r="O149" i="72"/>
  <c r="P149" i="72" s="1"/>
  <c r="N149" i="72"/>
  <c r="M149" i="72"/>
  <c r="L149" i="72"/>
  <c r="K149" i="72"/>
  <c r="J149" i="72"/>
  <c r="I149" i="72"/>
  <c r="H149" i="72"/>
  <c r="C132" i="72"/>
  <c r="C131" i="72"/>
  <c r="B131" i="72"/>
  <c r="B132" i="72" s="1"/>
  <c r="C130" i="72"/>
  <c r="C129" i="72"/>
  <c r="C128" i="72"/>
  <c r="C127" i="72"/>
  <c r="C126" i="72"/>
  <c r="C125" i="72"/>
  <c r="C124" i="72"/>
  <c r="C123" i="72"/>
  <c r="C122" i="72"/>
  <c r="C121" i="72"/>
  <c r="C120" i="72"/>
  <c r="C119" i="72"/>
  <c r="C118" i="72"/>
  <c r="C117" i="72"/>
  <c r="C116" i="72"/>
  <c r="C115" i="72"/>
  <c r="C114" i="72"/>
  <c r="C113" i="72"/>
  <c r="P116" i="72"/>
  <c r="O116" i="72"/>
  <c r="N116" i="72"/>
  <c r="M116" i="72"/>
  <c r="L116" i="72"/>
  <c r="K116" i="72"/>
  <c r="J116" i="72"/>
  <c r="P115" i="72"/>
  <c r="O115" i="72"/>
  <c r="N115" i="72"/>
  <c r="M115" i="72"/>
  <c r="L115" i="72"/>
  <c r="K115" i="72"/>
  <c r="J115" i="72"/>
  <c r="P114" i="72"/>
  <c r="O114" i="72"/>
  <c r="N114" i="72"/>
  <c r="M114" i="72"/>
  <c r="L114" i="72"/>
  <c r="K114" i="72"/>
  <c r="J114" i="72"/>
  <c r="P113" i="72"/>
  <c r="O113" i="72"/>
  <c r="N113" i="72"/>
  <c r="M113" i="72"/>
  <c r="L113" i="72"/>
  <c r="K113" i="72"/>
  <c r="J113" i="72"/>
  <c r="P112" i="72"/>
  <c r="O112" i="72"/>
  <c r="N112" i="72"/>
  <c r="M112" i="72"/>
  <c r="L112" i="72"/>
  <c r="K112" i="72"/>
  <c r="J112" i="72"/>
  <c r="P82" i="72"/>
  <c r="Q82" i="72" s="1"/>
  <c r="R82" i="72" s="1"/>
  <c r="O82" i="72"/>
  <c r="N82" i="72"/>
  <c r="M82" i="72"/>
  <c r="M83" i="72" s="1"/>
  <c r="L82" i="72"/>
  <c r="K82" i="72"/>
  <c r="J82" i="72"/>
  <c r="I82" i="72"/>
  <c r="I83" i="72" s="1"/>
  <c r="J118" i="72" l="1"/>
  <c r="K117" i="72"/>
  <c r="P117" i="72"/>
  <c r="N83" i="72"/>
  <c r="J83" i="72"/>
  <c r="K118" i="72" s="1"/>
  <c r="I84" i="72"/>
  <c r="O83" i="72"/>
  <c r="O84" i="72" s="1"/>
  <c r="J117" i="72"/>
  <c r="N117" i="72"/>
  <c r="K83" i="72"/>
  <c r="K84" i="72" s="1"/>
  <c r="N118" i="72"/>
  <c r="O117" i="72"/>
  <c r="M84" i="72"/>
  <c r="L117" i="72"/>
  <c r="S82" i="72"/>
  <c r="M117" i="72"/>
  <c r="L83" i="72"/>
  <c r="M118" i="72" s="1"/>
  <c r="P83" i="72"/>
  <c r="C133" i="72"/>
  <c r="B133" i="72"/>
  <c r="Q81" i="72"/>
  <c r="Q117" i="72" s="1"/>
  <c r="Q80" i="72"/>
  <c r="Q79" i="72"/>
  <c r="Q115" i="72" s="1"/>
  <c r="Q78" i="72"/>
  <c r="Q114" i="72" s="1"/>
  <c r="Q77" i="72"/>
  <c r="Q113" i="72" s="1"/>
  <c r="Q76" i="72"/>
  <c r="P72" i="72"/>
  <c r="O72" i="72"/>
  <c r="N72" i="72"/>
  <c r="M72" i="72"/>
  <c r="L72" i="72"/>
  <c r="K72" i="72"/>
  <c r="J72" i="72"/>
  <c r="I72" i="72"/>
  <c r="H72" i="72"/>
  <c r="P118" i="72" l="1"/>
  <c r="J84" i="72"/>
  <c r="I85" i="72"/>
  <c r="I86" i="72" s="1"/>
  <c r="R79" i="72"/>
  <c r="R115" i="72" s="1"/>
  <c r="L84" i="72"/>
  <c r="L118" i="72"/>
  <c r="J120" i="72"/>
  <c r="R78" i="72"/>
  <c r="M85" i="72"/>
  <c r="Q112" i="72"/>
  <c r="R76" i="72"/>
  <c r="R81" i="72"/>
  <c r="B134" i="72"/>
  <c r="C134" i="72"/>
  <c r="L119" i="72"/>
  <c r="J85" i="72"/>
  <c r="J86" i="72" s="1"/>
  <c r="N119" i="72"/>
  <c r="O118" i="72"/>
  <c r="N84" i="72"/>
  <c r="N85" i="72" s="1"/>
  <c r="O120" i="72" s="1"/>
  <c r="R77" i="72"/>
  <c r="Q116" i="72"/>
  <c r="R80" i="72"/>
  <c r="K119" i="72"/>
  <c r="K85" i="72"/>
  <c r="K86" i="72" s="1"/>
  <c r="P119" i="72"/>
  <c r="Q83" i="72"/>
  <c r="P84" i="72"/>
  <c r="P85" i="72" s="1"/>
  <c r="Q118" i="72"/>
  <c r="O85" i="72"/>
  <c r="O86" i="72" s="1"/>
  <c r="T82" i="72"/>
  <c r="J119" i="72"/>
  <c r="P66" i="72"/>
  <c r="O66" i="72"/>
  <c r="N66" i="72"/>
  <c r="M66" i="72"/>
  <c r="L66" i="72"/>
  <c r="K66" i="72"/>
  <c r="J66" i="72"/>
  <c r="I66" i="72"/>
  <c r="Q63" i="72"/>
  <c r="R63" i="72" s="1"/>
  <c r="S63" i="72" s="1"/>
  <c r="T63" i="72" s="1"/>
  <c r="U63" i="72" s="1"/>
  <c r="V63" i="72" s="1"/>
  <c r="W63" i="72" s="1"/>
  <c r="P63" i="72"/>
  <c r="O63" i="72"/>
  <c r="P64" i="72" s="1"/>
  <c r="N63" i="72"/>
  <c r="M63" i="72"/>
  <c r="M64" i="72" s="1"/>
  <c r="L63" i="72"/>
  <c r="K63" i="72"/>
  <c r="L64" i="72" s="1"/>
  <c r="J63" i="72"/>
  <c r="I63" i="72"/>
  <c r="I87" i="72" l="1"/>
  <c r="J122" i="72" s="1"/>
  <c r="K64" i="72"/>
  <c r="S79" i="72"/>
  <c r="S115" i="72" s="1"/>
  <c r="M119" i="72"/>
  <c r="N86" i="72"/>
  <c r="O121" i="72" s="1"/>
  <c r="L85" i="72"/>
  <c r="M120" i="72" s="1"/>
  <c r="O119" i="72"/>
  <c r="N64" i="72"/>
  <c r="J67" i="72"/>
  <c r="N67" i="72"/>
  <c r="O67" i="72"/>
  <c r="K67" i="72"/>
  <c r="L67" i="72"/>
  <c r="P67" i="72"/>
  <c r="M67" i="72"/>
  <c r="O64" i="72"/>
  <c r="J121" i="72"/>
  <c r="U82" i="72"/>
  <c r="P86" i="72"/>
  <c r="P87" i="72" s="1"/>
  <c r="Q119" i="72"/>
  <c r="R83" i="72"/>
  <c r="R118" i="72"/>
  <c r="P120" i="72"/>
  <c r="Q84" i="72"/>
  <c r="K121" i="72"/>
  <c r="N120" i="72"/>
  <c r="K87" i="72"/>
  <c r="K88" i="72" s="1"/>
  <c r="L120" i="72"/>
  <c r="J64" i="72"/>
  <c r="J87" i="72"/>
  <c r="J88" i="72" s="1"/>
  <c r="R116" i="72"/>
  <c r="S80" i="72"/>
  <c r="C135" i="72"/>
  <c r="B135" i="72"/>
  <c r="R114" i="72"/>
  <c r="S78" i="72"/>
  <c r="P121" i="72"/>
  <c r="Q85" i="72"/>
  <c r="R117" i="72"/>
  <c r="S81" i="72"/>
  <c r="M86" i="72"/>
  <c r="O87" i="72"/>
  <c r="R113" i="72"/>
  <c r="S77" i="72"/>
  <c r="K120" i="72"/>
  <c r="R112" i="72"/>
  <c r="S76" i="72"/>
  <c r="I88" i="72"/>
  <c r="P48" i="72"/>
  <c r="O48" i="72"/>
  <c r="N48" i="72"/>
  <c r="M48" i="72"/>
  <c r="L48" i="72"/>
  <c r="K48" i="72"/>
  <c r="J48" i="72"/>
  <c r="I48" i="72"/>
  <c r="S47" i="72"/>
  <c r="T47" i="72" s="1"/>
  <c r="U47" i="72" s="1"/>
  <c r="V47" i="72" s="1"/>
  <c r="W47" i="72" s="1"/>
  <c r="R47" i="72"/>
  <c r="Q47" i="72"/>
  <c r="O7" i="72"/>
  <c r="N7" i="72"/>
  <c r="M7" i="72" s="1"/>
  <c r="R7" i="72"/>
  <c r="S7" i="72" s="1"/>
  <c r="T7" i="72" s="1"/>
  <c r="U7" i="72" s="1"/>
  <c r="V7" i="72" s="1"/>
  <c r="W7" i="72" s="1"/>
  <c r="Q7" i="72"/>
  <c r="P5" i="72"/>
  <c r="O5" i="72"/>
  <c r="N5" i="72"/>
  <c r="H196" i="72"/>
  <c r="H78" i="72"/>
  <c r="N190" i="72"/>
  <c r="H80" i="72"/>
  <c r="G56" i="72"/>
  <c r="H76" i="72"/>
  <c r="H194" i="72"/>
  <c r="H77" i="72"/>
  <c r="P190" i="72"/>
  <c r="I4" i="72"/>
  <c r="H68" i="72"/>
  <c r="O190" i="72"/>
  <c r="H79" i="72"/>
  <c r="H195" i="72"/>
  <c r="H81" i="72"/>
  <c r="T79" i="72" l="1"/>
  <c r="U79" i="72" s="1"/>
  <c r="K122" i="72"/>
  <c r="L121" i="72"/>
  <c r="N87" i="72"/>
  <c r="O122" i="72" s="1"/>
  <c r="L86" i="72"/>
  <c r="O88" i="72"/>
  <c r="P123" i="72" s="1"/>
  <c r="J89" i="72"/>
  <c r="L87" i="72"/>
  <c r="L123" i="72" s="1"/>
  <c r="H117" i="72"/>
  <c r="I116" i="72"/>
  <c r="H116" i="72"/>
  <c r="I115" i="72"/>
  <c r="H115" i="72"/>
  <c r="I114" i="72"/>
  <c r="H114" i="72"/>
  <c r="I113" i="72"/>
  <c r="H113" i="72"/>
  <c r="I112" i="72"/>
  <c r="H112" i="72"/>
  <c r="H63" i="72"/>
  <c r="I64" i="72" s="1"/>
  <c r="H82" i="72"/>
  <c r="H66" i="72"/>
  <c r="I67" i="72" s="1"/>
  <c r="U9" i="72"/>
  <c r="Q9" i="72"/>
  <c r="M9" i="72"/>
  <c r="V9" i="72"/>
  <c r="T9" i="72"/>
  <c r="P9" i="72"/>
  <c r="N9" i="72"/>
  <c r="W9" i="72"/>
  <c r="S9" i="72"/>
  <c r="O9" i="72"/>
  <c r="R9" i="72"/>
  <c r="M5" i="72"/>
  <c r="L7" i="72"/>
  <c r="K124" i="72"/>
  <c r="T115" i="72"/>
  <c r="S114" i="72"/>
  <c r="T78" i="72"/>
  <c r="B136" i="72"/>
  <c r="C136" i="72"/>
  <c r="Q87" i="72"/>
  <c r="Q120" i="72"/>
  <c r="R84" i="72"/>
  <c r="K89" i="72"/>
  <c r="K90" i="72" s="1"/>
  <c r="S112" i="72"/>
  <c r="T76" i="72"/>
  <c r="Q121" i="72"/>
  <c r="R85" i="72"/>
  <c r="P122" i="72"/>
  <c r="Q86" i="72"/>
  <c r="P88" i="72"/>
  <c r="J90" i="72"/>
  <c r="J91" i="72" s="1"/>
  <c r="I89" i="72"/>
  <c r="I90" i="72" s="1"/>
  <c r="M87" i="72"/>
  <c r="S117" i="72"/>
  <c r="T81" i="72"/>
  <c r="O89" i="72"/>
  <c r="S116" i="72"/>
  <c r="T80" i="72"/>
  <c r="J123" i="72"/>
  <c r="V82" i="72"/>
  <c r="S113" i="72"/>
  <c r="T77" i="72"/>
  <c r="N121" i="72"/>
  <c r="K123" i="72"/>
  <c r="R119" i="72"/>
  <c r="S83" i="72"/>
  <c r="S118" i="72"/>
  <c r="H4" i="72"/>
  <c r="C4" i="72"/>
  <c r="M190" i="72"/>
  <c r="M122" i="72" l="1"/>
  <c r="O90" i="72"/>
  <c r="O91" i="72" s="1"/>
  <c r="J124" i="72"/>
  <c r="N88" i="72"/>
  <c r="O123" i="72" s="1"/>
  <c r="L88" i="72"/>
  <c r="L89" i="72" s="1"/>
  <c r="L125" i="72" s="1"/>
  <c r="M121" i="72"/>
  <c r="L122" i="72"/>
  <c r="P124" i="72"/>
  <c r="Q88" i="72"/>
  <c r="L5" i="72"/>
  <c r="K7" i="72"/>
  <c r="V74" i="72"/>
  <c r="V110" i="72" s="1"/>
  <c r="V147" i="72" s="1"/>
  <c r="V8" i="72"/>
  <c r="K126" i="72"/>
  <c r="T113" i="72"/>
  <c r="U77" i="72"/>
  <c r="P89" i="72"/>
  <c r="N122" i="72"/>
  <c r="M88" i="72"/>
  <c r="T112" i="72"/>
  <c r="U76" i="72"/>
  <c r="O187" i="72"/>
  <c r="O74" i="72"/>
  <c r="O110" i="72" s="1"/>
  <c r="O147" i="72" s="1"/>
  <c r="O8" i="72"/>
  <c r="Q74" i="72"/>
  <c r="Q110" i="72" s="1"/>
  <c r="Q147" i="72" s="1"/>
  <c r="Q8" i="72"/>
  <c r="R120" i="72"/>
  <c r="S84" i="72"/>
  <c r="C137" i="72"/>
  <c r="B137" i="72"/>
  <c r="S74" i="72"/>
  <c r="S110" i="72" s="1"/>
  <c r="S147" i="72" s="1"/>
  <c r="S8" i="72"/>
  <c r="L9" i="72"/>
  <c r="U74" i="72"/>
  <c r="U110" i="72" s="1"/>
  <c r="U147" i="72" s="1"/>
  <c r="U8" i="72"/>
  <c r="Q122" i="72"/>
  <c r="R86" i="72"/>
  <c r="K125" i="72"/>
  <c r="R74" i="72"/>
  <c r="R110" i="72" s="1"/>
  <c r="R147" i="72" s="1"/>
  <c r="R8" i="72"/>
  <c r="W74" i="72"/>
  <c r="W110" i="72" s="1"/>
  <c r="W147" i="72" s="1"/>
  <c r="W8" i="72"/>
  <c r="P187" i="72"/>
  <c r="P74" i="72"/>
  <c r="P110" i="72" s="1"/>
  <c r="P147" i="72" s="1"/>
  <c r="P8" i="72"/>
  <c r="T117" i="72"/>
  <c r="U81" i="72"/>
  <c r="P90" i="72"/>
  <c r="U115" i="72"/>
  <c r="V79" i="72"/>
  <c r="I91" i="72"/>
  <c r="S119" i="72"/>
  <c r="T83" i="72"/>
  <c r="T118" i="72"/>
  <c r="W82" i="72"/>
  <c r="T116" i="72"/>
  <c r="U80" i="72"/>
  <c r="R121" i="72"/>
  <c r="S85" i="72"/>
  <c r="J92" i="72"/>
  <c r="Q123" i="72"/>
  <c r="R87" i="72"/>
  <c r="T114" i="72"/>
  <c r="U78" i="72"/>
  <c r="J125" i="72"/>
  <c r="K91" i="72"/>
  <c r="N187" i="72"/>
  <c r="N74" i="72"/>
  <c r="N110" i="72" s="1"/>
  <c r="N147" i="72" s="1"/>
  <c r="N8" i="72"/>
  <c r="T74" i="72"/>
  <c r="T110" i="72" s="1"/>
  <c r="T147" i="72" s="1"/>
  <c r="T8" i="72"/>
  <c r="M187" i="72"/>
  <c r="M74" i="72"/>
  <c r="M110" i="72" s="1"/>
  <c r="M147" i="72" s="1"/>
  <c r="M8" i="72"/>
  <c r="I117" i="72"/>
  <c r="H118" i="72"/>
  <c r="H83" i="72"/>
  <c r="AD167" i="12"/>
  <c r="AB167" i="12"/>
  <c r="CF42" i="21"/>
  <c r="CF36" i="21"/>
  <c r="CG36" i="21"/>
  <c r="CH36" i="21"/>
  <c r="CG30" i="21"/>
  <c r="CH30" i="21"/>
  <c r="CF30" i="21"/>
  <c r="CG24" i="21"/>
  <c r="CH24" i="21"/>
  <c r="CG18" i="21"/>
  <c r="CH18" i="21"/>
  <c r="CF18" i="21"/>
  <c r="AN58" i="13"/>
  <c r="AN52" i="13"/>
  <c r="AN46" i="13"/>
  <c r="AN34" i="13"/>
  <c r="AN28" i="13"/>
  <c r="L190" i="72"/>
  <c r="M123" i="72" l="1"/>
  <c r="O92" i="72"/>
  <c r="O93" i="72" s="1"/>
  <c r="O94" i="72" s="1"/>
  <c r="O95" i="72" s="1"/>
  <c r="L124" i="72"/>
  <c r="L90" i="72"/>
  <c r="N89" i="72"/>
  <c r="K127" i="72"/>
  <c r="K92" i="72"/>
  <c r="K93" i="72" s="1"/>
  <c r="R123" i="72"/>
  <c r="S87" i="72"/>
  <c r="J126" i="72"/>
  <c r="P126" i="72"/>
  <c r="Q90" i="72"/>
  <c r="P91" i="72"/>
  <c r="J93" i="72"/>
  <c r="U116" i="72"/>
  <c r="V80" i="72"/>
  <c r="T119" i="72"/>
  <c r="U83" i="72"/>
  <c r="U118" i="72"/>
  <c r="I92" i="72"/>
  <c r="R122" i="72"/>
  <c r="S86" i="72"/>
  <c r="K5" i="72"/>
  <c r="J7" i="72"/>
  <c r="K9" i="72"/>
  <c r="Q124" i="72"/>
  <c r="R88" i="72"/>
  <c r="H119" i="72"/>
  <c r="I118" i="72"/>
  <c r="S121" i="72"/>
  <c r="T85" i="72"/>
  <c r="L187" i="72"/>
  <c r="L74" i="72"/>
  <c r="L110" i="72" s="1"/>
  <c r="L147" i="72" s="1"/>
  <c r="L8" i="72"/>
  <c r="B138" i="72"/>
  <c r="C138" i="72"/>
  <c r="U112" i="72"/>
  <c r="V76" i="72"/>
  <c r="P125" i="72"/>
  <c r="Q89" i="72"/>
  <c r="H84" i="72"/>
  <c r="M124" i="72"/>
  <c r="N123" i="72"/>
  <c r="M89" i="72"/>
  <c r="M90" i="72" s="1"/>
  <c r="M91" i="72" s="1"/>
  <c r="L126" i="72"/>
  <c r="U114" i="72"/>
  <c r="V78" i="72"/>
  <c r="V115" i="72"/>
  <c r="W79" i="72"/>
  <c r="U117" i="72"/>
  <c r="V81" i="72"/>
  <c r="S120" i="72"/>
  <c r="T84" i="72"/>
  <c r="U113" i="72"/>
  <c r="V77" i="72"/>
  <c r="L91" i="72"/>
  <c r="L127" i="72" s="1"/>
  <c r="F167" i="12"/>
  <c r="K190" i="72"/>
  <c r="W115" i="72" l="1"/>
  <c r="O124" i="72"/>
  <c r="N90" i="72"/>
  <c r="K94" i="72"/>
  <c r="K95" i="72" s="1"/>
  <c r="O96" i="72"/>
  <c r="V117" i="72"/>
  <c r="W81" i="72"/>
  <c r="W117" i="72" s="1"/>
  <c r="H120" i="72"/>
  <c r="I119" i="72"/>
  <c r="Q125" i="72"/>
  <c r="R89" i="72"/>
  <c r="V112" i="72"/>
  <c r="W76" i="72"/>
  <c r="W112" i="72" s="1"/>
  <c r="V113" i="72"/>
  <c r="W77" i="72"/>
  <c r="W113" i="72" s="1"/>
  <c r="T120" i="72"/>
  <c r="U84" i="72"/>
  <c r="M125" i="72"/>
  <c r="N124" i="72"/>
  <c r="R124" i="72"/>
  <c r="S88" i="72"/>
  <c r="P127" i="72"/>
  <c r="Q91" i="72"/>
  <c r="P92" i="72"/>
  <c r="T121" i="72"/>
  <c r="U85" i="72"/>
  <c r="S122" i="72"/>
  <c r="T86" i="72"/>
  <c r="V116" i="72"/>
  <c r="W80" i="72"/>
  <c r="W116" i="72" s="1"/>
  <c r="Q126" i="72"/>
  <c r="R90" i="72"/>
  <c r="T87" i="72"/>
  <c r="S123" i="72"/>
  <c r="M126" i="72"/>
  <c r="N125" i="72"/>
  <c r="K187" i="72"/>
  <c r="K74" i="72"/>
  <c r="K110" i="72" s="1"/>
  <c r="K147" i="72" s="1"/>
  <c r="K8" i="72"/>
  <c r="U119" i="72"/>
  <c r="V83" i="72"/>
  <c r="V118" i="72"/>
  <c r="J94" i="72"/>
  <c r="K129" i="72" s="1"/>
  <c r="K128" i="72"/>
  <c r="C139" i="72"/>
  <c r="B139" i="72"/>
  <c r="M92" i="72"/>
  <c r="V114" i="72"/>
  <c r="W78" i="72"/>
  <c r="W114" i="72" s="1"/>
  <c r="I7" i="72"/>
  <c r="J5" i="72"/>
  <c r="J9" i="72"/>
  <c r="J127" i="72"/>
  <c r="I93" i="72"/>
  <c r="H85" i="72"/>
  <c r="L92" i="72"/>
  <c r="AA40" i="59"/>
  <c r="Z40" i="59"/>
  <c r="Y40" i="59"/>
  <c r="AA39" i="59"/>
  <c r="Z39" i="59"/>
  <c r="Y39" i="59"/>
  <c r="AA38" i="59"/>
  <c r="Z38" i="59"/>
  <c r="Y38" i="59"/>
  <c r="AA37" i="59"/>
  <c r="Z37" i="59"/>
  <c r="Y37" i="59"/>
  <c r="AA36" i="59"/>
  <c r="Z36" i="59"/>
  <c r="Y36" i="59"/>
  <c r="N35" i="59"/>
  <c r="AA33" i="59"/>
  <c r="Z33" i="59"/>
  <c r="Y33" i="59"/>
  <c r="AA32" i="59"/>
  <c r="Z32" i="59"/>
  <c r="Y32" i="59"/>
  <c r="AA31" i="59"/>
  <c r="Z31" i="59"/>
  <c r="Y31" i="59"/>
  <c r="AA30" i="59"/>
  <c r="Z30" i="59"/>
  <c r="Y30" i="59"/>
  <c r="AA29" i="59"/>
  <c r="Z29" i="59"/>
  <c r="Y29" i="59"/>
  <c r="AA26" i="59"/>
  <c r="Z26" i="59"/>
  <c r="Y26" i="59"/>
  <c r="J190" i="72"/>
  <c r="F22" i="59"/>
  <c r="N126" i="72" l="1"/>
  <c r="O125" i="72"/>
  <c r="N91" i="72"/>
  <c r="O126" i="72" s="1"/>
  <c r="I5" i="72"/>
  <c r="H7" i="72"/>
  <c r="I9" i="72"/>
  <c r="H121" i="72"/>
  <c r="I120" i="72"/>
  <c r="P128" i="72"/>
  <c r="Q92" i="72"/>
  <c r="P93" i="72"/>
  <c r="J187" i="72"/>
  <c r="J74" i="72"/>
  <c r="J110" i="72" s="1"/>
  <c r="J147" i="72" s="1"/>
  <c r="J8" i="72"/>
  <c r="T123" i="72"/>
  <c r="U87" i="72"/>
  <c r="T122" i="72"/>
  <c r="U86" i="72"/>
  <c r="R125" i="72"/>
  <c r="S89" i="72"/>
  <c r="O97" i="72"/>
  <c r="L128" i="72"/>
  <c r="L93" i="72"/>
  <c r="M128" i="72" s="1"/>
  <c r="R126" i="72"/>
  <c r="S90" i="72"/>
  <c r="M93" i="72"/>
  <c r="K96" i="72"/>
  <c r="U121" i="72"/>
  <c r="V85" i="72"/>
  <c r="Q127" i="72"/>
  <c r="R91" i="72"/>
  <c r="S124" i="72"/>
  <c r="T88" i="72"/>
  <c r="U120" i="72"/>
  <c r="V84" i="72"/>
  <c r="I94" i="72"/>
  <c r="J128" i="72"/>
  <c r="J95" i="72"/>
  <c r="V119" i="72"/>
  <c r="W83" i="72"/>
  <c r="W118" i="72"/>
  <c r="B140" i="72"/>
  <c r="C140" i="72"/>
  <c r="H86" i="72"/>
  <c r="M127" i="72"/>
  <c r="AA23" i="59"/>
  <c r="Z23" i="59"/>
  <c r="Y23" i="59"/>
  <c r="AA22" i="59"/>
  <c r="Z22" i="59"/>
  <c r="Y22" i="59"/>
  <c r="AA20" i="59"/>
  <c r="Z20" i="59"/>
  <c r="Y20" i="59"/>
  <c r="I190" i="72"/>
  <c r="I191" i="72"/>
  <c r="F20" i="59"/>
  <c r="N127" i="72" l="1"/>
  <c r="N92" i="72"/>
  <c r="N93" i="72" s="1"/>
  <c r="O128" i="72" s="1"/>
  <c r="J96" i="72"/>
  <c r="T124" i="72"/>
  <c r="U88" i="72"/>
  <c r="U122" i="72"/>
  <c r="V86" i="72"/>
  <c r="C141" i="72"/>
  <c r="B141" i="72"/>
  <c r="I95" i="72"/>
  <c r="J129" i="72"/>
  <c r="V121" i="72"/>
  <c r="W85" i="72"/>
  <c r="M129" i="72"/>
  <c r="M94" i="72"/>
  <c r="L129" i="72"/>
  <c r="L94" i="72"/>
  <c r="K130" i="72"/>
  <c r="P129" i="72"/>
  <c r="Q93" i="72"/>
  <c r="P94" i="72"/>
  <c r="Q128" i="72"/>
  <c r="R92" i="72"/>
  <c r="R127" i="72"/>
  <c r="S91" i="72"/>
  <c r="K97" i="72"/>
  <c r="S126" i="72"/>
  <c r="T90" i="72"/>
  <c r="S125" i="72"/>
  <c r="T89" i="72"/>
  <c r="I187" i="72"/>
  <c r="I74" i="72"/>
  <c r="I110" i="72" s="1"/>
  <c r="I147" i="72" s="1"/>
  <c r="I8" i="72"/>
  <c r="H122" i="72"/>
  <c r="I121" i="72"/>
  <c r="O98" i="72"/>
  <c r="U123" i="72"/>
  <c r="V87" i="72"/>
  <c r="W119" i="72"/>
  <c r="V120" i="72"/>
  <c r="W84" i="72"/>
  <c r="W120" i="72" s="1"/>
  <c r="H87" i="72"/>
  <c r="H5" i="72"/>
  <c r="H9" i="72"/>
  <c r="F23" i="59"/>
  <c r="AA18" i="59"/>
  <c r="Z18" i="59"/>
  <c r="Y18" i="59"/>
  <c r="H190" i="72"/>
  <c r="F16" i="59"/>
  <c r="N94" i="72" l="1"/>
  <c r="N95" i="72" s="1"/>
  <c r="N128" i="72"/>
  <c r="O127" i="72"/>
  <c r="H123" i="72"/>
  <c r="I122" i="72"/>
  <c r="T125" i="72"/>
  <c r="U89" i="72"/>
  <c r="H88" i="72"/>
  <c r="H89" i="72" s="1"/>
  <c r="P130" i="72"/>
  <c r="Q94" i="72"/>
  <c r="P95" i="72"/>
  <c r="V123" i="72"/>
  <c r="W87" i="72"/>
  <c r="T126" i="72"/>
  <c r="U90" i="72"/>
  <c r="T91" i="72"/>
  <c r="S127" i="72"/>
  <c r="R128" i="72"/>
  <c r="S92" i="72"/>
  <c r="Q129" i="72"/>
  <c r="R93" i="72"/>
  <c r="L130" i="72"/>
  <c r="L95" i="72"/>
  <c r="W121" i="72"/>
  <c r="I96" i="72"/>
  <c r="J130" i="72"/>
  <c r="U124" i="72"/>
  <c r="V88" i="72"/>
  <c r="J97" i="72"/>
  <c r="K131" i="72"/>
  <c r="V122" i="72"/>
  <c r="W86" i="72"/>
  <c r="N96" i="72"/>
  <c r="O130" i="72"/>
  <c r="H187" i="72"/>
  <c r="H74" i="72"/>
  <c r="H110" i="72" s="1"/>
  <c r="H147" i="72" s="1"/>
  <c r="C155" i="72" s="1" a="1"/>
  <c r="H8" i="72"/>
  <c r="M95" i="72"/>
  <c r="N129" i="72"/>
  <c r="K98" i="72"/>
  <c r="O99" i="72"/>
  <c r="F18" i="59"/>
  <c r="F32" i="59" s="1"/>
  <c r="AA16" i="59"/>
  <c r="Z16" i="59"/>
  <c r="Y16" i="59"/>
  <c r="AA15" i="59"/>
  <c r="Z15" i="59"/>
  <c r="Y15" i="59"/>
  <c r="AA13" i="59"/>
  <c r="Z13" i="59"/>
  <c r="Y13" i="59"/>
  <c r="F13" i="59"/>
  <c r="O129" i="72" l="1"/>
  <c r="K99" i="72"/>
  <c r="J98" i="72"/>
  <c r="K132" i="72"/>
  <c r="L131" i="72"/>
  <c r="L96" i="72"/>
  <c r="S128" i="72"/>
  <c r="T92" i="72"/>
  <c r="T127" i="72"/>
  <c r="U91" i="72"/>
  <c r="U125" i="72"/>
  <c r="V89" i="72"/>
  <c r="O100" i="72"/>
  <c r="M130" i="72"/>
  <c r="C167" i="72"/>
  <c r="C163" i="72"/>
  <c r="C159" i="72"/>
  <c r="C155" i="72"/>
  <c r="C166" i="72"/>
  <c r="C162" i="72"/>
  <c r="C158" i="72"/>
  <c r="C169" i="72"/>
  <c r="C165" i="72"/>
  <c r="C161" i="72"/>
  <c r="C157" i="72"/>
  <c r="C168" i="72"/>
  <c r="C164" i="72"/>
  <c r="C160" i="72"/>
  <c r="C156" i="72"/>
  <c r="I97" i="72"/>
  <c r="J131" i="72"/>
  <c r="U126" i="72"/>
  <c r="V90" i="72"/>
  <c r="M96" i="72"/>
  <c r="N130" i="72"/>
  <c r="H125" i="72"/>
  <c r="I124" i="72"/>
  <c r="H90" i="72"/>
  <c r="R129" i="72"/>
  <c r="S93" i="72"/>
  <c r="P131" i="72"/>
  <c r="Q95" i="72"/>
  <c r="P96" i="72"/>
  <c r="H124" i="72"/>
  <c r="I123" i="72"/>
  <c r="N97" i="72"/>
  <c r="O131" i="72"/>
  <c r="V124" i="72"/>
  <c r="W88" i="72"/>
  <c r="F5" i="72"/>
  <c r="W122" i="72"/>
  <c r="W123" i="72"/>
  <c r="Q130" i="72"/>
  <c r="R94" i="72"/>
  <c r="F15" i="59"/>
  <c r="AA11" i="59"/>
  <c r="Z11" i="59"/>
  <c r="Y11" i="59"/>
  <c r="F8" i="59"/>
  <c r="W124" i="72" l="1"/>
  <c r="H30" i="72"/>
  <c r="P132" i="72"/>
  <c r="Q96" i="72"/>
  <c r="P97" i="72"/>
  <c r="Q131" i="72"/>
  <c r="R95" i="72"/>
  <c r="Q68" i="72"/>
  <c r="Q66" i="72" s="1"/>
  <c r="Q67" i="72" s="1"/>
  <c r="H126" i="72"/>
  <c r="I125" i="72"/>
  <c r="H91" i="72"/>
  <c r="M97" i="72"/>
  <c r="N131" i="72"/>
  <c r="U127" i="72"/>
  <c r="V91" i="72"/>
  <c r="L132" i="72"/>
  <c r="L97" i="72"/>
  <c r="M132" i="72" s="1"/>
  <c r="H35" i="72"/>
  <c r="N11" i="72"/>
  <c r="P11" i="72"/>
  <c r="U11" i="72"/>
  <c r="Q11" i="72"/>
  <c r="S11" i="72"/>
  <c r="W11" i="72"/>
  <c r="O11" i="72"/>
  <c r="M11" i="72"/>
  <c r="T11" i="72"/>
  <c r="R11" i="72"/>
  <c r="V11" i="72"/>
  <c r="L11" i="72"/>
  <c r="K11" i="72"/>
  <c r="J11" i="72"/>
  <c r="I11" i="72"/>
  <c r="M131" i="72"/>
  <c r="I98" i="72"/>
  <c r="J132" i="72"/>
  <c r="K100" i="72"/>
  <c r="N98" i="72"/>
  <c r="O132" i="72"/>
  <c r="S129" i="72"/>
  <c r="T93" i="72"/>
  <c r="V126" i="72"/>
  <c r="W90" i="72"/>
  <c r="W126" i="72" s="1"/>
  <c r="V125" i="72"/>
  <c r="W89" i="72"/>
  <c r="T128" i="72"/>
  <c r="U92" i="72"/>
  <c r="R130" i="72"/>
  <c r="S94" i="72"/>
  <c r="O101" i="72"/>
  <c r="J99" i="72"/>
  <c r="K133" i="72"/>
  <c r="F11" i="59"/>
  <c r="AA8" i="59"/>
  <c r="Z8" i="59"/>
  <c r="Y8" i="59"/>
  <c r="AA6" i="59"/>
  <c r="Z6" i="59"/>
  <c r="Y6" i="59"/>
  <c r="F4" i="59"/>
  <c r="U128" i="72" l="1"/>
  <c r="V92" i="72"/>
  <c r="T129" i="72"/>
  <c r="U93" i="72"/>
  <c r="N31" i="72"/>
  <c r="M98" i="72"/>
  <c r="N132" i="72"/>
  <c r="J100" i="72"/>
  <c r="K134" i="72"/>
  <c r="S130" i="72"/>
  <c r="T94" i="72"/>
  <c r="K101" i="72"/>
  <c r="I99" i="72"/>
  <c r="J133" i="72"/>
  <c r="I31" i="72"/>
  <c r="K31" i="72"/>
  <c r="L31" i="72"/>
  <c r="V31" i="72"/>
  <c r="T31" i="72"/>
  <c r="Q31" i="72"/>
  <c r="U31" i="72"/>
  <c r="P31" i="72"/>
  <c r="V127" i="72"/>
  <c r="W91" i="72"/>
  <c r="P133" i="72"/>
  <c r="Q97" i="72"/>
  <c r="P98" i="72"/>
  <c r="J31" i="72"/>
  <c r="M31" i="72"/>
  <c r="R31" i="72"/>
  <c r="H127" i="72"/>
  <c r="I126" i="72"/>
  <c r="H92" i="72"/>
  <c r="R131" i="72"/>
  <c r="S95" i="72"/>
  <c r="R68" i="72"/>
  <c r="R66" i="72" s="1"/>
  <c r="R67" i="72" s="1"/>
  <c r="Q132" i="72"/>
  <c r="R96" i="72"/>
  <c r="O102" i="72"/>
  <c r="W125" i="72"/>
  <c r="N99" i="72"/>
  <c r="O133" i="72"/>
  <c r="O31" i="72"/>
  <c r="W31" i="72"/>
  <c r="S31" i="72"/>
  <c r="L133" i="72"/>
  <c r="L98" i="72"/>
  <c r="F28" i="59"/>
  <c r="F33" i="59"/>
  <c r="F31" i="59"/>
  <c r="F30" i="59"/>
  <c r="F26" i="59"/>
  <c r="F6" i="59"/>
  <c r="F29" i="59"/>
  <c r="F9" i="59"/>
  <c r="F27" i="59" s="1"/>
  <c r="D11" i="59"/>
  <c r="D8" i="59"/>
  <c r="AA4" i="59"/>
  <c r="Z4" i="59"/>
  <c r="Y4" i="59"/>
  <c r="Z3" i="59"/>
  <c r="Y3" i="59"/>
  <c r="W3" i="59"/>
  <c r="AA3" i="59" s="1"/>
  <c r="V3" i="59"/>
  <c r="U3" i="59"/>
  <c r="I3" i="59"/>
  <c r="H3" i="59"/>
  <c r="P1" i="59"/>
  <c r="W127" i="72" l="1"/>
  <c r="N100" i="72"/>
  <c r="O134" i="72"/>
  <c r="T95" i="72"/>
  <c r="S131" i="72"/>
  <c r="S68" i="72"/>
  <c r="S66" i="72" s="1"/>
  <c r="S67" i="72" s="1"/>
  <c r="R132" i="72"/>
  <c r="S96" i="72"/>
  <c r="I100" i="72"/>
  <c r="J134" i="72"/>
  <c r="T130" i="72"/>
  <c r="U94" i="72"/>
  <c r="H128" i="72"/>
  <c r="I127" i="72"/>
  <c r="H93" i="72"/>
  <c r="P134" i="72"/>
  <c r="Q98" i="72"/>
  <c r="P99" i="72"/>
  <c r="V128" i="72"/>
  <c r="W92" i="72"/>
  <c r="O103" i="72"/>
  <c r="Q133" i="72"/>
  <c r="R97" i="72"/>
  <c r="K102" i="72"/>
  <c r="M99" i="72"/>
  <c r="N133" i="72"/>
  <c r="L134" i="72"/>
  <c r="L99" i="72"/>
  <c r="J101" i="72"/>
  <c r="K135" i="72"/>
  <c r="M133" i="72"/>
  <c r="U129" i="72"/>
  <c r="V93" i="72"/>
  <c r="D26" i="59"/>
  <c r="D13" i="59"/>
  <c r="D29" i="59"/>
  <c r="D27" i="59"/>
  <c r="F38" i="59"/>
  <c r="D28" i="59"/>
  <c r="F36" i="59"/>
  <c r="V129" i="72" l="1"/>
  <c r="W93" i="72"/>
  <c r="J102" i="72"/>
  <c r="K136" i="72"/>
  <c r="L135" i="72"/>
  <c r="L100" i="72"/>
  <c r="M134" i="72"/>
  <c r="W128" i="72"/>
  <c r="H129" i="72"/>
  <c r="I128" i="72"/>
  <c r="H94" i="72"/>
  <c r="S132" i="72"/>
  <c r="T96" i="72"/>
  <c r="T131" i="72"/>
  <c r="U95" i="72"/>
  <c r="T68" i="72"/>
  <c r="T66" i="72" s="1"/>
  <c r="T67" i="72" s="1"/>
  <c r="K103" i="72"/>
  <c r="O104" i="72"/>
  <c r="P135" i="72"/>
  <c r="Q99" i="72"/>
  <c r="P100" i="72"/>
  <c r="Q134" i="72"/>
  <c r="R98" i="72"/>
  <c r="I101" i="72"/>
  <c r="J135" i="72"/>
  <c r="N101" i="72"/>
  <c r="O135" i="72"/>
  <c r="M135" i="72"/>
  <c r="M100" i="72"/>
  <c r="N134" i="72"/>
  <c r="R133" i="72"/>
  <c r="S97" i="72"/>
  <c r="U130" i="72"/>
  <c r="V94" i="72"/>
  <c r="D30" i="59"/>
  <c r="D16" i="59"/>
  <c r="F39" i="59"/>
  <c r="T132" i="72" l="1"/>
  <c r="U96" i="72"/>
  <c r="L136" i="72"/>
  <c r="L101" i="72"/>
  <c r="V130" i="72"/>
  <c r="W94" i="72"/>
  <c r="M101" i="72"/>
  <c r="N135" i="72"/>
  <c r="I102" i="72"/>
  <c r="J136" i="72"/>
  <c r="O105" i="72"/>
  <c r="W129" i="72"/>
  <c r="S133" i="72"/>
  <c r="T97" i="72"/>
  <c r="N102" i="72"/>
  <c r="O136" i="72"/>
  <c r="P136" i="72"/>
  <c r="Q100" i="72"/>
  <c r="P101" i="72"/>
  <c r="U131" i="72"/>
  <c r="V95" i="72"/>
  <c r="U68" i="72"/>
  <c r="U66" i="72" s="1"/>
  <c r="U67" i="72" s="1"/>
  <c r="H130" i="72"/>
  <c r="I129" i="72"/>
  <c r="H95" i="72"/>
  <c r="H33" i="72" s="1"/>
  <c r="R134" i="72"/>
  <c r="S98" i="72"/>
  <c r="Q135" i="72"/>
  <c r="R99" i="72"/>
  <c r="K104" i="72"/>
  <c r="J103" i="72"/>
  <c r="K137" i="72"/>
  <c r="D31" i="59"/>
  <c r="D20" i="59"/>
  <c r="D32" i="59"/>
  <c r="W130" i="72" l="1"/>
  <c r="I29" i="72"/>
  <c r="H24" i="72"/>
  <c r="Q136" i="72"/>
  <c r="R100" i="72"/>
  <c r="K105" i="72"/>
  <c r="S134" i="72"/>
  <c r="T98" i="72"/>
  <c r="H131" i="72"/>
  <c r="I130" i="72"/>
  <c r="H96" i="72"/>
  <c r="V131" i="72"/>
  <c r="W95" i="72"/>
  <c r="V68" i="72"/>
  <c r="V66" i="72" s="1"/>
  <c r="V67" i="72" s="1"/>
  <c r="T133" i="72"/>
  <c r="U97" i="72"/>
  <c r="M102" i="72"/>
  <c r="N136" i="72"/>
  <c r="L137" i="72"/>
  <c r="L102" i="72"/>
  <c r="J104" i="72"/>
  <c r="K138" i="72"/>
  <c r="R135" i="72"/>
  <c r="S99" i="72"/>
  <c r="P137" i="72"/>
  <c r="Q101" i="72"/>
  <c r="P102" i="72"/>
  <c r="N103" i="72"/>
  <c r="O137" i="72"/>
  <c r="I103" i="72"/>
  <c r="J137" i="72"/>
  <c r="M136" i="72"/>
  <c r="O106" i="72"/>
  <c r="U132" i="72"/>
  <c r="V96" i="72"/>
  <c r="D33" i="59"/>
  <c r="D22" i="59"/>
  <c r="F40" i="59" s="1"/>
  <c r="I21" i="72" l="1"/>
  <c r="H153" i="72"/>
  <c r="H154" i="72"/>
  <c r="H37" i="72"/>
  <c r="N104" i="72"/>
  <c r="O138" i="72"/>
  <c r="J105" i="72"/>
  <c r="K139" i="72"/>
  <c r="H132" i="72"/>
  <c r="I131" i="72"/>
  <c r="H97" i="72"/>
  <c r="R136" i="72"/>
  <c r="S100" i="72"/>
  <c r="I104" i="72"/>
  <c r="J138" i="72"/>
  <c r="T99" i="72"/>
  <c r="S135" i="72"/>
  <c r="M103" i="72"/>
  <c r="N137" i="72"/>
  <c r="K106" i="72"/>
  <c r="V132" i="72"/>
  <c r="W96" i="72"/>
  <c r="P138" i="72"/>
  <c r="Q102" i="72"/>
  <c r="P103" i="72"/>
  <c r="L138" i="72"/>
  <c r="L103" i="72"/>
  <c r="M138" i="72" s="1"/>
  <c r="M137" i="72"/>
  <c r="W131" i="72"/>
  <c r="W68" i="72"/>
  <c r="W66" i="72" s="1"/>
  <c r="W67" i="72" s="1"/>
  <c r="Q137" i="72"/>
  <c r="R101" i="72"/>
  <c r="U133" i="72"/>
  <c r="V97" i="72"/>
  <c r="T134" i="72"/>
  <c r="U98" i="72"/>
  <c r="I154" i="72" l="1"/>
  <c r="J154" i="72" s="1"/>
  <c r="H171" i="72"/>
  <c r="H133" i="72"/>
  <c r="H98" i="72"/>
  <c r="I132" i="72"/>
  <c r="V133" i="72"/>
  <c r="W97" i="72"/>
  <c r="L139" i="72"/>
  <c r="L104" i="72"/>
  <c r="M139" i="72" s="1"/>
  <c r="I105" i="72"/>
  <c r="J139" i="72"/>
  <c r="U134" i="72"/>
  <c r="V98" i="72"/>
  <c r="R137" i="72"/>
  <c r="S101" i="72"/>
  <c r="P139" i="72"/>
  <c r="Q103" i="72"/>
  <c r="P104" i="72"/>
  <c r="W132" i="72"/>
  <c r="T135" i="72"/>
  <c r="U99" i="72"/>
  <c r="S136" i="72"/>
  <c r="T100" i="72"/>
  <c r="Q138" i="72"/>
  <c r="R102" i="72"/>
  <c r="M104" i="72"/>
  <c r="N138" i="72"/>
  <c r="N105" i="72"/>
  <c r="O139" i="72"/>
  <c r="J106" i="72"/>
  <c r="K141" i="72" s="1"/>
  <c r="K140" i="72"/>
  <c r="K154" i="72" l="1"/>
  <c r="L154" i="72" s="1"/>
  <c r="I106" i="72"/>
  <c r="J141" i="72" s="1"/>
  <c r="J140" i="72"/>
  <c r="K143" i="72"/>
  <c r="R138" i="72"/>
  <c r="S102" i="72"/>
  <c r="U135" i="72"/>
  <c r="V99" i="72"/>
  <c r="Q139" i="72"/>
  <c r="R103" i="72"/>
  <c r="V134" i="72"/>
  <c r="W98" i="72"/>
  <c r="W134" i="72" s="1"/>
  <c r="W133" i="72"/>
  <c r="N106" i="72"/>
  <c r="O141" i="72" s="1"/>
  <c r="O140" i="72"/>
  <c r="M105" i="72"/>
  <c r="N139" i="72"/>
  <c r="T136" i="72"/>
  <c r="U100" i="72"/>
  <c r="S137" i="72"/>
  <c r="T101" i="72"/>
  <c r="H134" i="72"/>
  <c r="H99" i="72"/>
  <c r="I133" i="72"/>
  <c r="P140" i="72"/>
  <c r="Q104" i="72"/>
  <c r="P105" i="72"/>
  <c r="L140" i="72"/>
  <c r="L105" i="72"/>
  <c r="M154" i="72" l="1"/>
  <c r="N154" i="72" s="1"/>
  <c r="O154" i="72" s="1"/>
  <c r="O143" i="72"/>
  <c r="O153" i="72" s="1"/>
  <c r="Q140" i="72"/>
  <c r="R104" i="72"/>
  <c r="V135" i="72"/>
  <c r="W99" i="72"/>
  <c r="K153" i="72"/>
  <c r="K54" i="72"/>
  <c r="K22" i="72"/>
  <c r="L141" i="72"/>
  <c r="L143" i="72" s="1"/>
  <c r="L106" i="72"/>
  <c r="M141" i="72" s="1"/>
  <c r="T137" i="72"/>
  <c r="U101" i="72"/>
  <c r="M106" i="72"/>
  <c r="N141" i="72" s="1"/>
  <c r="N140" i="72"/>
  <c r="R139" i="72"/>
  <c r="S103" i="72"/>
  <c r="S138" i="72"/>
  <c r="T102" i="72"/>
  <c r="J143" i="72"/>
  <c r="P141" i="72"/>
  <c r="P143" i="72" s="1"/>
  <c r="Q105" i="72"/>
  <c r="P106" i="72"/>
  <c r="Q106" i="72" s="1"/>
  <c r="R106" i="72" s="1"/>
  <c r="S106" i="72" s="1"/>
  <c r="T106" i="72" s="1"/>
  <c r="U106" i="72" s="1"/>
  <c r="V106" i="72" s="1"/>
  <c r="W106" i="72" s="1"/>
  <c r="H135" i="72"/>
  <c r="H100" i="72"/>
  <c r="I134" i="72"/>
  <c r="U136" i="72"/>
  <c r="V100" i="72"/>
  <c r="M140" i="72"/>
  <c r="P154" i="72" l="1"/>
  <c r="Q154" i="72" s="1"/>
  <c r="O22" i="72"/>
  <c r="O32" i="72" s="1"/>
  <c r="O54" i="72"/>
  <c r="O51" i="72" s="1"/>
  <c r="Q141" i="72"/>
  <c r="Q143" i="72" s="1"/>
  <c r="R105" i="72"/>
  <c r="U137" i="72"/>
  <c r="V101" i="72"/>
  <c r="K157" i="72"/>
  <c r="K32" i="72"/>
  <c r="H136" i="72"/>
  <c r="H101" i="72"/>
  <c r="I135" i="72"/>
  <c r="P153" i="72"/>
  <c r="P54" i="72"/>
  <c r="P22" i="72"/>
  <c r="S139" i="72"/>
  <c r="T103" i="72"/>
  <c r="K59" i="72"/>
  <c r="K60" i="72" s="1"/>
  <c r="K51" i="72"/>
  <c r="V136" i="72"/>
  <c r="W100" i="72"/>
  <c r="J153" i="72"/>
  <c r="J54" i="72"/>
  <c r="J22" i="72"/>
  <c r="N143" i="72"/>
  <c r="T138" i="72"/>
  <c r="U102" i="72"/>
  <c r="M143" i="72"/>
  <c r="L153" i="72"/>
  <c r="L54" i="72"/>
  <c r="L22" i="72"/>
  <c r="W135" i="72"/>
  <c r="R140" i="72"/>
  <c r="S104" i="72"/>
  <c r="O59" i="72" l="1"/>
  <c r="O60" i="72" s="1"/>
  <c r="O161" i="72"/>
  <c r="P161" i="72" s="1"/>
  <c r="Q161" i="72" s="1"/>
  <c r="W136" i="72"/>
  <c r="L158" i="72"/>
  <c r="L32" i="72"/>
  <c r="J59" i="72"/>
  <c r="J60" i="72" s="1"/>
  <c r="J51" i="72"/>
  <c r="K52" i="72" s="1"/>
  <c r="K55" i="72"/>
  <c r="T139" i="72"/>
  <c r="U103" i="72"/>
  <c r="S140" i="72"/>
  <c r="T104" i="72"/>
  <c r="L59" i="72"/>
  <c r="L60" i="72" s="1"/>
  <c r="L55" i="72"/>
  <c r="L51" i="72"/>
  <c r="L52" i="72" s="1"/>
  <c r="L157" i="72"/>
  <c r="U138" i="72"/>
  <c r="V102" i="72"/>
  <c r="N153" i="72"/>
  <c r="N54" i="72"/>
  <c r="N22" i="72"/>
  <c r="R154" i="72"/>
  <c r="P162" i="72"/>
  <c r="P32" i="72"/>
  <c r="H137" i="72"/>
  <c r="H102" i="72"/>
  <c r="I136" i="72"/>
  <c r="V137" i="72"/>
  <c r="W101" i="72"/>
  <c r="R141" i="72"/>
  <c r="R143" i="72" s="1"/>
  <c r="S105" i="72"/>
  <c r="M153" i="72"/>
  <c r="M54" i="72"/>
  <c r="M22" i="72"/>
  <c r="J156" i="72"/>
  <c r="J32" i="72"/>
  <c r="P59" i="72"/>
  <c r="P60" i="72" s="1"/>
  <c r="P55" i="72"/>
  <c r="P51" i="72"/>
  <c r="P52" i="72" s="1"/>
  <c r="Q153" i="72"/>
  <c r="Q54" i="72"/>
  <c r="Q22" i="72"/>
  <c r="O4" i="74"/>
  <c r="O5" i="74"/>
  <c r="CO26" i="7"/>
  <c r="CG26" i="7"/>
  <c r="CK26" i="7"/>
  <c r="CN26" i="7"/>
  <c r="CJ26" i="7"/>
  <c r="CP26" i="7" l="1"/>
  <c r="R161" i="72"/>
  <c r="S161" i="72" s="1"/>
  <c r="S141" i="72"/>
  <c r="S143" i="72" s="1"/>
  <c r="T105" i="72"/>
  <c r="Q162" i="72"/>
  <c r="N59" i="72"/>
  <c r="N60" i="72" s="1"/>
  <c r="N51" i="72"/>
  <c r="N55" i="72"/>
  <c r="O55" i="72"/>
  <c r="M157" i="72"/>
  <c r="N157" i="72" s="1"/>
  <c r="T140" i="72"/>
  <c r="U104" i="72"/>
  <c r="U139" i="72"/>
  <c r="V103" i="72"/>
  <c r="M159" i="72"/>
  <c r="M32" i="72"/>
  <c r="R153" i="72"/>
  <c r="R54" i="72"/>
  <c r="R22" i="72"/>
  <c r="H138" i="72"/>
  <c r="H103" i="72"/>
  <c r="I137" i="72"/>
  <c r="S154" i="72"/>
  <c r="V138" i="72"/>
  <c r="W102" i="72"/>
  <c r="Q163" i="72"/>
  <c r="Q32" i="72"/>
  <c r="M59" i="72"/>
  <c r="M60" i="72" s="1"/>
  <c r="M51" i="72"/>
  <c r="M52" i="72" s="1"/>
  <c r="M55" i="72"/>
  <c r="W137" i="72"/>
  <c r="Q59" i="72"/>
  <c r="Q60" i="72" s="1"/>
  <c r="Q51" i="72"/>
  <c r="Q52" i="72" s="1"/>
  <c r="Q55" i="72"/>
  <c r="K156" i="72"/>
  <c r="L156" i="72" s="1"/>
  <c r="N160" i="72"/>
  <c r="N32" i="72"/>
  <c r="M158" i="72"/>
  <c r="N158" i="72" s="1"/>
  <c r="CH12" i="21"/>
  <c r="W138" i="72" l="1"/>
  <c r="T161" i="72"/>
  <c r="U161" i="72" s="1"/>
  <c r="V161" i="72" s="1"/>
  <c r="R163" i="72"/>
  <c r="H139" i="72"/>
  <c r="H104" i="72"/>
  <c r="I138" i="72"/>
  <c r="S153" i="72"/>
  <c r="S54" i="72"/>
  <c r="S22" i="72"/>
  <c r="O158" i="72"/>
  <c r="P158" i="72" s="1"/>
  <c r="T154" i="72"/>
  <c r="U140" i="72"/>
  <c r="V104" i="72"/>
  <c r="N52" i="72"/>
  <c r="O52" i="72"/>
  <c r="R162" i="72"/>
  <c r="O160" i="72"/>
  <c r="P160" i="72" s="1"/>
  <c r="M156" i="72"/>
  <c r="N156" i="72" s="1"/>
  <c r="O157" i="72"/>
  <c r="R164" i="72"/>
  <c r="R32" i="72"/>
  <c r="N159" i="72"/>
  <c r="R59" i="72"/>
  <c r="R60" i="72" s="1"/>
  <c r="R51" i="72"/>
  <c r="R52" i="72" s="1"/>
  <c r="R55" i="72"/>
  <c r="V139" i="72"/>
  <c r="W103" i="72"/>
  <c r="T141" i="72"/>
  <c r="T143" i="72" s="1"/>
  <c r="U105" i="72"/>
  <c r="CN112" i="7"/>
  <c r="CG12" i="21"/>
  <c r="E207" i="5"/>
  <c r="CN22" i="7"/>
  <c r="CO22" i="7"/>
  <c r="CO52" i="7"/>
  <c r="CO32" i="7"/>
  <c r="CT13" i="7"/>
  <c r="CT12" i="7"/>
  <c r="CT11" i="7"/>
  <c r="CT10" i="7"/>
  <c r="CZ19" i="7" l="1"/>
  <c r="CZ12" i="7"/>
  <c r="CZ11" i="7"/>
  <c r="CZ16" i="7"/>
  <c r="CZ18" i="7"/>
  <c r="CZ10" i="7"/>
  <c r="CZ15" i="7"/>
  <c r="CZ17" i="7"/>
  <c r="CZ14" i="7"/>
  <c r="CZ9" i="7"/>
  <c r="W139" i="72"/>
  <c r="O159" i="72"/>
  <c r="P159" i="72" s="1"/>
  <c r="Q159" i="72" s="1"/>
  <c r="S163" i="72"/>
  <c r="T163" i="72" s="1"/>
  <c r="U163" i="72" s="1"/>
  <c r="W161" i="72"/>
  <c r="T153" i="72"/>
  <c r="T54" i="72"/>
  <c r="T22" i="72"/>
  <c r="P157" i="72"/>
  <c r="Q157" i="72" s="1"/>
  <c r="R157" i="72" s="1"/>
  <c r="O156" i="72"/>
  <c r="V140" i="72"/>
  <c r="W104" i="72"/>
  <c r="U154" i="72"/>
  <c r="Q160" i="72"/>
  <c r="R160" i="72" s="1"/>
  <c r="S160" i="72" s="1"/>
  <c r="Q158" i="72"/>
  <c r="U141" i="72"/>
  <c r="U143" i="72" s="1"/>
  <c r="V105" i="72"/>
  <c r="S162" i="72"/>
  <c r="T162" i="72" s="1"/>
  <c r="S164" i="72"/>
  <c r="S165" i="72"/>
  <c r="S32" i="72"/>
  <c r="S59" i="72"/>
  <c r="S60" i="72" s="1"/>
  <c r="S51" i="72"/>
  <c r="S52" i="72" s="1"/>
  <c r="S55" i="72"/>
  <c r="H140" i="72"/>
  <c r="H105" i="72"/>
  <c r="I139" i="72"/>
  <c r="W140" i="72" l="1"/>
  <c r="R159" i="72"/>
  <c r="U162" i="72"/>
  <c r="V162" i="72" s="1"/>
  <c r="W162" i="72" s="1"/>
  <c r="T164" i="72"/>
  <c r="U164" i="72" s="1"/>
  <c r="V164" i="72" s="1"/>
  <c r="T160" i="72"/>
  <c r="U160" i="72" s="1"/>
  <c r="V160" i="72" s="1"/>
  <c r="R158" i="72"/>
  <c r="S158" i="72" s="1"/>
  <c r="T158" i="72" s="1"/>
  <c r="T166" i="72"/>
  <c r="T32" i="72"/>
  <c r="V163" i="72"/>
  <c r="W163" i="72" s="1"/>
  <c r="H141" i="72"/>
  <c r="H143" i="72" s="1"/>
  <c r="H106" i="72"/>
  <c r="I141" i="72" s="1"/>
  <c r="I140" i="72"/>
  <c r="P156" i="72"/>
  <c r="T165" i="72"/>
  <c r="U165" i="72" s="1"/>
  <c r="V141" i="72"/>
  <c r="V143" i="72" s="1"/>
  <c r="W105" i="72"/>
  <c r="W141" i="72" s="1"/>
  <c r="V154" i="72"/>
  <c r="T59" i="72"/>
  <c r="T60" i="72" s="1"/>
  <c r="T55" i="72"/>
  <c r="T51" i="72"/>
  <c r="T52" i="72" s="1"/>
  <c r="U153" i="72"/>
  <c r="U54" i="72"/>
  <c r="U22" i="72"/>
  <c r="S157" i="72"/>
  <c r="T157" i="72" s="1"/>
  <c r="W143" i="72" l="1"/>
  <c r="W153" i="72" s="1"/>
  <c r="S159" i="72"/>
  <c r="T159" i="72" s="1"/>
  <c r="W160" i="72"/>
  <c r="W164" i="72"/>
  <c r="U158" i="72"/>
  <c r="V158" i="72" s="1"/>
  <c r="W158" i="72" s="1"/>
  <c r="U167" i="72"/>
  <c r="U32" i="72"/>
  <c r="V165" i="72"/>
  <c r="W165" i="72" s="1"/>
  <c r="U157" i="72"/>
  <c r="V157" i="72" s="1"/>
  <c r="W157" i="72" s="1"/>
  <c r="U59" i="72"/>
  <c r="U60" i="72" s="1"/>
  <c r="U51" i="72"/>
  <c r="U52" i="72" s="1"/>
  <c r="U55" i="72"/>
  <c r="W22" i="72"/>
  <c r="Q156" i="72"/>
  <c r="W154" i="72"/>
  <c r="V153" i="72"/>
  <c r="V54" i="72"/>
  <c r="V22" i="72"/>
  <c r="I143" i="72"/>
  <c r="U166" i="72"/>
  <c r="V166" i="72" s="1"/>
  <c r="W166" i="72" s="1"/>
  <c r="W54" i="72" l="1"/>
  <c r="W55" i="72" s="1"/>
  <c r="U159" i="72"/>
  <c r="V159" i="72" s="1"/>
  <c r="W159" i="72" s="1"/>
  <c r="V167" i="72"/>
  <c r="W167" i="72" s="1"/>
  <c r="R156" i="72"/>
  <c r="S156" i="72" s="1"/>
  <c r="T156" i="72" s="1"/>
  <c r="I153" i="72"/>
  <c r="I54" i="72"/>
  <c r="I22" i="72"/>
  <c r="V168" i="72"/>
  <c r="W168" i="72" s="1"/>
  <c r="V32" i="72"/>
  <c r="W169" i="72"/>
  <c r="W32" i="72"/>
  <c r="V59" i="72"/>
  <c r="V60" i="72" s="1"/>
  <c r="V51" i="72"/>
  <c r="V52" i="72" s="1"/>
  <c r="V55" i="72"/>
  <c r="W51" i="72" l="1"/>
  <c r="W52" i="72" s="1"/>
  <c r="W59" i="72"/>
  <c r="W60" i="72" s="1"/>
  <c r="U156" i="72"/>
  <c r="V156" i="72" s="1"/>
  <c r="W156" i="72" s="1"/>
  <c r="I51" i="72"/>
  <c r="J52" i="72" s="1"/>
  <c r="J55" i="72"/>
  <c r="I155" i="72"/>
  <c r="I171" i="72" s="1"/>
  <c r="I23" i="72" s="1"/>
  <c r="I12" i="72" s="1"/>
  <c r="I13" i="72" s="1"/>
  <c r="I32" i="72"/>
  <c r="I30" i="72" s="1"/>
  <c r="I15" i="72" l="1"/>
  <c r="I38" i="72" s="1"/>
  <c r="I33" i="72"/>
  <c r="J29" i="72" s="1"/>
  <c r="I24" i="72"/>
  <c r="J155" i="72"/>
  <c r="J171" i="72" s="1"/>
  <c r="J23" i="72" s="1"/>
  <c r="J12" i="72" s="1"/>
  <c r="J13" i="72" s="1"/>
  <c r="I16" i="72" l="1"/>
  <c r="I37" i="72"/>
  <c r="I39" i="72" s="1"/>
  <c r="J21" i="72"/>
  <c r="J24" i="72" s="1"/>
  <c r="I35" i="72"/>
  <c r="J30" i="72"/>
  <c r="J15" i="72" s="1"/>
  <c r="J38" i="72" s="1"/>
  <c r="K155" i="72"/>
  <c r="K171" i="72" s="1"/>
  <c r="K23" i="72" s="1"/>
  <c r="K12" i="72" s="1"/>
  <c r="K13" i="72" s="1"/>
  <c r="J33" i="72" l="1"/>
  <c r="K29" i="72" s="1"/>
  <c r="K21" i="72"/>
  <c r="K24" i="72" s="1"/>
  <c r="J16" i="72"/>
  <c r="L155" i="72"/>
  <c r="L171" i="72" s="1"/>
  <c r="L23" i="72" s="1"/>
  <c r="L12" i="72" s="1"/>
  <c r="L13" i="72" s="1"/>
  <c r="J37" i="72" l="1"/>
  <c r="J39" i="72" s="1"/>
  <c r="J35" i="72"/>
  <c r="L21" i="72"/>
  <c r="L24" i="72" s="1"/>
  <c r="K30" i="72"/>
  <c r="K15" i="72" s="1"/>
  <c r="M155" i="72"/>
  <c r="M171" i="72" s="1"/>
  <c r="M23" i="72" s="1"/>
  <c r="M12" i="72" s="1"/>
  <c r="M13" i="72" s="1"/>
  <c r="K38" i="72" l="1"/>
  <c r="K16" i="72"/>
  <c r="K33" i="72"/>
  <c r="M21" i="72"/>
  <c r="M24" i="72" s="1"/>
  <c r="N155" i="72"/>
  <c r="N171" i="72" s="1"/>
  <c r="N23" i="72" s="1"/>
  <c r="N12" i="72" s="1"/>
  <c r="N13" i="72" s="1"/>
  <c r="L29" i="72" l="1"/>
  <c r="K35" i="72"/>
  <c r="K37" i="72"/>
  <c r="K39" i="72" s="1"/>
  <c r="N21" i="72"/>
  <c r="N24" i="72" s="1"/>
  <c r="O155" i="72"/>
  <c r="O171" i="72" s="1"/>
  <c r="O23" i="72" s="1"/>
  <c r="O12" i="72" s="1"/>
  <c r="O13" i="72" s="1"/>
  <c r="H15" i="73"/>
  <c r="G15" i="73"/>
  <c r="M4" i="74"/>
  <c r="L30" i="72" l="1"/>
  <c r="L15" i="72" s="1"/>
  <c r="O21" i="72"/>
  <c r="O24" i="72" s="1"/>
  <c r="P155" i="72"/>
  <c r="DZ32" i="3"/>
  <c r="DY32" i="3"/>
  <c r="L38" i="72" l="1"/>
  <c r="L16" i="72"/>
  <c r="Q155" i="72"/>
  <c r="Q171" i="72" s="1"/>
  <c r="Q23" i="72" s="1"/>
  <c r="Q12" i="72" s="1"/>
  <c r="Q13" i="72" s="1"/>
  <c r="P171" i="72"/>
  <c r="P23" i="72" s="1"/>
  <c r="P12" i="72" s="1"/>
  <c r="P13" i="72" s="1"/>
  <c r="L33" i="72"/>
  <c r="P21" i="72"/>
  <c r="AD147" i="8"/>
  <c r="AD123" i="8"/>
  <c r="AD122" i="8"/>
  <c r="AD121" i="8"/>
  <c r="AD120" i="8"/>
  <c r="AD119" i="8"/>
  <c r="AD118" i="8" s="1"/>
  <c r="BE44" i="11"/>
  <c r="BE89" i="11"/>
  <c r="BE88" i="11"/>
  <c r="BE72" i="11"/>
  <c r="P24" i="72" l="1"/>
  <c r="Q21" i="72" s="1"/>
  <c r="Q24" i="72" s="1"/>
  <c r="R155" i="72"/>
  <c r="R171" i="72" s="1"/>
  <c r="R23" i="72" s="1"/>
  <c r="R12" i="72" s="1"/>
  <c r="R13" i="72" s="1"/>
  <c r="M29" i="72"/>
  <c r="L37" i="72"/>
  <c r="L39" i="72" s="1"/>
  <c r="L35" i="72"/>
  <c r="CN57" i="3"/>
  <c r="CM57" i="3"/>
  <c r="CM56" i="3"/>
  <c r="CM55" i="3"/>
  <c r="S155" i="72" l="1"/>
  <c r="T155" i="72" s="1"/>
  <c r="M30" i="72"/>
  <c r="M15" i="72" s="1"/>
  <c r="R21" i="72"/>
  <c r="R24" i="72" s="1"/>
  <c r="DZ58" i="3"/>
  <c r="DZ52" i="3"/>
  <c r="DZ46" i="3"/>
  <c r="DZ16" i="3"/>
  <c r="CU19" i="3" a="1"/>
  <c r="CX19" i="3" s="1"/>
  <c r="CX46" i="3"/>
  <c r="CV46" i="3"/>
  <c r="CU46" i="3"/>
  <c r="CW46" i="3"/>
  <c r="AW205" i="5"/>
  <c r="C213" i="5"/>
  <c r="C212" i="5"/>
  <c r="R212" i="5" s="1"/>
  <c r="AC12" i="9"/>
  <c r="AC9" i="9"/>
  <c r="S176" i="63"/>
  <c r="S170" i="63"/>
  <c r="S168" i="63"/>
  <c r="S126" i="63"/>
  <c r="S125" i="63"/>
  <c r="S36" i="63"/>
  <c r="S169" i="63" s="1"/>
  <c r="S167" i="63" s="1"/>
  <c r="S166" i="63" s="1"/>
  <c r="D165" i="12"/>
  <c r="B165" i="12"/>
  <c r="BG130" i="10"/>
  <c r="BG5" i="10"/>
  <c r="BE46" i="11"/>
  <c r="C214" i="5"/>
  <c r="CR136" i="7"/>
  <c r="CR135" i="7"/>
  <c r="CR134" i="7"/>
  <c r="CR84" i="7"/>
  <c r="Y36" i="9" s="1"/>
  <c r="CR85" i="7"/>
  <c r="CR44" i="7"/>
  <c r="CT23" i="7"/>
  <c r="CT22" i="7"/>
  <c r="S171" i="72" l="1"/>
  <c r="S23" i="72" s="1"/>
  <c r="S12" i="72" s="1"/>
  <c r="S13" i="72" s="1"/>
  <c r="M33" i="72"/>
  <c r="N29" i="72" s="1"/>
  <c r="S21" i="72"/>
  <c r="U155" i="72"/>
  <c r="T171" i="72"/>
  <c r="T23" i="72" s="1"/>
  <c r="T12" i="72" s="1"/>
  <c r="T13" i="72" s="1"/>
  <c r="M38" i="72"/>
  <c r="M16" i="72"/>
  <c r="CW19" i="3"/>
  <c r="CV19" i="3"/>
  <c r="CU19" i="3"/>
  <c r="CR86" i="7"/>
  <c r="BC46" i="11"/>
  <c r="BA46" i="11"/>
  <c r="CN81" i="7"/>
  <c r="CN21" i="7"/>
  <c r="CO21" i="7" s="1"/>
  <c r="E206" i="5"/>
  <c r="CF29" i="21"/>
  <c r="CF17" i="21"/>
  <c r="CF35" i="21" s="1"/>
  <c r="CO51" i="7"/>
  <c r="CO31" i="7"/>
  <c r="AN27" i="13"/>
  <c r="CG23" i="21"/>
  <c r="CG11" i="21"/>
  <c r="L4" i="74" s="1"/>
  <c r="F166" i="12"/>
  <c r="BC44" i="11"/>
  <c r="F15" i="73"/>
  <c r="E15" i="73"/>
  <c r="D15" i="73"/>
  <c r="C15" i="73"/>
  <c r="C34" i="73"/>
  <c r="H33" i="73"/>
  <c r="E23" i="73"/>
  <c r="F23" i="73" s="1"/>
  <c r="G23" i="73" s="1"/>
  <c r="H23" i="73" s="1"/>
  <c r="I23" i="73" s="1"/>
  <c r="J23" i="73" s="1"/>
  <c r="I15" i="73"/>
  <c r="J15" i="73" s="1"/>
  <c r="K15" i="73" s="1"/>
  <c r="H2" i="73"/>
  <c r="I2" i="73" s="1"/>
  <c r="J2" i="73" s="1"/>
  <c r="CQ46" i="3"/>
  <c r="CP46" i="3"/>
  <c r="N42" i="63"/>
  <c r="N83" i="63" s="1"/>
  <c r="N125" i="63" s="1"/>
  <c r="O42" i="63"/>
  <c r="O83" i="63" s="1"/>
  <c r="O125" i="63" s="1"/>
  <c r="M42" i="63"/>
  <c r="M83" i="63" s="1"/>
  <c r="DW32" i="3"/>
  <c r="F165" i="12"/>
  <c r="CF28" i="21"/>
  <c r="CF16" i="21"/>
  <c r="CF34" i="21" s="1"/>
  <c r="CG22" i="21"/>
  <c r="CG10" i="21"/>
  <c r="K4" i="74" s="1"/>
  <c r="AN26" i="13"/>
  <c r="AN44" i="13" s="1"/>
  <c r="AN50" i="13" s="1"/>
  <c r="E205" i="5"/>
  <c r="CN110" i="7"/>
  <c r="CO30" i="7"/>
  <c r="CO50" i="7"/>
  <c r="CP30" i="7"/>
  <c r="CO20" i="7"/>
  <c r="CT20" i="7" s="1"/>
  <c r="AS45" i="11"/>
  <c r="AS32" i="11"/>
  <c r="AS27" i="11"/>
  <c r="AS13" i="11"/>
  <c r="W13" i="9"/>
  <c r="CF33" i="7"/>
  <c r="CL33" i="7" s="1"/>
  <c r="AU86" i="10"/>
  <c r="AU78" i="10"/>
  <c r="AU40" i="10"/>
  <c r="AU24" i="10"/>
  <c r="X13" i="8"/>
  <c r="CJ113" i="7"/>
  <c r="CC13" i="21"/>
  <c r="J4" i="74" s="1"/>
  <c r="CB37" i="21"/>
  <c r="CB31" i="21"/>
  <c r="CC25" i="21"/>
  <c r="CB19" i="21"/>
  <c r="AL29" i="13"/>
  <c r="CK53" i="7"/>
  <c r="CK33" i="7"/>
  <c r="CK23" i="7"/>
  <c r="F161" i="12"/>
  <c r="AY65" i="10"/>
  <c r="AW65" i="10"/>
  <c r="AB9" i="9"/>
  <c r="CM54" i="3"/>
  <c r="CL52" i="3"/>
  <c r="CM52" i="3"/>
  <c r="BE130" i="10"/>
  <c r="BE5" i="10"/>
  <c r="AC123" i="8"/>
  <c r="AC122" i="8"/>
  <c r="AC121" i="8"/>
  <c r="AC120" i="8"/>
  <c r="AC119" i="8"/>
  <c r="BC89" i="11"/>
  <c r="BC88" i="11"/>
  <c r="BC72" i="11"/>
  <c r="DV32" i="3"/>
  <c r="T167" i="12"/>
  <c r="T166" i="12"/>
  <c r="T165" i="12"/>
  <c r="CP19" i="3" a="1"/>
  <c r="CR19" i="3" s="1"/>
  <c r="CQ74" i="3"/>
  <c r="CQ73" i="3"/>
  <c r="CQ72" i="3"/>
  <c r="CS16" i="3"/>
  <c r="CR16" i="3"/>
  <c r="CQ16" i="3"/>
  <c r="CP16" i="3"/>
  <c r="CS14" i="3"/>
  <c r="CR14" i="3"/>
  <c r="CQ14" i="3"/>
  <c r="CP14" i="3"/>
  <c r="CN205" i="7"/>
  <c r="CN206" i="7" s="1"/>
  <c r="CP23" i="7"/>
  <c r="CR46" i="3"/>
  <c r="K207" i="5"/>
  <c r="J207" i="5"/>
  <c r="K206" i="5"/>
  <c r="J206" i="5"/>
  <c r="CN136" i="7"/>
  <c r="CN135" i="7"/>
  <c r="CN134" i="7"/>
  <c r="CN85" i="7"/>
  <c r="CN44" i="7"/>
  <c r="BY12" i="21"/>
  <c r="E4" i="74" s="1"/>
  <c r="BP19" i="21"/>
  <c r="BT19" i="21"/>
  <c r="BX16" i="21"/>
  <c r="BL30" i="21"/>
  <c r="BL29" i="21"/>
  <c r="BP30" i="21"/>
  <c r="BT30" i="21"/>
  <c r="BX30" i="21"/>
  <c r="CB30" i="21"/>
  <c r="BX17" i="21"/>
  <c r="CB17" i="21"/>
  <c r="BX18" i="21"/>
  <c r="CC18" i="21" s="1"/>
  <c r="BX19" i="21"/>
  <c r="BY19" i="21" s="1"/>
  <c r="CB16" i="21"/>
  <c r="CB18" i="21"/>
  <c r="CL32" i="7"/>
  <c r="AS86" i="10"/>
  <c r="CL54" i="3" s="1"/>
  <c r="AS99" i="10"/>
  <c r="AS100" i="10"/>
  <c r="AS127" i="10"/>
  <c r="AS97" i="10" s="1"/>
  <c r="F160" i="12"/>
  <c r="CB36" i="21"/>
  <c r="CC24" i="21"/>
  <c r="CC12" i="21"/>
  <c r="I4" i="74" s="1"/>
  <c r="AL28" i="13"/>
  <c r="E200" i="5"/>
  <c r="CK52" i="7"/>
  <c r="CK32" i="7"/>
  <c r="CK22" i="7"/>
  <c r="CU155" i="7"/>
  <c r="CU157" i="7" s="1"/>
  <c r="E199" i="5"/>
  <c r="F159" i="12"/>
  <c r="CC23" i="21"/>
  <c r="CB29" i="21"/>
  <c r="CG29" i="21" s="1"/>
  <c r="CC11" i="21"/>
  <c r="H4" i="74" s="1"/>
  <c r="AL27" i="13"/>
  <c r="CK51" i="7"/>
  <c r="CK31" i="7"/>
  <c r="CK21" i="7"/>
  <c r="CZ56" i="3"/>
  <c r="DA56" i="3"/>
  <c r="DB56" i="3"/>
  <c r="DC56" i="3"/>
  <c r="DD56" i="3"/>
  <c r="DE56" i="3"/>
  <c r="DF56" i="3"/>
  <c r="DG56" i="3"/>
  <c r="DH56" i="3"/>
  <c r="DI56" i="3"/>
  <c r="CC16" i="21"/>
  <c r="CB28" i="21"/>
  <c r="CC22" i="21"/>
  <c r="CC10" i="21"/>
  <c r="G4" i="74" s="1"/>
  <c r="AL26" i="13"/>
  <c r="CK50" i="7"/>
  <c r="CK30" i="7"/>
  <c r="CK20" i="7"/>
  <c r="CP20" i="7" s="1"/>
  <c r="F158" i="12"/>
  <c r="AQ32" i="11"/>
  <c r="AQ46" i="11"/>
  <c r="AQ45" i="11"/>
  <c r="AQ27" i="11"/>
  <c r="AQ13" i="11"/>
  <c r="V13" i="9"/>
  <c r="CF113" i="7"/>
  <c r="CG33" i="7"/>
  <c r="AS40" i="10"/>
  <c r="AS24" i="10"/>
  <c r="AS107" i="10" s="1"/>
  <c r="AU113" i="10" s="1"/>
  <c r="BX31" i="21"/>
  <c r="BY25" i="21"/>
  <c r="AJ29" i="13"/>
  <c r="AJ47" i="13"/>
  <c r="F154" i="12"/>
  <c r="BY13" i="21"/>
  <c r="F4" i="74" s="1"/>
  <c r="E195" i="5"/>
  <c r="E194" i="5"/>
  <c r="CF54" i="7"/>
  <c r="CG53" i="7"/>
  <c r="CG23" i="7"/>
  <c r="F153" i="12"/>
  <c r="BY24" i="21"/>
  <c r="AJ28" i="13"/>
  <c r="AJ46" i="13" s="1"/>
  <c r="E193" i="5"/>
  <c r="CH32" i="7"/>
  <c r="CG32" i="7"/>
  <c r="CG52" i="7"/>
  <c r="CG22" i="7"/>
  <c r="CG12" i="7"/>
  <c r="BZ12" i="21" s="1"/>
  <c r="BZ30" i="21" s="1"/>
  <c r="CL19" i="3"/>
  <c r="CK19" i="3"/>
  <c r="T159" i="12"/>
  <c r="T160" i="12"/>
  <c r="T158" i="12"/>
  <c r="AY44" i="11"/>
  <c r="BA44" i="11"/>
  <c r="AA9" i="9"/>
  <c r="R126" i="63"/>
  <c r="R125" i="63"/>
  <c r="R36" i="63"/>
  <c r="R168" i="63"/>
  <c r="CL74" i="3"/>
  <c r="CL73" i="3"/>
  <c r="CL72" i="3"/>
  <c r="CN16" i="3"/>
  <c r="CM16" i="3"/>
  <c r="CL16" i="3"/>
  <c r="CK16" i="3"/>
  <c r="CN14" i="3"/>
  <c r="CM14" i="3"/>
  <c r="CL14" i="3"/>
  <c r="CK14" i="3"/>
  <c r="DY58" i="3"/>
  <c r="DY52" i="3"/>
  <c r="DY46" i="3"/>
  <c r="DY16" i="3"/>
  <c r="K200" i="5"/>
  <c r="J200" i="5"/>
  <c r="K199" i="5"/>
  <c r="J199" i="5"/>
  <c r="CJ206" i="7"/>
  <c r="CK205" i="7"/>
  <c r="CJ136" i="7"/>
  <c r="CJ135" i="7"/>
  <c r="CJ134" i="7"/>
  <c r="CM19" i="3"/>
  <c r="CJ44" i="7"/>
  <c r="CL23" i="7"/>
  <c r="AB147" i="8"/>
  <c r="AB123" i="8"/>
  <c r="AB122" i="8"/>
  <c r="AB121" i="8"/>
  <c r="AB120" i="8"/>
  <c r="AB118" i="8" s="1"/>
  <c r="AB119" i="8"/>
  <c r="BC5" i="10"/>
  <c r="BC130" i="10"/>
  <c r="BA89" i="11"/>
  <c r="BA88" i="11"/>
  <c r="BA72" i="11"/>
  <c r="CG31" i="7"/>
  <c r="E192" i="5"/>
  <c r="F152" i="12"/>
  <c r="AN166" i="12" s="1"/>
  <c r="AJ27" i="13"/>
  <c r="AJ45" i="13" s="1"/>
  <c r="BT31" i="21"/>
  <c r="BY31" i="21" s="1"/>
  <c r="BX29" i="21"/>
  <c r="BX35" i="21" s="1"/>
  <c r="BT17" i="21"/>
  <c r="BY17" i="21" s="1"/>
  <c r="BY23" i="21"/>
  <c r="BY11" i="21"/>
  <c r="D4" i="74" s="1"/>
  <c r="CG51" i="7"/>
  <c r="CH31" i="7"/>
  <c r="CG21" i="7"/>
  <c r="CF81" i="7"/>
  <c r="AQ86" i="10"/>
  <c r="AQ42" i="10"/>
  <c r="AO13" i="11"/>
  <c r="AO27" i="11"/>
  <c r="AO47" i="11"/>
  <c r="AO45" i="11"/>
  <c r="AO32" i="11"/>
  <c r="D151" i="12"/>
  <c r="B152" i="12"/>
  <c r="B151" i="12"/>
  <c r="Z151" i="12"/>
  <c r="T153" i="12"/>
  <c r="T152" i="12"/>
  <c r="V152" i="12" s="1"/>
  <c r="T151" i="12"/>
  <c r="F151" i="12"/>
  <c r="AB151" i="12" s="1"/>
  <c r="D147" i="12"/>
  <c r="D146" i="12"/>
  <c r="D145" i="12"/>
  <c r="D144" i="12"/>
  <c r="B147" i="12"/>
  <c r="B146" i="12"/>
  <c r="B145" i="12"/>
  <c r="B144" i="12"/>
  <c r="Z146" i="12"/>
  <c r="Z145" i="12"/>
  <c r="Z144" i="12"/>
  <c r="T146" i="12"/>
  <c r="T145" i="12"/>
  <c r="V145" i="12" s="1"/>
  <c r="T144" i="12"/>
  <c r="F147" i="12"/>
  <c r="F146" i="12"/>
  <c r="H147" i="12" s="1"/>
  <c r="F145" i="12"/>
  <c r="F144" i="12"/>
  <c r="AB144" i="12" s="1"/>
  <c r="D139" i="12"/>
  <c r="D138" i="12"/>
  <c r="D137" i="12"/>
  <c r="B140" i="12"/>
  <c r="B139" i="12"/>
  <c r="B138" i="12"/>
  <c r="B137" i="12"/>
  <c r="Z140" i="12"/>
  <c r="Z139" i="12"/>
  <c r="Z138" i="12"/>
  <c r="Z137" i="12"/>
  <c r="T139" i="12"/>
  <c r="T138" i="12"/>
  <c r="T137" i="12"/>
  <c r="F140" i="12"/>
  <c r="F139" i="12"/>
  <c r="F138" i="12"/>
  <c r="F137" i="12"/>
  <c r="D133" i="12"/>
  <c r="D132" i="12"/>
  <c r="D131" i="12"/>
  <c r="D130" i="12"/>
  <c r="B133" i="12"/>
  <c r="B132" i="12"/>
  <c r="B131" i="12"/>
  <c r="B130" i="12"/>
  <c r="Z133" i="12"/>
  <c r="Z132" i="12"/>
  <c r="Z131" i="12"/>
  <c r="Z130" i="12"/>
  <c r="AB130" i="12" s="1"/>
  <c r="T132" i="12"/>
  <c r="F133" i="12"/>
  <c r="F132" i="12"/>
  <c r="F131" i="12"/>
  <c r="F130" i="12"/>
  <c r="Z125" i="12"/>
  <c r="Z124" i="12"/>
  <c r="AB124" i="12" s="1"/>
  <c r="Z123" i="12"/>
  <c r="T126" i="12"/>
  <c r="T123" i="12"/>
  <c r="F126" i="12"/>
  <c r="F125" i="12"/>
  <c r="F124" i="12"/>
  <c r="F123" i="12"/>
  <c r="H124" i="12" s="1"/>
  <c r="Z118" i="12"/>
  <c r="Z117" i="12"/>
  <c r="F119" i="12"/>
  <c r="H123" i="12" s="1"/>
  <c r="F118" i="12"/>
  <c r="F117" i="12"/>
  <c r="F116" i="12"/>
  <c r="F112" i="12"/>
  <c r="F111" i="12"/>
  <c r="F110" i="12"/>
  <c r="F109" i="12"/>
  <c r="D105" i="12"/>
  <c r="AH104" i="12"/>
  <c r="D104" i="12"/>
  <c r="D103" i="12"/>
  <c r="D102" i="12"/>
  <c r="B105" i="12"/>
  <c r="B104" i="12"/>
  <c r="B103" i="12"/>
  <c r="B102" i="12"/>
  <c r="Z105" i="12"/>
  <c r="Z104" i="12"/>
  <c r="Z103" i="12"/>
  <c r="Z102" i="12"/>
  <c r="F105" i="12"/>
  <c r="F104" i="12"/>
  <c r="F103" i="12"/>
  <c r="F102" i="12"/>
  <c r="AN116" i="12"/>
  <c r="Z97" i="12"/>
  <c r="Z96" i="12"/>
  <c r="AB96" i="12" s="1"/>
  <c r="Z95" i="12"/>
  <c r="D98" i="12"/>
  <c r="D97" i="12"/>
  <c r="D96" i="12"/>
  <c r="D95" i="12"/>
  <c r="B98" i="12"/>
  <c r="B97" i="12"/>
  <c r="J104" i="12" s="1"/>
  <c r="B95" i="12"/>
  <c r="F98" i="12"/>
  <c r="F97" i="12"/>
  <c r="F96" i="12"/>
  <c r="F95" i="12"/>
  <c r="D91" i="12"/>
  <c r="D90" i="12"/>
  <c r="D89" i="12"/>
  <c r="D88" i="12"/>
  <c r="B91" i="12"/>
  <c r="B90" i="12"/>
  <c r="B89" i="12"/>
  <c r="B88" i="12"/>
  <c r="Z90" i="12"/>
  <c r="Z89" i="12"/>
  <c r="Z88" i="12"/>
  <c r="T90" i="12"/>
  <c r="F91" i="12"/>
  <c r="F90" i="12"/>
  <c r="F89" i="12"/>
  <c r="F88" i="12"/>
  <c r="D84" i="12"/>
  <c r="D83" i="12"/>
  <c r="D82" i="12"/>
  <c r="D81" i="12"/>
  <c r="B84" i="12"/>
  <c r="B83" i="12"/>
  <c r="B82" i="12"/>
  <c r="B81" i="12"/>
  <c r="Z83" i="12"/>
  <c r="Z82" i="12"/>
  <c r="AB82" i="12" s="1"/>
  <c r="Z81" i="12"/>
  <c r="T83" i="12"/>
  <c r="F84" i="12"/>
  <c r="F83" i="12"/>
  <c r="F82" i="12"/>
  <c r="F81" i="12"/>
  <c r="D77" i="12"/>
  <c r="D76" i="12"/>
  <c r="D75" i="12"/>
  <c r="D74" i="12"/>
  <c r="B77" i="12"/>
  <c r="B76" i="12"/>
  <c r="B75" i="12"/>
  <c r="B74" i="12"/>
  <c r="Z76" i="12"/>
  <c r="Z74" i="12"/>
  <c r="F77" i="12"/>
  <c r="F76" i="12"/>
  <c r="F75" i="12"/>
  <c r="AH75" i="12"/>
  <c r="F74" i="12"/>
  <c r="D70" i="12"/>
  <c r="D69" i="12"/>
  <c r="D68" i="12"/>
  <c r="D67" i="12"/>
  <c r="B70" i="12"/>
  <c r="B69" i="12"/>
  <c r="B68" i="12"/>
  <c r="Z69" i="12"/>
  <c r="Z68" i="12"/>
  <c r="Z67" i="12"/>
  <c r="F70" i="12"/>
  <c r="H74" i="12" s="1"/>
  <c r="F69" i="12"/>
  <c r="F68" i="12"/>
  <c r="F67" i="12"/>
  <c r="H62" i="12"/>
  <c r="AK62" i="12" s="1"/>
  <c r="H61" i="12"/>
  <c r="D63" i="12"/>
  <c r="AH62" i="12" s="1"/>
  <c r="D62" i="12"/>
  <c r="D61" i="12"/>
  <c r="AH60" i="12" s="1"/>
  <c r="D60" i="12"/>
  <c r="B63" i="12"/>
  <c r="B62" i="12"/>
  <c r="B61" i="12"/>
  <c r="B60" i="12"/>
  <c r="Z62" i="12"/>
  <c r="AB62" i="12" s="1"/>
  <c r="Z61" i="12"/>
  <c r="AB61" i="12"/>
  <c r="N62" i="12"/>
  <c r="N61" i="12"/>
  <c r="L62" i="12"/>
  <c r="L61" i="12"/>
  <c r="L60" i="12"/>
  <c r="F63" i="12"/>
  <c r="R63" i="12" s="1"/>
  <c r="H55" i="12"/>
  <c r="H54" i="12"/>
  <c r="D56" i="12"/>
  <c r="D55" i="12"/>
  <c r="R54" i="12" s="1"/>
  <c r="D54" i="12"/>
  <c r="AH53" i="12" s="1"/>
  <c r="D53" i="12"/>
  <c r="B56" i="12"/>
  <c r="B55" i="12"/>
  <c r="B54" i="12"/>
  <c r="B53" i="12"/>
  <c r="Z55" i="12"/>
  <c r="AB55" i="12" s="1"/>
  <c r="Z54" i="12"/>
  <c r="AB54" i="12" s="1"/>
  <c r="Z53" i="12"/>
  <c r="AB53" i="12" s="1"/>
  <c r="N55" i="12"/>
  <c r="N54" i="12"/>
  <c r="L55" i="12"/>
  <c r="L54" i="12"/>
  <c r="L53" i="12"/>
  <c r="F56" i="12"/>
  <c r="H60" i="12" s="1"/>
  <c r="AF60" i="12" s="1"/>
  <c r="AB48" i="12"/>
  <c r="AD48" i="12" s="1"/>
  <c r="AB47" i="12"/>
  <c r="AB46" i="12"/>
  <c r="H48" i="12"/>
  <c r="H47" i="12"/>
  <c r="H46" i="12"/>
  <c r="D49" i="12"/>
  <c r="R48" i="12" s="1"/>
  <c r="D48" i="12"/>
  <c r="AH47" i="12"/>
  <c r="D47" i="12"/>
  <c r="D46" i="12"/>
  <c r="AF46" i="12" s="1"/>
  <c r="B49" i="12"/>
  <c r="B48" i="12"/>
  <c r="B47" i="12"/>
  <c r="B46" i="12"/>
  <c r="T46" i="12"/>
  <c r="V46" i="12" s="1"/>
  <c r="N48" i="12"/>
  <c r="N47" i="12"/>
  <c r="N46" i="12"/>
  <c r="L48" i="12"/>
  <c r="L47" i="12"/>
  <c r="L46" i="12"/>
  <c r="F49" i="12"/>
  <c r="N53" i="12" s="1"/>
  <c r="H42" i="12"/>
  <c r="H41" i="12"/>
  <c r="H40" i="12"/>
  <c r="P40" i="12" s="1"/>
  <c r="H39" i="12"/>
  <c r="P39" i="12" s="1"/>
  <c r="D42" i="12"/>
  <c r="R41" i="12" s="1"/>
  <c r="D41" i="12"/>
  <c r="D40" i="12"/>
  <c r="D39" i="12"/>
  <c r="B42" i="12"/>
  <c r="B41" i="12"/>
  <c r="B40" i="12"/>
  <c r="B39" i="12"/>
  <c r="AH40" i="12"/>
  <c r="AB41" i="12"/>
  <c r="AB40" i="12"/>
  <c r="AB39" i="12"/>
  <c r="Z42" i="12"/>
  <c r="AB42" i="12" s="1"/>
  <c r="T41" i="12"/>
  <c r="V41" i="12" s="1"/>
  <c r="T40" i="12"/>
  <c r="V40" i="12" s="1"/>
  <c r="T39" i="12"/>
  <c r="V39" i="12" s="1"/>
  <c r="R40" i="12"/>
  <c r="N42" i="12"/>
  <c r="N41" i="12"/>
  <c r="N40" i="12"/>
  <c r="N39" i="12"/>
  <c r="L42" i="12"/>
  <c r="L41" i="12"/>
  <c r="L40" i="12"/>
  <c r="L39" i="12"/>
  <c r="H35" i="12"/>
  <c r="H34" i="12"/>
  <c r="H33" i="12"/>
  <c r="H32" i="12"/>
  <c r="D34" i="12"/>
  <c r="D33" i="12"/>
  <c r="D32" i="12"/>
  <c r="B35" i="12"/>
  <c r="B34" i="12"/>
  <c r="B33" i="12"/>
  <c r="B32" i="12"/>
  <c r="AB34" i="12"/>
  <c r="AB33" i="12"/>
  <c r="AB32" i="12"/>
  <c r="Z35" i="12"/>
  <c r="AB35" i="12" s="1"/>
  <c r="AD35" i="12" s="1"/>
  <c r="T34" i="12"/>
  <c r="V34" i="12" s="1"/>
  <c r="T33" i="12"/>
  <c r="V33" i="12" s="1"/>
  <c r="T32" i="12"/>
  <c r="V32" i="12"/>
  <c r="N35" i="12"/>
  <c r="N34" i="12"/>
  <c r="N33" i="12"/>
  <c r="N32" i="12"/>
  <c r="L35" i="12"/>
  <c r="L34" i="12"/>
  <c r="L33" i="12"/>
  <c r="L32" i="12"/>
  <c r="H28" i="12"/>
  <c r="AF28" i="12" s="1"/>
  <c r="H27" i="12"/>
  <c r="H26" i="12"/>
  <c r="H25" i="12"/>
  <c r="B28" i="12"/>
  <c r="B27" i="12"/>
  <c r="B26" i="12"/>
  <c r="B25" i="12"/>
  <c r="AB27" i="12"/>
  <c r="AB26" i="12"/>
  <c r="AB25" i="12"/>
  <c r="Z28" i="12"/>
  <c r="AB28" i="12" s="1"/>
  <c r="V28" i="12"/>
  <c r="V27" i="12"/>
  <c r="V26" i="12"/>
  <c r="V25" i="12"/>
  <c r="N28" i="12"/>
  <c r="N27" i="12"/>
  <c r="N26" i="12"/>
  <c r="N25" i="12"/>
  <c r="L28" i="12"/>
  <c r="L27" i="12"/>
  <c r="L26" i="12"/>
  <c r="L25" i="12"/>
  <c r="H21" i="12"/>
  <c r="AF21" i="12" s="1"/>
  <c r="H20" i="12"/>
  <c r="AK20" i="12" s="1"/>
  <c r="H19" i="12"/>
  <c r="AK19" i="12" s="1"/>
  <c r="H18" i="12"/>
  <c r="P18" i="12" s="1"/>
  <c r="B21" i="12"/>
  <c r="J28" i="12" s="1"/>
  <c r="B20" i="12"/>
  <c r="B19" i="12"/>
  <c r="B18" i="12"/>
  <c r="J25" i="12" s="1"/>
  <c r="AB20" i="12"/>
  <c r="AB19" i="12"/>
  <c r="AB18" i="12"/>
  <c r="Z21" i="12"/>
  <c r="AB21" i="12" s="1"/>
  <c r="AD28" i="12" s="1"/>
  <c r="V21" i="12"/>
  <c r="X28" i="12" s="1"/>
  <c r="V20" i="12"/>
  <c r="V19" i="12"/>
  <c r="V18" i="12"/>
  <c r="N21" i="12"/>
  <c r="N20" i="12"/>
  <c r="N19" i="12"/>
  <c r="N18" i="12"/>
  <c r="L21" i="12"/>
  <c r="D15" i="12"/>
  <c r="B14" i="12"/>
  <c r="B13" i="12"/>
  <c r="B12" i="12"/>
  <c r="B11" i="12"/>
  <c r="Z14" i="12"/>
  <c r="AB14" i="12" s="1"/>
  <c r="V14" i="12"/>
  <c r="V13" i="12"/>
  <c r="V12" i="12"/>
  <c r="V11" i="12"/>
  <c r="H14" i="12"/>
  <c r="P14" i="12" s="1"/>
  <c r="B43" i="21"/>
  <c r="A43" i="21"/>
  <c r="B42" i="21"/>
  <c r="A42" i="21"/>
  <c r="B41" i="21"/>
  <c r="A41" i="21"/>
  <c r="B40" i="21"/>
  <c r="A40" i="21"/>
  <c r="B37" i="21"/>
  <c r="A37" i="21"/>
  <c r="B36" i="21"/>
  <c r="A36" i="21"/>
  <c r="B35" i="21"/>
  <c r="A35" i="21"/>
  <c r="B34" i="21"/>
  <c r="A34" i="21"/>
  <c r="D31" i="21"/>
  <c r="D30" i="21"/>
  <c r="D29" i="21"/>
  <c r="D28" i="21"/>
  <c r="BX28" i="21"/>
  <c r="BY28" i="21" s="1"/>
  <c r="BU30" i="21"/>
  <c r="BT29" i="21"/>
  <c r="BY29" i="21" s="1"/>
  <c r="BT28" i="21"/>
  <c r="BU28" i="21" s="1"/>
  <c r="BP31" i="21"/>
  <c r="BP29" i="21"/>
  <c r="BQ29" i="21" s="1"/>
  <c r="BQ28" i="21"/>
  <c r="BP28" i="21"/>
  <c r="BL31" i="21"/>
  <c r="BL28" i="21"/>
  <c r="BH31" i="21"/>
  <c r="BI31" i="21" s="1"/>
  <c r="BH30" i="21"/>
  <c r="BM30" i="21" s="1"/>
  <c r="BH29" i="21"/>
  <c r="BH28" i="21"/>
  <c r="BD31" i="21"/>
  <c r="BD30" i="21"/>
  <c r="BD29" i="21"/>
  <c r="BD28" i="21"/>
  <c r="AZ31" i="21"/>
  <c r="AZ30" i="21"/>
  <c r="AZ29" i="21"/>
  <c r="AZ28" i="21"/>
  <c r="AV31" i="21"/>
  <c r="BA31" i="21" s="1"/>
  <c r="AV30" i="21"/>
  <c r="AV29" i="21"/>
  <c r="AV28" i="21"/>
  <c r="AR31" i="21"/>
  <c r="AW31" i="21" s="1"/>
  <c r="AR30" i="21"/>
  <c r="AR29" i="21"/>
  <c r="AR35" i="21" s="1"/>
  <c r="AR41" i="21" s="1"/>
  <c r="AR28" i="21"/>
  <c r="AR34" i="21" s="1"/>
  <c r="AN31" i="21"/>
  <c r="AN30" i="21"/>
  <c r="AO30" i="21" s="1"/>
  <c r="AN29" i="21"/>
  <c r="AN35" i="21" s="1"/>
  <c r="AN28" i="21"/>
  <c r="AO28" i="21" s="1"/>
  <c r="AJ31" i="21"/>
  <c r="AJ37" i="21" s="1"/>
  <c r="AJ30" i="21"/>
  <c r="AJ36" i="21" s="1"/>
  <c r="AJ29" i="21"/>
  <c r="AJ35" i="21"/>
  <c r="AJ28" i="21"/>
  <c r="AK28" i="21" s="1"/>
  <c r="AF31" i="21"/>
  <c r="AF37" i="21" s="1"/>
  <c r="AF30" i="21"/>
  <c r="AK30" i="21" s="1"/>
  <c r="AF29" i="21"/>
  <c r="AF28" i="21"/>
  <c r="AF34" i="21"/>
  <c r="AB31" i="21"/>
  <c r="AB37" i="21"/>
  <c r="AB30" i="21"/>
  <c r="AB29" i="21"/>
  <c r="AG29" i="21" s="1"/>
  <c r="AB35" i="21"/>
  <c r="AB28" i="21"/>
  <c r="AB34" i="21" s="1"/>
  <c r="X31" i="21"/>
  <c r="X30" i="21"/>
  <c r="X29" i="21"/>
  <c r="X28" i="21"/>
  <c r="T31" i="21"/>
  <c r="Y31" i="21" s="1"/>
  <c r="T30" i="21"/>
  <c r="T29" i="21"/>
  <c r="Y29" i="21" s="1"/>
  <c r="T28" i="21"/>
  <c r="P31" i="21"/>
  <c r="P30" i="21"/>
  <c r="P29" i="21"/>
  <c r="P28" i="21"/>
  <c r="L31" i="21"/>
  <c r="Q31" i="21" s="1"/>
  <c r="L30" i="21"/>
  <c r="L29" i="21"/>
  <c r="L28" i="21"/>
  <c r="H31" i="21"/>
  <c r="I31" i="21" s="1"/>
  <c r="H30" i="21"/>
  <c r="I30" i="21" s="1"/>
  <c r="H29" i="21"/>
  <c r="I29" i="21" s="1"/>
  <c r="H28" i="21"/>
  <c r="I28" i="21" s="1"/>
  <c r="B31" i="21"/>
  <c r="A31" i="21"/>
  <c r="B30" i="21"/>
  <c r="A30" i="21"/>
  <c r="B29" i="21"/>
  <c r="A29" i="21"/>
  <c r="B28" i="21"/>
  <c r="A28" i="21"/>
  <c r="AV25" i="21"/>
  <c r="BA25" i="21" s="1"/>
  <c r="T25" i="21"/>
  <c r="Y25" i="21" s="1"/>
  <c r="P25" i="21"/>
  <c r="L25" i="21"/>
  <c r="H25" i="21"/>
  <c r="D25" i="21"/>
  <c r="AZ24" i="21"/>
  <c r="BY22" i="21"/>
  <c r="BU25" i="21"/>
  <c r="BU24" i="21"/>
  <c r="BU23" i="21"/>
  <c r="BU22" i="21"/>
  <c r="BQ25" i="21"/>
  <c r="BQ24" i="21"/>
  <c r="BQ23" i="21"/>
  <c r="BQ22" i="21"/>
  <c r="BM25" i="21"/>
  <c r="BM24" i="21"/>
  <c r="BM23" i="21"/>
  <c r="BM22" i="21"/>
  <c r="BI25" i="21"/>
  <c r="BI24" i="21"/>
  <c r="BI23" i="21"/>
  <c r="BI22" i="21"/>
  <c r="BE25" i="21"/>
  <c r="BE23" i="21"/>
  <c r="BE22" i="21"/>
  <c r="BA23" i="21"/>
  <c r="BA22" i="21"/>
  <c r="AW24" i="21"/>
  <c r="AW23" i="21"/>
  <c r="AW22" i="21"/>
  <c r="AS25" i="21"/>
  <c r="AS24" i="21"/>
  <c r="AS23" i="21"/>
  <c r="AS22" i="21"/>
  <c r="AO25" i="21"/>
  <c r="AO24" i="21"/>
  <c r="AO23" i="21"/>
  <c r="AO22" i="21"/>
  <c r="AK25" i="21"/>
  <c r="AK24" i="21"/>
  <c r="AK23" i="21"/>
  <c r="AK22" i="21"/>
  <c r="AG25" i="21"/>
  <c r="AG24" i="21"/>
  <c r="AG23" i="21"/>
  <c r="AG22" i="21"/>
  <c r="AC25" i="21"/>
  <c r="AC24" i="21"/>
  <c r="AC23" i="21"/>
  <c r="AC22" i="21"/>
  <c r="Y24" i="21"/>
  <c r="Y23" i="21"/>
  <c r="Y22" i="21"/>
  <c r="U24" i="21"/>
  <c r="U23" i="21"/>
  <c r="U22" i="21"/>
  <c r="Q24" i="21"/>
  <c r="Q23" i="21"/>
  <c r="Q22" i="21"/>
  <c r="M24" i="21"/>
  <c r="M23" i="21"/>
  <c r="M22" i="21"/>
  <c r="I24" i="21"/>
  <c r="I23" i="21"/>
  <c r="I22" i="21"/>
  <c r="B25" i="21"/>
  <c r="A25" i="21"/>
  <c r="B24" i="21"/>
  <c r="A24" i="21"/>
  <c r="B23" i="21"/>
  <c r="A23" i="21"/>
  <c r="B22" i="21"/>
  <c r="A22" i="21"/>
  <c r="D19" i="21"/>
  <c r="D18" i="21"/>
  <c r="D17" i="21"/>
  <c r="D16" i="21"/>
  <c r="AR19" i="21"/>
  <c r="AR37" i="21"/>
  <c r="AR18" i="21"/>
  <c r="AN19" i="21"/>
  <c r="AS19" i="21" s="1"/>
  <c r="AN18" i="21"/>
  <c r="AN36" i="21" s="1"/>
  <c r="X18" i="21"/>
  <c r="X17" i="21"/>
  <c r="X16" i="21"/>
  <c r="AC16" i="21"/>
  <c r="AF17" i="21"/>
  <c r="AK17" i="21" s="1"/>
  <c r="BX34" i="21"/>
  <c r="BT18" i="21"/>
  <c r="BY18" i="21" s="1"/>
  <c r="BT16" i="21"/>
  <c r="BY16" i="21" s="1"/>
  <c r="BT34" i="21"/>
  <c r="BP18" i="21"/>
  <c r="BP17" i="21"/>
  <c r="BP16" i="21"/>
  <c r="BL19" i="21"/>
  <c r="BL18" i="21"/>
  <c r="BM18" i="21" s="1"/>
  <c r="BL17" i="21"/>
  <c r="BL16" i="21"/>
  <c r="BL34" i="21" s="1"/>
  <c r="BH19" i="21"/>
  <c r="BH18" i="21"/>
  <c r="BH17" i="21"/>
  <c r="BH16" i="21"/>
  <c r="BH34" i="21" s="1"/>
  <c r="BD19" i="21"/>
  <c r="BD18" i="21"/>
  <c r="BD36" i="21" s="1"/>
  <c r="BD17" i="21"/>
  <c r="BD16" i="21"/>
  <c r="AZ19" i="21"/>
  <c r="AZ37" i="21" s="1"/>
  <c r="AZ18" i="21"/>
  <c r="AZ17" i="21"/>
  <c r="AZ16" i="21"/>
  <c r="AZ34" i="21" s="1"/>
  <c r="AV19" i="21"/>
  <c r="AV37" i="21" s="1"/>
  <c r="AV18" i="21"/>
  <c r="AV17" i="21"/>
  <c r="AV16" i="21"/>
  <c r="AS17" i="21"/>
  <c r="AO17" i="21"/>
  <c r="AN16" i="21"/>
  <c r="AN34" i="21" s="1"/>
  <c r="AK19" i="21"/>
  <c r="AK18" i="21"/>
  <c r="AJ16" i="21"/>
  <c r="AK16" i="21" s="1"/>
  <c r="AG19" i="21"/>
  <c r="AG18" i="21"/>
  <c r="AG16" i="21"/>
  <c r="AC19" i="21"/>
  <c r="AC18" i="21"/>
  <c r="AC17" i="21"/>
  <c r="T19" i="21"/>
  <c r="T18" i="21"/>
  <c r="T17" i="21"/>
  <c r="T16" i="21"/>
  <c r="P19" i="21"/>
  <c r="Q19" i="21" s="1"/>
  <c r="P18" i="21"/>
  <c r="P17" i="21"/>
  <c r="P16" i="21"/>
  <c r="L19" i="21"/>
  <c r="L18" i="21"/>
  <c r="L17" i="21"/>
  <c r="Q17" i="21" s="1"/>
  <c r="L16" i="21"/>
  <c r="M16" i="21" s="1"/>
  <c r="H19" i="21"/>
  <c r="M19" i="21" s="1"/>
  <c r="H18" i="21"/>
  <c r="I18" i="21"/>
  <c r="H17" i="21"/>
  <c r="H16" i="21"/>
  <c r="I16" i="21" s="1"/>
  <c r="B19" i="21"/>
  <c r="A19" i="21"/>
  <c r="B18" i="21"/>
  <c r="A18" i="21"/>
  <c r="B17" i="21"/>
  <c r="A17" i="21"/>
  <c r="B16" i="21"/>
  <c r="A16" i="21"/>
  <c r="D13" i="21"/>
  <c r="D12" i="21"/>
  <c r="D11" i="21"/>
  <c r="D10" i="21"/>
  <c r="BY10" i="21"/>
  <c r="C4" i="74" s="1"/>
  <c r="BU13" i="21"/>
  <c r="BU12" i="21"/>
  <c r="BU11" i="21"/>
  <c r="BU10" i="21"/>
  <c r="BQ13" i="21"/>
  <c r="BQ12" i="21"/>
  <c r="BQ11" i="21"/>
  <c r="BQ10" i="21"/>
  <c r="BM13" i="21"/>
  <c r="BM12" i="21"/>
  <c r="BM11" i="21"/>
  <c r="BM10" i="21"/>
  <c r="BI13" i="21"/>
  <c r="BI12" i="21"/>
  <c r="BI11" i="21"/>
  <c r="BI10" i="21"/>
  <c r="BE13" i="21"/>
  <c r="BE12" i="21"/>
  <c r="BE11" i="21"/>
  <c r="BE10" i="21"/>
  <c r="BA13" i="21"/>
  <c r="BA12" i="21"/>
  <c r="BA11" i="21"/>
  <c r="BA10" i="21"/>
  <c r="AW13" i="21"/>
  <c r="AW12" i="21"/>
  <c r="AW11" i="21"/>
  <c r="AW10" i="21"/>
  <c r="AS13" i="21"/>
  <c r="AS12" i="21"/>
  <c r="AS11" i="21"/>
  <c r="AS10" i="21"/>
  <c r="AO13" i="21"/>
  <c r="AO12" i="21"/>
  <c r="AO11" i="21"/>
  <c r="AO10" i="21"/>
  <c r="AK13" i="21"/>
  <c r="AK12" i="21"/>
  <c r="AK11" i="21"/>
  <c r="AK10" i="21"/>
  <c r="AG13" i="21"/>
  <c r="AG12" i="21"/>
  <c r="AG11" i="21"/>
  <c r="AG10" i="21"/>
  <c r="X13" i="21"/>
  <c r="AC13" i="21" s="1"/>
  <c r="X12" i="21"/>
  <c r="AC12" i="21" s="1"/>
  <c r="X11" i="21"/>
  <c r="X10" i="21"/>
  <c r="AC10" i="21" s="1"/>
  <c r="T12" i="21"/>
  <c r="U12" i="21" s="1"/>
  <c r="T11" i="21"/>
  <c r="T35" i="21" s="1"/>
  <c r="T41" i="21" s="1"/>
  <c r="T10" i="21"/>
  <c r="T34" i="21" s="1"/>
  <c r="U34" i="21" s="1"/>
  <c r="P13" i="21"/>
  <c r="P37" i="21" s="1"/>
  <c r="P12" i="21"/>
  <c r="P11" i="21"/>
  <c r="P10" i="21"/>
  <c r="P34" i="21" s="1"/>
  <c r="L13" i="21"/>
  <c r="Q13" i="21" s="1"/>
  <c r="L12" i="21"/>
  <c r="M12" i="21" s="1"/>
  <c r="L11" i="21"/>
  <c r="L35" i="21" s="1"/>
  <c r="Q35" i="21" s="1"/>
  <c r="L10" i="21"/>
  <c r="L34" i="21" s="1"/>
  <c r="P40" i="21" s="1"/>
  <c r="H13" i="21"/>
  <c r="H12" i="21"/>
  <c r="H36" i="21" s="1"/>
  <c r="H11" i="21"/>
  <c r="I11" i="21" s="1"/>
  <c r="H10" i="21"/>
  <c r="H7" i="21"/>
  <c r="L7" i="21" s="1"/>
  <c r="P7" i="21" s="1"/>
  <c r="T7" i="21" s="1"/>
  <c r="X7" i="21" s="1"/>
  <c r="AB7" i="21" s="1"/>
  <c r="AF7" i="21" s="1"/>
  <c r="AJ7" i="21" s="1"/>
  <c r="AN7" i="21" s="1"/>
  <c r="AR7" i="21" s="1"/>
  <c r="AV7" i="21" s="1"/>
  <c r="AZ7" i="21" s="1"/>
  <c r="BD7" i="21" s="1"/>
  <c r="A1" i="21"/>
  <c r="D41" i="13"/>
  <c r="AH29" i="13"/>
  <c r="AH35" i="13" s="1"/>
  <c r="AH28" i="13"/>
  <c r="AH34" i="13" s="1"/>
  <c r="AH27" i="13"/>
  <c r="AH45" i="13" s="1"/>
  <c r="AH26" i="13"/>
  <c r="AH44" i="13" s="1"/>
  <c r="AF29" i="13"/>
  <c r="AF28" i="13"/>
  <c r="AF27" i="13"/>
  <c r="AF45" i="13" s="1"/>
  <c r="AF51" i="13" s="1"/>
  <c r="AF26" i="13"/>
  <c r="AD29" i="13"/>
  <c r="AD28" i="13"/>
  <c r="AD27" i="13"/>
  <c r="AD26" i="13"/>
  <c r="AD44" i="13"/>
  <c r="AB29" i="13"/>
  <c r="AB28" i="13"/>
  <c r="AB27" i="13"/>
  <c r="AB45" i="13"/>
  <c r="AB26" i="13"/>
  <c r="AB44" i="13" s="1"/>
  <c r="AB50" i="13" s="1"/>
  <c r="Z29" i="13"/>
  <c r="Z28" i="13"/>
  <c r="Z27" i="13"/>
  <c r="Z45" i="13" s="1"/>
  <c r="Z26" i="13"/>
  <c r="Z44" i="13" s="1"/>
  <c r="X29" i="13"/>
  <c r="X28" i="13"/>
  <c r="X27" i="13"/>
  <c r="X45" i="13" s="1"/>
  <c r="X26" i="13"/>
  <c r="V29" i="13"/>
  <c r="V28" i="13"/>
  <c r="V27" i="13"/>
  <c r="V45" i="13"/>
  <c r="V26" i="13"/>
  <c r="T29" i="13"/>
  <c r="T28" i="13"/>
  <c r="T27" i="13"/>
  <c r="T45" i="13"/>
  <c r="T51" i="13" s="1"/>
  <c r="T26" i="13"/>
  <c r="T44" i="13" s="1"/>
  <c r="R29" i="13"/>
  <c r="R28" i="13"/>
  <c r="R27" i="13"/>
  <c r="R45" i="13" s="1"/>
  <c r="R26" i="13"/>
  <c r="R44" i="13" s="1"/>
  <c r="P29" i="13"/>
  <c r="P35" i="13"/>
  <c r="P28" i="13"/>
  <c r="P27" i="13"/>
  <c r="P45" i="13"/>
  <c r="P51" i="13"/>
  <c r="P26" i="13"/>
  <c r="N29" i="13"/>
  <c r="N35" i="13"/>
  <c r="N28" i="13"/>
  <c r="N34" i="13" s="1"/>
  <c r="N58" i="13" s="1"/>
  <c r="N27" i="13"/>
  <c r="N45" i="13" s="1"/>
  <c r="N51" i="13" s="1"/>
  <c r="N26" i="13"/>
  <c r="N44" i="13"/>
  <c r="L29" i="13"/>
  <c r="L35" i="13"/>
  <c r="L28" i="13"/>
  <c r="L27" i="13"/>
  <c r="L45" i="13" s="1"/>
  <c r="L57" i="13" s="1"/>
  <c r="L26" i="13"/>
  <c r="L44" i="13" s="1"/>
  <c r="J29" i="13"/>
  <c r="J28" i="13"/>
  <c r="J27" i="13"/>
  <c r="J45" i="13" s="1"/>
  <c r="J26" i="13"/>
  <c r="J44" i="13" s="1"/>
  <c r="H29" i="13"/>
  <c r="H28" i="13"/>
  <c r="H27" i="13"/>
  <c r="H45" i="13" s="1"/>
  <c r="H26" i="13"/>
  <c r="F29" i="13"/>
  <c r="F28" i="13"/>
  <c r="F27" i="13"/>
  <c r="F45" i="13" s="1"/>
  <c r="F51" i="13" s="1"/>
  <c r="F26" i="13"/>
  <c r="F44" i="13" s="1"/>
  <c r="D29" i="13"/>
  <c r="D28" i="13"/>
  <c r="D27" i="13"/>
  <c r="D26" i="13"/>
  <c r="AJ26" i="13"/>
  <c r="AJ32" i="13" s="1"/>
  <c r="AJ56" i="13" s="1"/>
  <c r="B17" i="13"/>
  <c r="B23" i="13" s="1"/>
  <c r="B29" i="13" s="1"/>
  <c r="B35" i="13" s="1"/>
  <c r="B41" i="13" s="1"/>
  <c r="B47" i="13" s="1"/>
  <c r="B53" i="13" s="1"/>
  <c r="B59" i="13" s="1"/>
  <c r="A17" i="13"/>
  <c r="A23" i="13" s="1"/>
  <c r="A29" i="13" s="1"/>
  <c r="A35" i="13" s="1"/>
  <c r="A41" i="13" s="1"/>
  <c r="A47" i="13" s="1"/>
  <c r="A53" i="13" s="1"/>
  <c r="A59" i="13" s="1"/>
  <c r="B16" i="13"/>
  <c r="B22" i="13" s="1"/>
  <c r="B28" i="13" s="1"/>
  <c r="B34" i="13" s="1"/>
  <c r="B40" i="13" s="1"/>
  <c r="B46" i="13" s="1"/>
  <c r="B52" i="13" s="1"/>
  <c r="B58" i="13" s="1"/>
  <c r="A16" i="13"/>
  <c r="A22" i="13" s="1"/>
  <c r="A28" i="13" s="1"/>
  <c r="A34" i="13" s="1"/>
  <c r="A40" i="13" s="1"/>
  <c r="A46" i="13" s="1"/>
  <c r="A52" i="13" s="1"/>
  <c r="A58" i="13" s="1"/>
  <c r="B15" i="13"/>
  <c r="B21" i="13" s="1"/>
  <c r="B27" i="13" s="1"/>
  <c r="B33" i="13" s="1"/>
  <c r="B39" i="13" s="1"/>
  <c r="B45" i="13" s="1"/>
  <c r="B51" i="13" s="1"/>
  <c r="B57" i="13" s="1"/>
  <c r="A15" i="13"/>
  <c r="A21" i="13" s="1"/>
  <c r="A27" i="13" s="1"/>
  <c r="A33" i="13" s="1"/>
  <c r="A39" i="13" s="1"/>
  <c r="A45" i="13" s="1"/>
  <c r="A51" i="13" s="1"/>
  <c r="A57" i="13" s="1"/>
  <c r="B14" i="13"/>
  <c r="B20" i="13" s="1"/>
  <c r="B26" i="13" s="1"/>
  <c r="B32" i="13" s="1"/>
  <c r="B38" i="13" s="1"/>
  <c r="B44" i="13" s="1"/>
  <c r="B50" i="13" s="1"/>
  <c r="B56" i="13" s="1"/>
  <c r="A14" i="13"/>
  <c r="A20" i="13" s="1"/>
  <c r="A26" i="13" s="1"/>
  <c r="A32" i="13" s="1"/>
  <c r="A38" i="13" s="1"/>
  <c r="A44" i="13" s="1"/>
  <c r="A50" i="13" s="1"/>
  <c r="A56" i="13" s="1"/>
  <c r="AF11" i="13"/>
  <c r="AF10" i="13"/>
  <c r="AF34" i="13" s="1"/>
  <c r="AF9" i="13"/>
  <c r="AF8" i="13"/>
  <c r="AD11" i="13"/>
  <c r="AD10" i="13"/>
  <c r="AD9" i="13"/>
  <c r="AD8" i="13"/>
  <c r="AB11" i="13"/>
  <c r="AB35" i="13" s="1"/>
  <c r="AB59" i="13" s="1"/>
  <c r="AB10" i="13"/>
  <c r="AB34" i="13" s="1"/>
  <c r="AB9" i="13"/>
  <c r="AB8" i="13"/>
  <c r="Z11" i="13"/>
  <c r="Z10" i="13"/>
  <c r="Z9" i="13"/>
  <c r="Z33" i="13" s="1"/>
  <c r="Z57" i="13" s="1"/>
  <c r="Z8" i="13"/>
  <c r="X11" i="13"/>
  <c r="X10" i="13"/>
  <c r="X9" i="13"/>
  <c r="X8" i="13"/>
  <c r="V11" i="13"/>
  <c r="V35" i="13"/>
  <c r="V59" i="13" s="1"/>
  <c r="V10" i="13"/>
  <c r="V9" i="13"/>
  <c r="V8" i="13"/>
  <c r="T11" i="13"/>
  <c r="T35" i="13" s="1"/>
  <c r="T10" i="13"/>
  <c r="T34" i="13" s="1"/>
  <c r="R11" i="13"/>
  <c r="R35" i="13" s="1"/>
  <c r="R10" i="13"/>
  <c r="R34" i="13" s="1"/>
  <c r="J11" i="13"/>
  <c r="J35" i="13" s="1"/>
  <c r="J59" i="13" s="1"/>
  <c r="J10" i="13"/>
  <c r="J34" i="13"/>
  <c r="J9" i="13"/>
  <c r="J8" i="13"/>
  <c r="H11" i="13"/>
  <c r="H10" i="13"/>
  <c r="H34" i="13" s="1"/>
  <c r="H9" i="13"/>
  <c r="H8" i="13"/>
  <c r="H32" i="13" s="1"/>
  <c r="F11" i="13"/>
  <c r="F35" i="13" s="1"/>
  <c r="F59" i="13" s="1"/>
  <c r="D11" i="13"/>
  <c r="D10" i="13"/>
  <c r="D9" i="13"/>
  <c r="D8" i="13"/>
  <c r="P10" i="13"/>
  <c r="P34" i="13" s="1"/>
  <c r="P9" i="13"/>
  <c r="L9" i="13"/>
  <c r="L33" i="13" s="1"/>
  <c r="L8" i="13"/>
  <c r="F9" i="13"/>
  <c r="F8" i="13"/>
  <c r="F5" i="13"/>
  <c r="H5" i="13"/>
  <c r="J5" i="13" s="1"/>
  <c r="L5" i="13" s="1"/>
  <c r="N5" i="13" s="1"/>
  <c r="P5" i="13" s="1"/>
  <c r="R5" i="13" s="1"/>
  <c r="T5" i="13" s="1"/>
  <c r="V5" i="13" s="1"/>
  <c r="X5" i="13" s="1"/>
  <c r="Z5" i="13" s="1"/>
  <c r="AU89" i="11"/>
  <c r="AU88" i="11"/>
  <c r="AS89" i="11"/>
  <c r="AS88" i="11"/>
  <c r="AQ89" i="11"/>
  <c r="AQ88" i="11"/>
  <c r="AO89" i="11"/>
  <c r="AO88" i="11"/>
  <c r="AM89" i="11"/>
  <c r="AM88" i="11"/>
  <c r="AK89" i="11"/>
  <c r="AK88" i="11"/>
  <c r="AI89" i="11"/>
  <c r="AI88" i="11"/>
  <c r="AG89" i="11"/>
  <c r="AG88" i="11"/>
  <c r="AE89" i="11"/>
  <c r="AE88" i="11"/>
  <c r="AC89" i="11"/>
  <c r="AC88" i="11"/>
  <c r="AA89" i="11"/>
  <c r="AA88" i="11"/>
  <c r="Y89" i="11"/>
  <c r="Y88" i="11"/>
  <c r="W89" i="11"/>
  <c r="W88" i="11"/>
  <c r="U89" i="11"/>
  <c r="U88" i="11"/>
  <c r="S89" i="11"/>
  <c r="S88" i="11"/>
  <c r="Q89" i="11"/>
  <c r="Q88" i="11"/>
  <c r="O89" i="11"/>
  <c r="O88" i="11"/>
  <c r="I89" i="11"/>
  <c r="I88" i="11"/>
  <c r="AY89" i="11"/>
  <c r="AW89" i="11"/>
  <c r="AY88" i="11"/>
  <c r="AW88" i="11"/>
  <c r="AM85" i="11"/>
  <c r="AM83" i="11" s="1"/>
  <c r="AK85" i="11"/>
  <c r="AK83" i="11" s="1"/>
  <c r="AK84" i="11" s="1"/>
  <c r="AI85" i="11"/>
  <c r="AG85" i="11"/>
  <c r="AG84" i="11"/>
  <c r="AG83" i="11"/>
  <c r="AE85" i="11"/>
  <c r="AC85" i="11"/>
  <c r="AC83" i="11"/>
  <c r="Y85" i="11"/>
  <c r="W85" i="11"/>
  <c r="W83" i="11" s="1"/>
  <c r="U85" i="11"/>
  <c r="U86" i="11" s="1"/>
  <c r="W86" i="11" s="1"/>
  <c r="Y86" i="11" s="1"/>
  <c r="AA86" i="11" s="1"/>
  <c r="AC86" i="11" s="1"/>
  <c r="AE86" i="11" s="1"/>
  <c r="AG86" i="11" s="1"/>
  <c r="AI86" i="11" s="1"/>
  <c r="AK86" i="11" s="1"/>
  <c r="AM86" i="11" s="1"/>
  <c r="AO86" i="11" s="1"/>
  <c r="AQ86" i="11" s="1"/>
  <c r="AS86" i="11" s="1"/>
  <c r="AU86" i="11" s="1"/>
  <c r="AY86" i="11" s="1"/>
  <c r="BC86" i="11" s="1"/>
  <c r="U84" i="11"/>
  <c r="S85" i="11"/>
  <c r="S86" i="11" s="1"/>
  <c r="S84" i="11"/>
  <c r="AW86" i="11"/>
  <c r="BA86" i="11" s="1"/>
  <c r="BE86" i="11" s="1"/>
  <c r="AM79" i="11"/>
  <c r="AK79" i="11"/>
  <c r="AI79" i="11"/>
  <c r="AG79" i="11"/>
  <c r="AE79" i="11"/>
  <c r="Y79" i="11"/>
  <c r="W79" i="11"/>
  <c r="U79" i="11"/>
  <c r="K79" i="11"/>
  <c r="I79" i="11"/>
  <c r="G79" i="11"/>
  <c r="AU72" i="11"/>
  <c r="AS72" i="11"/>
  <c r="AQ72" i="11"/>
  <c r="AO72" i="11"/>
  <c r="AM72" i="11"/>
  <c r="AK72" i="11"/>
  <c r="AI72" i="11"/>
  <c r="AG72" i="11"/>
  <c r="AE72" i="11"/>
  <c r="AC72" i="11"/>
  <c r="AA72" i="11"/>
  <c r="Y74" i="11"/>
  <c r="AA74" i="11" s="1"/>
  <c r="AC74" i="11" s="1"/>
  <c r="AE74" i="11" s="1"/>
  <c r="AG74" i="11" s="1"/>
  <c r="AI74" i="11" s="1"/>
  <c r="AK74" i="11" s="1"/>
  <c r="AM74" i="11" s="1"/>
  <c r="AO74" i="11" s="1"/>
  <c r="AQ74" i="11" s="1"/>
  <c r="AS74" i="11" s="1"/>
  <c r="AU74" i="11" s="1"/>
  <c r="AY74" i="11" s="1"/>
  <c r="BC74" i="11" s="1"/>
  <c r="Y72" i="11"/>
  <c r="W74" i="11"/>
  <c r="W72" i="11"/>
  <c r="U74" i="11"/>
  <c r="U72" i="11"/>
  <c r="S74" i="11"/>
  <c r="S72" i="11"/>
  <c r="Q74" i="11"/>
  <c r="Q72" i="11"/>
  <c r="O74" i="11"/>
  <c r="O72" i="11"/>
  <c r="M74" i="11"/>
  <c r="K74" i="11"/>
  <c r="I74" i="11"/>
  <c r="I72" i="11"/>
  <c r="G74" i="11"/>
  <c r="G72" i="11"/>
  <c r="AW74" i="11"/>
  <c r="BA74" i="11" s="1"/>
  <c r="BE74" i="11" s="1"/>
  <c r="AY72" i="11"/>
  <c r="AW72" i="11"/>
  <c r="AA70" i="11"/>
  <c r="AC70" i="11" s="1"/>
  <c r="AE70" i="11"/>
  <c r="AG70" i="11" s="1"/>
  <c r="AI70" i="11" s="1"/>
  <c r="AK70" i="11" s="1"/>
  <c r="AM70" i="11" s="1"/>
  <c r="AO70" i="11" s="1"/>
  <c r="AQ70" i="11" s="1"/>
  <c r="AS70" i="11" s="1"/>
  <c r="AU70" i="11" s="1"/>
  <c r="U66" i="11"/>
  <c r="S53" i="11"/>
  <c r="E54" i="11"/>
  <c r="AC50" i="11"/>
  <c r="AG49" i="11"/>
  <c r="W49" i="11"/>
  <c r="W51" i="11" s="1"/>
  <c r="W48" i="11"/>
  <c r="W47" i="11"/>
  <c r="W46" i="11"/>
  <c r="U49" i="11"/>
  <c r="U48" i="11"/>
  <c r="U47" i="11"/>
  <c r="AU44" i="11"/>
  <c r="AU48" i="11"/>
  <c r="AW48" i="11" s="1"/>
  <c r="AY48" i="11" s="1"/>
  <c r="BA48" i="11" s="1"/>
  <c r="BC48" i="11" s="1"/>
  <c r="BE48" i="11" s="1"/>
  <c r="S48" i="11"/>
  <c r="S47" i="11"/>
  <c r="AM47" i="11"/>
  <c r="AM46" i="11"/>
  <c r="AM45" i="11"/>
  <c r="AK47" i="11"/>
  <c r="AK46" i="11"/>
  <c r="AK45" i="11"/>
  <c r="AI47" i="11"/>
  <c r="AI46" i="11"/>
  <c r="AI45" i="11"/>
  <c r="AG47" i="11"/>
  <c r="AG46" i="11"/>
  <c r="AG45" i="11"/>
  <c r="AG44" i="11"/>
  <c r="AG51" i="11" s="1"/>
  <c r="AE47" i="11"/>
  <c r="AC47" i="11"/>
  <c r="AA47" i="11"/>
  <c r="AA46" i="11"/>
  <c r="AA45" i="11"/>
  <c r="AC54" i="10" s="1"/>
  <c r="Y47" i="11"/>
  <c r="Y51" i="11"/>
  <c r="Y46" i="11"/>
  <c r="Q47" i="11"/>
  <c r="O47" i="11"/>
  <c r="O51" i="11"/>
  <c r="M47" i="11"/>
  <c r="K47" i="11"/>
  <c r="K51" i="11" s="1"/>
  <c r="I47" i="11"/>
  <c r="AO51" i="11"/>
  <c r="AE45" i="11"/>
  <c r="AG54" i="10" s="1"/>
  <c r="AE44" i="11"/>
  <c r="AC45" i="11"/>
  <c r="AC44" i="11"/>
  <c r="AC51" i="11" s="1"/>
  <c r="I45" i="11"/>
  <c r="I51" i="11"/>
  <c r="G45" i="11"/>
  <c r="G44" i="11"/>
  <c r="G51" i="11" s="1"/>
  <c r="E45" i="11"/>
  <c r="E51" i="11" s="1"/>
  <c r="AW44" i="11"/>
  <c r="Y44" i="11"/>
  <c r="U44" i="11"/>
  <c r="U51" i="11" s="1"/>
  <c r="Q44" i="11"/>
  <c r="M44" i="11"/>
  <c r="M51" i="11" s="1"/>
  <c r="AM32" i="11"/>
  <c r="AK32" i="11"/>
  <c r="AI32" i="11"/>
  <c r="AG32" i="11"/>
  <c r="AE32" i="11"/>
  <c r="AC32" i="11"/>
  <c r="AA32" i="11"/>
  <c r="Y33" i="11"/>
  <c r="Y36" i="11" s="1"/>
  <c r="W33" i="11"/>
  <c r="U33" i="11"/>
  <c r="U65" i="11" s="1"/>
  <c r="U67" i="11" s="1"/>
  <c r="S33" i="11"/>
  <c r="S65" i="11" s="1"/>
  <c r="Q33" i="11"/>
  <c r="Q36" i="11" s="1"/>
  <c r="O33" i="11"/>
  <c r="O36" i="11" s="1"/>
  <c r="O65" i="11"/>
  <c r="M33" i="11"/>
  <c r="M65" i="11"/>
  <c r="I32" i="11"/>
  <c r="E33" i="11"/>
  <c r="E36" i="11" s="1"/>
  <c r="C33" i="11"/>
  <c r="K30" i="11"/>
  <c r="K29" i="11"/>
  <c r="AM27" i="11"/>
  <c r="AK27" i="11"/>
  <c r="AK33" i="11"/>
  <c r="AI27" i="11"/>
  <c r="AI33" i="11" s="1"/>
  <c r="AG27" i="11"/>
  <c r="AG33" i="11" s="1"/>
  <c r="AE27" i="11"/>
  <c r="AE33" i="11" s="1"/>
  <c r="AC27" i="11"/>
  <c r="AC33" i="11" s="1"/>
  <c r="AA27" i="11"/>
  <c r="AA33" i="11" s="1"/>
  <c r="G27" i="11"/>
  <c r="G33" i="11" s="1"/>
  <c r="K26" i="11"/>
  <c r="K25" i="11"/>
  <c r="I26" i="11"/>
  <c r="I25" i="11"/>
  <c r="S23" i="11"/>
  <c r="M22" i="11"/>
  <c r="K22" i="11"/>
  <c r="AT18" i="11"/>
  <c r="AT39" i="11" s="1"/>
  <c r="AR18" i="11"/>
  <c r="AR39" i="11" s="1"/>
  <c r="AG17" i="11"/>
  <c r="AG13" i="11"/>
  <c r="AG18" i="11" s="1"/>
  <c r="AE17" i="11"/>
  <c r="AE13" i="11" s="1"/>
  <c r="AC17" i="11"/>
  <c r="AC13" i="11" s="1"/>
  <c r="AA17" i="11"/>
  <c r="AA13" i="11" s="1"/>
  <c r="Y17" i="11"/>
  <c r="Y13" i="11"/>
  <c r="W17" i="11"/>
  <c r="U17" i="11"/>
  <c r="U13" i="11" s="1"/>
  <c r="S17" i="11"/>
  <c r="S13" i="11" s="1"/>
  <c r="Q17" i="11"/>
  <c r="Q13" i="11" s="1"/>
  <c r="O17" i="11"/>
  <c r="O13" i="11" s="1"/>
  <c r="K14" i="11"/>
  <c r="K13" i="11" s="1"/>
  <c r="AM13" i="11"/>
  <c r="AM18" i="11"/>
  <c r="AK13" i="11"/>
  <c r="AK18" i="11" s="1"/>
  <c r="AI13" i="11"/>
  <c r="AI18" i="11" s="1"/>
  <c r="AI39" i="11" s="1"/>
  <c r="AI93" i="11" s="1"/>
  <c r="AI94" i="11" s="1"/>
  <c r="W13" i="11"/>
  <c r="M13" i="11"/>
  <c r="I13" i="11"/>
  <c r="G13" i="11"/>
  <c r="E13" i="11"/>
  <c r="AQ127" i="10"/>
  <c r="AQ97" i="10"/>
  <c r="AO127" i="10"/>
  <c r="AM127" i="10"/>
  <c r="AM97" i="10" s="1"/>
  <c r="AK127" i="10"/>
  <c r="AK97" i="10" s="1"/>
  <c r="AI127" i="10"/>
  <c r="AI97" i="10" s="1"/>
  <c r="AG127" i="10"/>
  <c r="AE127" i="10"/>
  <c r="AC127" i="10"/>
  <c r="AC97" i="10" s="1"/>
  <c r="AA127" i="10"/>
  <c r="AA97" i="10" s="1"/>
  <c r="Y127" i="10"/>
  <c r="Y97" i="10" s="1"/>
  <c r="W127" i="10"/>
  <c r="U127" i="10"/>
  <c r="U97" i="10" s="1"/>
  <c r="S127" i="10"/>
  <c r="S97" i="10" s="1"/>
  <c r="Q127" i="10"/>
  <c r="AI107" i="10"/>
  <c r="AG107" i="10"/>
  <c r="AE107" i="10"/>
  <c r="AE113" i="10" s="1"/>
  <c r="AC107" i="10"/>
  <c r="AA107" i="10"/>
  <c r="Y107" i="10"/>
  <c r="O105" i="10"/>
  <c r="Q105" i="10" s="1"/>
  <c r="S105" i="10" s="1"/>
  <c r="U105" i="10" s="1"/>
  <c r="W105" i="10" s="1"/>
  <c r="Y105" i="10" s="1"/>
  <c r="AA105" i="10" s="1"/>
  <c r="AC105" i="10" s="1"/>
  <c r="AE105" i="10" s="1"/>
  <c r="AG105" i="10" s="1"/>
  <c r="AI105" i="10" s="1"/>
  <c r="AK105" i="10" s="1"/>
  <c r="AM105" i="10" s="1"/>
  <c r="AO105" i="10" s="1"/>
  <c r="AQ105" i="10" s="1"/>
  <c r="AS105" i="10" s="1"/>
  <c r="AU105" i="10" s="1"/>
  <c r="AW105" i="10" s="1"/>
  <c r="K107" i="10"/>
  <c r="I107" i="10"/>
  <c r="G107" i="10"/>
  <c r="O103" i="10"/>
  <c r="Q103" i="10" s="1"/>
  <c r="S103" i="10" s="1"/>
  <c r="U103" i="10" s="1"/>
  <c r="W103" i="10" s="1"/>
  <c r="Y103" i="10" s="1"/>
  <c r="AA103" i="10" s="1"/>
  <c r="AC103" i="10" s="1"/>
  <c r="AE103" i="10" s="1"/>
  <c r="AG103" i="10" s="1"/>
  <c r="AI103" i="10" s="1"/>
  <c r="AK103" i="10" s="1"/>
  <c r="AM103" i="10" s="1"/>
  <c r="AO103" i="10" s="1"/>
  <c r="AQ103" i="10" s="1"/>
  <c r="AS103" i="10" s="1"/>
  <c r="AU103" i="10" s="1"/>
  <c r="AW103" i="10" s="1"/>
  <c r="AY105" i="10"/>
  <c r="BA105" i="10" s="1"/>
  <c r="BC105" i="10" s="1"/>
  <c r="BE105" i="10" s="1"/>
  <c r="AY103" i="10"/>
  <c r="BA103" i="10" s="1"/>
  <c r="BC103" i="10" s="1"/>
  <c r="BE103" i="10" s="1"/>
  <c r="AQ100" i="10"/>
  <c r="AQ99" i="10"/>
  <c r="AO100" i="10"/>
  <c r="AO99" i="10"/>
  <c r="AO97" i="10"/>
  <c r="AM100" i="10"/>
  <c r="AM99" i="10"/>
  <c r="AK100" i="10"/>
  <c r="AK99" i="10"/>
  <c r="AI100" i="10"/>
  <c r="AI99" i="10"/>
  <c r="AG100" i="10"/>
  <c r="AG99" i="10"/>
  <c r="AG97" i="10"/>
  <c r="AE100" i="10"/>
  <c r="AE99" i="10"/>
  <c r="AE97" i="10"/>
  <c r="AC100" i="10"/>
  <c r="AA100" i="10"/>
  <c r="Y100" i="10"/>
  <c r="W100" i="10"/>
  <c r="W99" i="10"/>
  <c r="W97" i="10"/>
  <c r="U100" i="10"/>
  <c r="S100" i="10"/>
  <c r="Q100" i="10"/>
  <c r="Q97" i="10"/>
  <c r="O100" i="10"/>
  <c r="Q102" i="10"/>
  <c r="S102" i="10" s="1"/>
  <c r="O97" i="10"/>
  <c r="M97" i="10"/>
  <c r="K97" i="10"/>
  <c r="I97" i="10"/>
  <c r="I96" i="10"/>
  <c r="I98" i="10" s="1"/>
  <c r="K111" i="10" s="1"/>
  <c r="G97" i="10"/>
  <c r="G96" i="10"/>
  <c r="E90" i="10"/>
  <c r="E91" i="10" s="1"/>
  <c r="C90" i="10"/>
  <c r="C91" i="10" s="1"/>
  <c r="AO86" i="10"/>
  <c r="AM86" i="10"/>
  <c r="AK86" i="10"/>
  <c r="AI86" i="10"/>
  <c r="AG86" i="10"/>
  <c r="AE86" i="10"/>
  <c r="AC86" i="10"/>
  <c r="AA86" i="10"/>
  <c r="Y86" i="10"/>
  <c r="W86" i="10"/>
  <c r="U86" i="10"/>
  <c r="S86" i="10"/>
  <c r="Q86" i="10"/>
  <c r="O86" i="10"/>
  <c r="M86" i="10"/>
  <c r="K86" i="10"/>
  <c r="I86" i="10"/>
  <c r="G86" i="10"/>
  <c r="E86" i="10"/>
  <c r="AQ78" i="10"/>
  <c r="AO78" i="10"/>
  <c r="AM78" i="10"/>
  <c r="Y81" i="10"/>
  <c r="Y87" i="10" s="1"/>
  <c r="Y80" i="10"/>
  <c r="W81" i="10"/>
  <c r="W80" i="10"/>
  <c r="W79" i="10"/>
  <c r="W84" i="10" s="1"/>
  <c r="S82" i="10"/>
  <c r="S73" i="10" s="1"/>
  <c r="Q82" i="10"/>
  <c r="G82" i="10"/>
  <c r="G73" i="10" s="1"/>
  <c r="E82" i="10"/>
  <c r="E73" i="10" s="1"/>
  <c r="AC71" i="10"/>
  <c r="AE71" i="10" s="1"/>
  <c r="AG71" i="10" s="1"/>
  <c r="AI71" i="10" s="1"/>
  <c r="AK71" i="10" s="1"/>
  <c r="AM71" i="10" s="1"/>
  <c r="AO71" i="10" s="1"/>
  <c r="AQ71" i="10" s="1"/>
  <c r="AS71" i="10" s="1"/>
  <c r="AU71" i="10" s="1"/>
  <c r="AW71" i="10" s="1"/>
  <c r="O71" i="10"/>
  <c r="C73" i="10"/>
  <c r="AY71" i="10"/>
  <c r="BA71" i="10" s="1"/>
  <c r="BC71" i="10" s="1"/>
  <c r="BE71" i="10" s="1"/>
  <c r="BG71" i="10" s="1"/>
  <c r="AU65" i="10"/>
  <c r="AT65" i="10"/>
  <c r="AS65" i="10"/>
  <c r="AQ65" i="10"/>
  <c r="AO65" i="10"/>
  <c r="AM65" i="10"/>
  <c r="AK65" i="10"/>
  <c r="AI65" i="10"/>
  <c r="AG65" i="10"/>
  <c r="AE65" i="10"/>
  <c r="AC65" i="10"/>
  <c r="AA65" i="10"/>
  <c r="Y65" i="10"/>
  <c r="W65" i="10"/>
  <c r="U65" i="10"/>
  <c r="S65" i="10"/>
  <c r="Q65" i="10"/>
  <c r="O65" i="10"/>
  <c r="M65" i="10"/>
  <c r="AQ56" i="10"/>
  <c r="AO56" i="10"/>
  <c r="AM56" i="10"/>
  <c r="AL56" i="10"/>
  <c r="AK56" i="10"/>
  <c r="AJ56" i="10"/>
  <c r="AI56" i="10"/>
  <c r="AH56" i="10"/>
  <c r="AG56" i="10"/>
  <c r="AF56" i="10"/>
  <c r="AE56" i="10"/>
  <c r="AD56" i="10"/>
  <c r="AC56" i="10"/>
  <c r="AB56" i="10"/>
  <c r="AA56" i="10"/>
  <c r="Z56" i="10"/>
  <c r="Y56" i="10"/>
  <c r="X56" i="10"/>
  <c r="W56" i="10"/>
  <c r="V56" i="10"/>
  <c r="U56" i="10"/>
  <c r="T56" i="10"/>
  <c r="S56" i="10"/>
  <c r="R56" i="10"/>
  <c r="Q56" i="10"/>
  <c r="P56" i="10"/>
  <c r="O56" i="10"/>
  <c r="N56" i="10"/>
  <c r="M56" i="10"/>
  <c r="L56" i="10"/>
  <c r="K56" i="10"/>
  <c r="AQ54" i="10"/>
  <c r="AO54" i="10"/>
  <c r="AM54" i="10"/>
  <c r="AI54" i="10"/>
  <c r="AE54" i="10"/>
  <c r="AA54" i="10"/>
  <c r="Y54" i="10"/>
  <c r="W54" i="10"/>
  <c r="U54" i="10"/>
  <c r="S54" i="10"/>
  <c r="Q54" i="10"/>
  <c r="O54" i="10"/>
  <c r="M54" i="10"/>
  <c r="K54" i="10"/>
  <c r="AT52" i="10"/>
  <c r="AT50" i="10"/>
  <c r="AX41" i="10"/>
  <c r="AY41" i="10" s="1"/>
  <c r="BA41" i="10" s="1"/>
  <c r="BC41" i="10" s="1"/>
  <c r="BE41" i="10" s="1"/>
  <c r="BG41" i="10" s="1"/>
  <c r="AQ40" i="10"/>
  <c r="AO40" i="10"/>
  <c r="AO44" i="10" s="1"/>
  <c r="AM40" i="10"/>
  <c r="AK40" i="10"/>
  <c r="AI40" i="10"/>
  <c r="AG40" i="10"/>
  <c r="AG44" i="10" s="1"/>
  <c r="AE40" i="10"/>
  <c r="AC40" i="10"/>
  <c r="AX35" i="10"/>
  <c r="AY35" i="10" s="1"/>
  <c r="BA35" i="10" s="1"/>
  <c r="BC35" i="10" s="1"/>
  <c r="BE35" i="10" s="1"/>
  <c r="BG35" i="10" s="1"/>
  <c r="AX32" i="10"/>
  <c r="AY32" i="10" s="1"/>
  <c r="BA32" i="10" s="1"/>
  <c r="BC32" i="10" s="1"/>
  <c r="BE32" i="10" s="1"/>
  <c r="BG32" i="10" s="1"/>
  <c r="AQ37" i="10"/>
  <c r="AO37" i="10"/>
  <c r="AI37" i="10"/>
  <c r="AI44" i="10" s="1"/>
  <c r="AG37" i="10"/>
  <c r="AE37" i="10"/>
  <c r="AE44" i="10"/>
  <c r="W37" i="10"/>
  <c r="W44" i="10" s="1"/>
  <c r="U37" i="10"/>
  <c r="U44" i="10" s="1"/>
  <c r="S37" i="10"/>
  <c r="S44" i="10" s="1"/>
  <c r="Q37" i="10"/>
  <c r="Q44" i="10"/>
  <c r="O37" i="10"/>
  <c r="O44" i="10" s="1"/>
  <c r="M37" i="10"/>
  <c r="M44" i="10" s="1"/>
  <c r="K37" i="10"/>
  <c r="K44" i="10"/>
  <c r="I37" i="10"/>
  <c r="I44" i="10"/>
  <c r="G37" i="10"/>
  <c r="G44" i="10"/>
  <c r="E37" i="10"/>
  <c r="E44" i="10" s="1"/>
  <c r="E71" i="10" s="1"/>
  <c r="C37" i="10"/>
  <c r="C44" i="10" s="1"/>
  <c r="C71" i="10" s="1"/>
  <c r="AK30" i="10"/>
  <c r="AM30" i="10"/>
  <c r="Y30" i="10"/>
  <c r="AA30" i="10"/>
  <c r="AX36" i="10"/>
  <c r="AX31" i="10"/>
  <c r="AW30" i="10"/>
  <c r="AX30" i="10"/>
  <c r="AX23" i="10"/>
  <c r="AY23" i="10" s="1"/>
  <c r="BA23" i="10" s="1"/>
  <c r="BC23" i="10" s="1"/>
  <c r="BE23" i="10" s="1"/>
  <c r="BG23" i="10" s="1"/>
  <c r="AU21" i="10"/>
  <c r="AW21" i="10"/>
  <c r="AQ24" i="10"/>
  <c r="AQ107" i="10"/>
  <c r="AO24" i="10"/>
  <c r="AO107" i="10" s="1"/>
  <c r="AM24" i="10"/>
  <c r="AM107" i="10" s="1"/>
  <c r="AM113" i="10" s="1"/>
  <c r="AK24" i="10"/>
  <c r="AK107" i="10" s="1"/>
  <c r="AK113" i="10" s="1"/>
  <c r="W24" i="10"/>
  <c r="W107" i="10" s="1"/>
  <c r="U24" i="10"/>
  <c r="S24" i="10"/>
  <c r="S107" i="10"/>
  <c r="Q24" i="10"/>
  <c r="Q107" i="10"/>
  <c r="O24" i="10"/>
  <c r="O107" i="10"/>
  <c r="M24" i="10"/>
  <c r="AQ22" i="10"/>
  <c r="AU22" i="10"/>
  <c r="AQ21" i="10"/>
  <c r="AM22" i="10"/>
  <c r="AK21" i="10"/>
  <c r="AM21" i="10" s="1"/>
  <c r="AY21" i="10"/>
  <c r="BA21" i="10" s="1"/>
  <c r="BC21" i="10" s="1"/>
  <c r="BE21" i="10" s="1"/>
  <c r="BG21" i="10" s="1"/>
  <c r="AC18" i="10"/>
  <c r="AC99" i="10"/>
  <c r="AA18" i="10"/>
  <c r="AA99" i="10"/>
  <c r="Y18" i="10"/>
  <c r="Y99" i="10"/>
  <c r="U18" i="10"/>
  <c r="U99" i="10"/>
  <c r="S18" i="10"/>
  <c r="S99" i="10"/>
  <c r="Q18" i="10"/>
  <c r="Q99" i="10"/>
  <c r="O18" i="10"/>
  <c r="O99" i="10"/>
  <c r="O106" i="10" s="1"/>
  <c r="M18" i="10"/>
  <c r="M99" i="10" s="1"/>
  <c r="M106" i="10" s="1"/>
  <c r="K18" i="10"/>
  <c r="K99" i="10" s="1"/>
  <c r="K106" i="10" s="1"/>
  <c r="I18" i="10"/>
  <c r="I99" i="10"/>
  <c r="I106" i="10" s="1"/>
  <c r="G18" i="10"/>
  <c r="G99" i="10" s="1"/>
  <c r="G106" i="10"/>
  <c r="E18" i="10"/>
  <c r="C18" i="10"/>
  <c r="AT17" i="10"/>
  <c r="AT16" i="10" s="1"/>
  <c r="AK17" i="10"/>
  <c r="Y13" i="10"/>
  <c r="W13" i="10"/>
  <c r="I14" i="10"/>
  <c r="I26" i="10" s="1"/>
  <c r="G14" i="10"/>
  <c r="E14" i="10"/>
  <c r="E26" i="10" s="1"/>
  <c r="C14" i="10"/>
  <c r="C26" i="10" s="1"/>
  <c r="C72" i="10" s="1"/>
  <c r="U9" i="10"/>
  <c r="AX11" i="10"/>
  <c r="AX10" i="10"/>
  <c r="AX29" i="10"/>
  <c r="AX8" i="10"/>
  <c r="M8" i="10"/>
  <c r="M14" i="10" s="1"/>
  <c r="K8" i="10"/>
  <c r="K96" i="10"/>
  <c r="K98" i="10" s="1"/>
  <c r="BA5" i="10"/>
  <c r="AY5" i="10"/>
  <c r="AU5" i="10"/>
  <c r="AS5" i="10"/>
  <c r="AQ5" i="10"/>
  <c r="AO5" i="10"/>
  <c r="AM5" i="10"/>
  <c r="AK5" i="10"/>
  <c r="AI5" i="10"/>
  <c r="AG5" i="10"/>
  <c r="AE5" i="10"/>
  <c r="AC5" i="10"/>
  <c r="AA5" i="10"/>
  <c r="Y5" i="10"/>
  <c r="W5" i="10"/>
  <c r="U5" i="10"/>
  <c r="S5" i="10"/>
  <c r="Q5" i="10"/>
  <c r="O5" i="10"/>
  <c r="M5" i="10"/>
  <c r="K5" i="10"/>
  <c r="I5" i="10"/>
  <c r="G5" i="10"/>
  <c r="L84" i="9"/>
  <c r="K84" i="9"/>
  <c r="J84" i="9"/>
  <c r="K80" i="9"/>
  <c r="K81" i="9"/>
  <c r="K86" i="9" s="1"/>
  <c r="J80" i="9"/>
  <c r="J81" i="9" s="1"/>
  <c r="J86" i="9" s="1"/>
  <c r="Q72" i="9"/>
  <c r="DO29" i="3" s="1"/>
  <c r="P72" i="9"/>
  <c r="O72" i="9"/>
  <c r="DL29" i="3" s="1"/>
  <c r="N72" i="9"/>
  <c r="J72" i="9"/>
  <c r="DG29" i="3" s="1"/>
  <c r="I72" i="9"/>
  <c r="H72" i="9"/>
  <c r="DE29" i="3" s="1"/>
  <c r="G72" i="9"/>
  <c r="DD29" i="3" s="1"/>
  <c r="U59" i="9"/>
  <c r="T59" i="9"/>
  <c r="S59" i="9"/>
  <c r="Q59" i="9"/>
  <c r="P59" i="9"/>
  <c r="O59" i="9"/>
  <c r="N59" i="9"/>
  <c r="N60" i="9" s="1"/>
  <c r="M59" i="9"/>
  <c r="L59" i="9"/>
  <c r="B56" i="9"/>
  <c r="C51" i="9"/>
  <c r="K37" i="9"/>
  <c r="J37" i="9"/>
  <c r="K33" i="9"/>
  <c r="K34" i="9" s="1"/>
  <c r="K83" i="9" s="1"/>
  <c r="J33" i="9"/>
  <c r="J34" i="9" s="1"/>
  <c r="J83" i="9" s="1"/>
  <c r="K29" i="9"/>
  <c r="J29" i="9"/>
  <c r="N25" i="9"/>
  <c r="O25" i="9"/>
  <c r="M25" i="9"/>
  <c r="L23" i="9"/>
  <c r="K23" i="9"/>
  <c r="K20" i="9"/>
  <c r="J20" i="9"/>
  <c r="P16" i="9"/>
  <c r="L16" i="9"/>
  <c r="K16" i="9"/>
  <c r="J16" i="9"/>
  <c r="I16" i="9"/>
  <c r="AK61" i="12" s="1"/>
  <c r="H16" i="9"/>
  <c r="AK54" i="12" s="1"/>
  <c r="G16" i="9"/>
  <c r="F16" i="9"/>
  <c r="E16" i="9"/>
  <c r="K15" i="9"/>
  <c r="J15" i="9"/>
  <c r="U13" i="9"/>
  <c r="U16" i="9"/>
  <c r="T13" i="9"/>
  <c r="T16" i="9"/>
  <c r="S13" i="9"/>
  <c r="R13" i="9"/>
  <c r="R16" i="9" s="1"/>
  <c r="Q13" i="9"/>
  <c r="O13" i="9"/>
  <c r="O16" i="9" s="1"/>
  <c r="N13" i="9"/>
  <c r="M13" i="9"/>
  <c r="M16" i="9" s="1"/>
  <c r="K12" i="9"/>
  <c r="J12" i="9"/>
  <c r="Z9" i="9"/>
  <c r="K8" i="9"/>
  <c r="N5" i="9"/>
  <c r="O5" i="9" s="1"/>
  <c r="P5" i="9" s="1"/>
  <c r="Q5" i="9" s="1"/>
  <c r="R5" i="9" s="1"/>
  <c r="S5" i="9" s="1"/>
  <c r="T5" i="9" s="1"/>
  <c r="U5" i="9" s="1"/>
  <c r="V5" i="9" s="1"/>
  <c r="W5" i="9" s="1"/>
  <c r="Y5" i="9" s="1"/>
  <c r="Z5" i="9" s="1"/>
  <c r="AA5" i="9" s="1"/>
  <c r="AB5" i="9" s="1"/>
  <c r="AC5" i="9" s="1"/>
  <c r="Z147" i="8"/>
  <c r="L147" i="8"/>
  <c r="K147" i="8"/>
  <c r="C147" i="8"/>
  <c r="O143" i="8"/>
  <c r="J143" i="8"/>
  <c r="D138" i="8"/>
  <c r="V134" i="8"/>
  <c r="V131" i="8" s="1"/>
  <c r="U134" i="8"/>
  <c r="T134" i="8"/>
  <c r="S134" i="8"/>
  <c r="T131" i="8" s="1"/>
  <c r="R134" i="8"/>
  <c r="S131" i="8" s="1"/>
  <c r="Q134" i="8"/>
  <c r="P134" i="8"/>
  <c r="O134" i="8"/>
  <c r="N134" i="8"/>
  <c r="DJ59" i="3" s="1"/>
  <c r="DJ69" i="3" s="1"/>
  <c r="M134" i="8"/>
  <c r="L134" i="8"/>
  <c r="M131" i="8" s="1"/>
  <c r="K134" i="8"/>
  <c r="L135" i="8" s="1"/>
  <c r="J134" i="8"/>
  <c r="J131" i="8" s="1"/>
  <c r="I134" i="8"/>
  <c r="G134" i="8"/>
  <c r="DC59" i="3" s="1"/>
  <c r="DC69" i="3" s="1"/>
  <c r="F134" i="8"/>
  <c r="G135" i="8" s="1"/>
  <c r="F135" i="8"/>
  <c r="E134" i="8"/>
  <c r="D134" i="8"/>
  <c r="D135" i="8" s="1"/>
  <c r="C134" i="8"/>
  <c r="B134" i="8"/>
  <c r="D129" i="8"/>
  <c r="C124" i="8"/>
  <c r="C123" i="8"/>
  <c r="C122" i="8"/>
  <c r="C121" i="8"/>
  <c r="C120" i="8"/>
  <c r="AA123" i="8"/>
  <c r="Z123" i="8"/>
  <c r="Y123" i="8"/>
  <c r="X123" i="8"/>
  <c r="W123" i="8"/>
  <c r="V123" i="8"/>
  <c r="U123" i="8"/>
  <c r="T123" i="8"/>
  <c r="S123" i="8"/>
  <c r="R123" i="8"/>
  <c r="Q123" i="8"/>
  <c r="P123" i="8"/>
  <c r="O123" i="8"/>
  <c r="N123" i="8"/>
  <c r="M123" i="8"/>
  <c r="L123" i="8"/>
  <c r="K123" i="8"/>
  <c r="J123" i="8"/>
  <c r="I123" i="8"/>
  <c r="H123" i="8"/>
  <c r="G123" i="8"/>
  <c r="F123" i="8"/>
  <c r="E123" i="8"/>
  <c r="D123" i="8"/>
  <c r="AA122" i="8"/>
  <c r="Z122" i="8"/>
  <c r="Y122" i="8"/>
  <c r="X122" i="8"/>
  <c r="W122" i="8"/>
  <c r="V122" i="8"/>
  <c r="U122" i="8"/>
  <c r="T122" i="8"/>
  <c r="P122" i="8"/>
  <c r="O122" i="8"/>
  <c r="N122" i="8"/>
  <c r="M122" i="8"/>
  <c r="L122" i="8"/>
  <c r="K122" i="8"/>
  <c r="J122" i="8"/>
  <c r="I122" i="8"/>
  <c r="H122" i="8"/>
  <c r="G122" i="8"/>
  <c r="F122" i="8"/>
  <c r="E122" i="8"/>
  <c r="D122" i="8"/>
  <c r="AA121" i="8"/>
  <c r="Z121" i="8"/>
  <c r="Y121" i="8"/>
  <c r="X121" i="8"/>
  <c r="W121" i="8"/>
  <c r="V121" i="8"/>
  <c r="U121" i="8"/>
  <c r="T121" i="8"/>
  <c r="S121" i="8"/>
  <c r="R121" i="8"/>
  <c r="Q121" i="8"/>
  <c r="P121" i="8"/>
  <c r="O121" i="8"/>
  <c r="N121" i="8"/>
  <c r="M121" i="8"/>
  <c r="L121" i="8"/>
  <c r="K121" i="8"/>
  <c r="J121" i="8"/>
  <c r="I121" i="8"/>
  <c r="H121" i="8"/>
  <c r="G121" i="8"/>
  <c r="F121" i="8"/>
  <c r="E121" i="8"/>
  <c r="D121" i="8"/>
  <c r="AA120" i="8"/>
  <c r="Z120" i="8"/>
  <c r="Y120" i="8"/>
  <c r="X120" i="8"/>
  <c r="W120" i="8"/>
  <c r="V120" i="8"/>
  <c r="U120" i="8"/>
  <c r="T120" i="8"/>
  <c r="S120" i="8"/>
  <c r="R120" i="8"/>
  <c r="Q120" i="8"/>
  <c r="P120" i="8"/>
  <c r="O120" i="8"/>
  <c r="N120" i="8"/>
  <c r="M120" i="8"/>
  <c r="L120" i="8"/>
  <c r="K120" i="8"/>
  <c r="J120" i="8"/>
  <c r="I120" i="8"/>
  <c r="H120" i="8"/>
  <c r="G120" i="8"/>
  <c r="F120" i="8"/>
  <c r="E120" i="8"/>
  <c r="D120" i="8"/>
  <c r="AA119" i="8"/>
  <c r="Z119" i="8"/>
  <c r="Z118" i="8" s="1"/>
  <c r="Y119" i="8"/>
  <c r="Y118" i="8" s="1"/>
  <c r="X119" i="8"/>
  <c r="W119" i="8"/>
  <c r="V119" i="8"/>
  <c r="V118" i="8" s="1"/>
  <c r="U119" i="8"/>
  <c r="T119" i="8"/>
  <c r="S119" i="8"/>
  <c r="R119" i="8"/>
  <c r="R118" i="8" s="1"/>
  <c r="Q119" i="8"/>
  <c r="P119" i="8"/>
  <c r="O119" i="8"/>
  <c r="N119" i="8"/>
  <c r="M119" i="8"/>
  <c r="L119" i="8"/>
  <c r="K119" i="8"/>
  <c r="J119" i="8"/>
  <c r="H119" i="8"/>
  <c r="G119" i="8"/>
  <c r="F119" i="8"/>
  <c r="E119" i="8"/>
  <c r="D119" i="8"/>
  <c r="C113" i="8"/>
  <c r="G113" i="8"/>
  <c r="F113" i="8"/>
  <c r="E113" i="8"/>
  <c r="D113" i="8"/>
  <c r="AH110" i="8"/>
  <c r="AF110" i="8"/>
  <c r="M110" i="8"/>
  <c r="L110" i="8"/>
  <c r="K110" i="8"/>
  <c r="J110" i="8"/>
  <c r="I110" i="8"/>
  <c r="H110" i="8"/>
  <c r="G110" i="8"/>
  <c r="F110" i="8"/>
  <c r="E110" i="8"/>
  <c r="D110" i="8"/>
  <c r="A107" i="8"/>
  <c r="K97" i="8"/>
  <c r="J97" i="8"/>
  <c r="L89" i="8"/>
  <c r="K89" i="8"/>
  <c r="J89" i="8"/>
  <c r="I89" i="8"/>
  <c r="K85" i="8"/>
  <c r="L86" i="8" s="1"/>
  <c r="J85" i="8"/>
  <c r="I85" i="8"/>
  <c r="L74" i="8"/>
  <c r="K74" i="8"/>
  <c r="J74" i="8"/>
  <c r="I74" i="8"/>
  <c r="H74" i="8"/>
  <c r="H78" i="8" s="1"/>
  <c r="DD58" i="3" s="1"/>
  <c r="L70" i="8"/>
  <c r="K70" i="8"/>
  <c r="J70" i="8"/>
  <c r="I70" i="8"/>
  <c r="H70" i="8"/>
  <c r="AH68" i="8"/>
  <c r="AF68" i="8"/>
  <c r="L68" i="8"/>
  <c r="K68" i="8"/>
  <c r="J68" i="8"/>
  <c r="I68" i="8"/>
  <c r="H68" i="8"/>
  <c r="G68" i="8"/>
  <c r="F68" i="8"/>
  <c r="E68" i="8"/>
  <c r="D68" i="8"/>
  <c r="S48" i="8"/>
  <c r="T48" i="8"/>
  <c r="U48" i="8" s="1"/>
  <c r="V48" i="8" s="1"/>
  <c r="W48" i="8" s="1"/>
  <c r="X48" i="8" s="1"/>
  <c r="Y48" i="8" s="1"/>
  <c r="Z48" i="8" s="1"/>
  <c r="AA48" i="8" s="1"/>
  <c r="AB48" i="8" s="1"/>
  <c r="AC48" i="8" s="1"/>
  <c r="AD48" i="8" s="1"/>
  <c r="R47" i="8"/>
  <c r="S47" i="8"/>
  <c r="T47" i="8" s="1"/>
  <c r="U47" i="8" s="1"/>
  <c r="V47" i="8" s="1"/>
  <c r="W47" i="8" s="1"/>
  <c r="X47" i="8" s="1"/>
  <c r="Y47" i="8" s="1"/>
  <c r="AA47" i="8" s="1"/>
  <c r="AB47" i="8" s="1"/>
  <c r="AC47" i="8" s="1"/>
  <c r="AD47" i="8" s="1"/>
  <c r="U45" i="8"/>
  <c r="V45" i="8" s="1"/>
  <c r="W45" i="8" s="1"/>
  <c r="X45" i="8" s="1"/>
  <c r="Y45" i="8" s="1"/>
  <c r="R45" i="8"/>
  <c r="S45" i="8" s="1"/>
  <c r="V43" i="8"/>
  <c r="U9" i="9" s="1"/>
  <c r="U43" i="8"/>
  <c r="T9" i="9" s="1"/>
  <c r="T43" i="8"/>
  <c r="S43" i="8"/>
  <c r="R43" i="8"/>
  <c r="Q9" i="9" s="1"/>
  <c r="Q43" i="8"/>
  <c r="P9" i="9" s="1"/>
  <c r="P43" i="8"/>
  <c r="O9" i="9" s="1"/>
  <c r="H43" i="8"/>
  <c r="L41" i="8"/>
  <c r="I41" i="8"/>
  <c r="F41" i="8"/>
  <c r="C37" i="8"/>
  <c r="V35" i="8"/>
  <c r="U35" i="8"/>
  <c r="T35" i="8"/>
  <c r="S35" i="8"/>
  <c r="R35" i="8"/>
  <c r="Q35" i="8"/>
  <c r="P35" i="8"/>
  <c r="O35" i="8"/>
  <c r="N35" i="8"/>
  <c r="M35" i="8"/>
  <c r="L35" i="8"/>
  <c r="DH60" i="3" s="1"/>
  <c r="K35" i="8"/>
  <c r="J35" i="8"/>
  <c r="G35" i="8"/>
  <c r="F35" i="8"/>
  <c r="E35" i="8"/>
  <c r="D35" i="8"/>
  <c r="C35" i="8"/>
  <c r="H34" i="8"/>
  <c r="V31" i="8"/>
  <c r="U31" i="8"/>
  <c r="T31" i="8"/>
  <c r="T32" i="8"/>
  <c r="S31" i="8"/>
  <c r="R31" i="8"/>
  <c r="Q31" i="8"/>
  <c r="P31" i="8"/>
  <c r="P32" i="8" s="1"/>
  <c r="O31" i="8"/>
  <c r="N31" i="8"/>
  <c r="M31" i="8"/>
  <c r="M32" i="8" s="1"/>
  <c r="L31" i="8"/>
  <c r="L55" i="8" s="1"/>
  <c r="K31" i="8"/>
  <c r="J31" i="8"/>
  <c r="I31" i="8"/>
  <c r="G31" i="8"/>
  <c r="F31" i="8"/>
  <c r="F32" i="8" s="1"/>
  <c r="E31" i="8"/>
  <c r="R26" i="8"/>
  <c r="S26" i="8" s="1"/>
  <c r="T26" i="8" s="1"/>
  <c r="U26" i="8" s="1"/>
  <c r="V26" i="8" s="1"/>
  <c r="W26" i="8" s="1"/>
  <c r="X26" i="8" s="1"/>
  <c r="Y26" i="8" s="1"/>
  <c r="Z26" i="8" s="1"/>
  <c r="AA26" i="8" s="1"/>
  <c r="AB26" i="8" s="1"/>
  <c r="AC26" i="8" s="1"/>
  <c r="AD26" i="8" s="1"/>
  <c r="N25" i="8"/>
  <c r="O25" i="8" s="1"/>
  <c r="N24" i="8"/>
  <c r="DJ56" i="3" s="1"/>
  <c r="S17" i="8"/>
  <c r="S122" i="8" s="1"/>
  <c r="R17" i="8"/>
  <c r="R122" i="8" s="1"/>
  <c r="Q17" i="8"/>
  <c r="Q122" i="8" s="1"/>
  <c r="I13" i="8"/>
  <c r="I119" i="8" s="1"/>
  <c r="C13" i="8"/>
  <c r="C119" i="8" s="1"/>
  <c r="B13" i="8"/>
  <c r="D12" i="8"/>
  <c r="D19" i="8" s="1"/>
  <c r="B12" i="8"/>
  <c r="B9" i="8"/>
  <c r="R8" i="8"/>
  <c r="R113" i="8" s="1"/>
  <c r="Q8" i="8"/>
  <c r="Q113" i="8" s="1"/>
  <c r="P8" i="8"/>
  <c r="P113" i="8" s="1"/>
  <c r="O8" i="8"/>
  <c r="O113" i="8" s="1"/>
  <c r="N5" i="8"/>
  <c r="N110" i="8" s="1"/>
  <c r="BX208" i="7"/>
  <c r="T73" i="9" s="1"/>
  <c r="AN207" i="7"/>
  <c r="AN206" i="7"/>
  <c r="BY207" i="7"/>
  <c r="BY205" i="7"/>
  <c r="BU205" i="7"/>
  <c r="CF206" i="7"/>
  <c r="CF207" i="7" s="1"/>
  <c r="CJ204" i="7" s="1"/>
  <c r="CB206" i="7"/>
  <c r="BT206" i="7"/>
  <c r="BY206" i="7" s="1"/>
  <c r="BP206" i="7"/>
  <c r="BL206" i="7"/>
  <c r="BH206" i="7"/>
  <c r="BI206" i="7" s="1"/>
  <c r="BD206" i="7"/>
  <c r="BD207" i="7"/>
  <c r="AZ206" i="7"/>
  <c r="AR207" i="7"/>
  <c r="AR206" i="7"/>
  <c r="AS206" i="7" s="1"/>
  <c r="CG205" i="7"/>
  <c r="CC205" i="7"/>
  <c r="BQ205" i="7"/>
  <c r="BM205" i="7"/>
  <c r="BI205" i="7"/>
  <c r="BE205" i="7"/>
  <c r="AR205" i="7"/>
  <c r="AR204" i="7"/>
  <c r="CB204" i="7"/>
  <c r="AV205" i="7"/>
  <c r="AV204" i="7"/>
  <c r="CB201" i="7"/>
  <c r="CB200" i="7"/>
  <c r="BX201" i="7"/>
  <c r="BX200" i="7"/>
  <c r="BT196" i="7"/>
  <c r="BT200" i="7" s="1"/>
  <c r="BP201" i="7"/>
  <c r="BP200" i="7"/>
  <c r="BP199" i="7"/>
  <c r="R72" i="9" s="1"/>
  <c r="DP29" i="3" s="1"/>
  <c r="BL201" i="7"/>
  <c r="BL200" i="7"/>
  <c r="BH201" i="7"/>
  <c r="BH200" i="7"/>
  <c r="BD201" i="7"/>
  <c r="BD200" i="7"/>
  <c r="AZ201" i="7"/>
  <c r="AZ200" i="7"/>
  <c r="AV201" i="7"/>
  <c r="AV200" i="7"/>
  <c r="AV199" i="7"/>
  <c r="M72" i="9" s="1"/>
  <c r="DJ29" i="3" s="1"/>
  <c r="AR200" i="7"/>
  <c r="S198" i="7"/>
  <c r="S199" i="7" s="1"/>
  <c r="F72" i="9" s="1"/>
  <c r="DC29" i="3" s="1"/>
  <c r="S197" i="7"/>
  <c r="S196" i="7"/>
  <c r="S195" i="7"/>
  <c r="S200" i="7"/>
  <c r="O199" i="7"/>
  <c r="E72" i="9" s="1"/>
  <c r="DB29" i="3" s="1"/>
  <c r="AN197" i="7"/>
  <c r="AN198" i="7" s="1"/>
  <c r="AF29" i="3" s="1"/>
  <c r="AJ198" i="7"/>
  <c r="AJ197" i="7"/>
  <c r="Z29" i="3" s="1"/>
  <c r="AJ196" i="7"/>
  <c r="AJ195" i="7"/>
  <c r="AF198" i="7"/>
  <c r="AF197" i="7"/>
  <c r="AF196" i="7"/>
  <c r="AF195" i="7"/>
  <c r="AB198" i="7"/>
  <c r="AB197" i="7"/>
  <c r="AB201" i="7" s="1"/>
  <c r="AB196" i="7"/>
  <c r="AB195" i="7"/>
  <c r="W198" i="7"/>
  <c r="W197" i="7"/>
  <c r="K29" i="3" s="1"/>
  <c r="W196" i="7"/>
  <c r="W195" i="7"/>
  <c r="AN195" i="7"/>
  <c r="AN189" i="7"/>
  <c r="AN188" i="7"/>
  <c r="AJ191" i="7"/>
  <c r="AJ190" i="7"/>
  <c r="AJ189" i="7"/>
  <c r="Y28" i="3" s="1"/>
  <c r="AJ188" i="7"/>
  <c r="AF191" i="7"/>
  <c r="AF192" i="7"/>
  <c r="I71" i="9" s="1"/>
  <c r="DF28" i="3" s="1"/>
  <c r="AF190" i="7"/>
  <c r="AF189" i="7"/>
  <c r="AF188" i="7"/>
  <c r="S28" i="3" s="1"/>
  <c r="AB191" i="7"/>
  <c r="AB192" i="7" s="1"/>
  <c r="H71" i="9" s="1"/>
  <c r="DE28" i="3" s="1"/>
  <c r="AB190" i="7"/>
  <c r="AB189" i="7"/>
  <c r="O28" i="3" s="1"/>
  <c r="AB188" i="7"/>
  <c r="W191" i="7"/>
  <c r="W190" i="7"/>
  <c r="W189" i="7"/>
  <c r="W188" i="7"/>
  <c r="S191" i="7"/>
  <c r="S190" i="7"/>
  <c r="S189" i="7"/>
  <c r="E28" i="3" s="1"/>
  <c r="S188" i="7"/>
  <c r="O192" i="7"/>
  <c r="E71" i="9" s="1"/>
  <c r="DB28" i="3" s="1"/>
  <c r="CB183" i="7"/>
  <c r="CB182" i="7"/>
  <c r="BX183" i="7"/>
  <c r="BX182" i="7"/>
  <c r="BT183" i="7"/>
  <c r="BT182" i="7"/>
  <c r="BP183" i="7"/>
  <c r="BP182" i="7"/>
  <c r="BP181" i="7"/>
  <c r="R59" i="9"/>
  <c r="BL183" i="7"/>
  <c r="BL182" i="7"/>
  <c r="BH183" i="7"/>
  <c r="BH182" i="7"/>
  <c r="BD183" i="7"/>
  <c r="BD182" i="7"/>
  <c r="AZ183" i="7"/>
  <c r="AZ182" i="7"/>
  <c r="AN181" i="7"/>
  <c r="K59" i="9"/>
  <c r="AN180" i="7"/>
  <c r="AN179" i="7"/>
  <c r="AE27" i="3"/>
  <c r="AN178" i="7"/>
  <c r="AN177" i="7"/>
  <c r="AJ181" i="7"/>
  <c r="J59" i="9"/>
  <c r="AJ180" i="7"/>
  <c r="AL63" i="7" s="1"/>
  <c r="AJ179" i="7"/>
  <c r="AL62" i="7" s="1"/>
  <c r="AJ178" i="7"/>
  <c r="AJ177" i="7"/>
  <c r="AF181" i="7"/>
  <c r="I59" i="9" s="1"/>
  <c r="AF180" i="7"/>
  <c r="AF179" i="7"/>
  <c r="AF178" i="7"/>
  <c r="AF177" i="7"/>
  <c r="S27" i="3" s="1"/>
  <c r="AB181" i="7"/>
  <c r="H59" i="9" s="1"/>
  <c r="AB180" i="7"/>
  <c r="AB179" i="7"/>
  <c r="AB178" i="7"/>
  <c r="AB177" i="7"/>
  <c r="W181" i="7"/>
  <c r="G59" i="9" s="1"/>
  <c r="DD27" i="3" s="1"/>
  <c r="W180" i="7"/>
  <c r="W179" i="7"/>
  <c r="K27" i="3" s="1"/>
  <c r="W178" i="7"/>
  <c r="W177" i="7"/>
  <c r="S181" i="7"/>
  <c r="F59" i="9" s="1"/>
  <c r="G60" i="9" s="1"/>
  <c r="S180" i="7"/>
  <c r="G27" i="3" s="1"/>
  <c r="S179" i="7"/>
  <c r="S178" i="7"/>
  <c r="S177" i="7"/>
  <c r="O181" i="7"/>
  <c r="E59" i="9"/>
  <c r="O180" i="7"/>
  <c r="O179" i="7"/>
  <c r="O178" i="7"/>
  <c r="O177" i="7"/>
  <c r="K180" i="7"/>
  <c r="K179" i="7"/>
  <c r="K178" i="7"/>
  <c r="K177" i="7"/>
  <c r="G180" i="7"/>
  <c r="G179" i="7"/>
  <c r="G178" i="7"/>
  <c r="G177" i="7"/>
  <c r="G183" i="7" s="1"/>
  <c r="C180" i="7"/>
  <c r="C179" i="7"/>
  <c r="C178" i="7"/>
  <c r="C177" i="7"/>
  <c r="C182" i="7" s="1"/>
  <c r="BA179" i="7"/>
  <c r="BA180" i="7" s="1"/>
  <c r="AV179" i="7"/>
  <c r="AV178" i="7"/>
  <c r="AV177" i="7"/>
  <c r="AW177" i="7" s="1"/>
  <c r="AX177" i="7" s="1"/>
  <c r="AR179" i="7"/>
  <c r="AR178" i="7"/>
  <c r="AR177" i="7"/>
  <c r="AH27" i="3" s="1"/>
  <c r="AW181" i="7"/>
  <c r="AW180" i="7"/>
  <c r="CM156" i="7"/>
  <c r="CM158" i="7" s="1"/>
  <c r="CF136" i="7"/>
  <c r="CF135" i="7"/>
  <c r="CF134" i="7"/>
  <c r="CB136" i="7"/>
  <c r="CB135" i="7"/>
  <c r="CB134" i="7"/>
  <c r="BX136" i="7"/>
  <c r="BX135" i="7"/>
  <c r="BX134" i="7"/>
  <c r="BT136" i="7"/>
  <c r="BT135" i="7"/>
  <c r="BT134" i="7"/>
  <c r="BP136" i="7"/>
  <c r="BP135" i="7"/>
  <c r="BP133" i="7"/>
  <c r="BP134" i="7" s="1"/>
  <c r="R48" i="9" s="1"/>
  <c r="BD135" i="7"/>
  <c r="AZ136" i="7"/>
  <c r="AZ135" i="7"/>
  <c r="AZ134" i="7"/>
  <c r="AV136" i="7"/>
  <c r="AV135" i="7"/>
  <c r="AV134" i="7"/>
  <c r="AR136" i="7"/>
  <c r="AR135" i="7"/>
  <c r="AR134" i="7"/>
  <c r="AN136" i="7"/>
  <c r="AN135" i="7"/>
  <c r="AN134" i="7"/>
  <c r="O136" i="7"/>
  <c r="O135" i="7"/>
  <c r="K136" i="7"/>
  <c r="K135" i="7"/>
  <c r="G136" i="7"/>
  <c r="G135" i="7"/>
  <c r="C136" i="7"/>
  <c r="C135" i="7"/>
  <c r="CB115" i="7"/>
  <c r="BD115" i="7"/>
  <c r="AZ116" i="7"/>
  <c r="AZ115" i="7"/>
  <c r="AZ114" i="7"/>
  <c r="N42" i="9"/>
  <c r="AV116" i="7"/>
  <c r="AV115" i="7"/>
  <c r="AV114" i="7"/>
  <c r="M42" i="9"/>
  <c r="AR116" i="7"/>
  <c r="AR115" i="7"/>
  <c r="AR114" i="7"/>
  <c r="L42" i="9"/>
  <c r="AN116" i="7"/>
  <c r="AN115" i="7"/>
  <c r="AN114" i="7"/>
  <c r="AJ116" i="7"/>
  <c r="AJ115" i="7"/>
  <c r="AJ114" i="7"/>
  <c r="AF116" i="7"/>
  <c r="AF115" i="7"/>
  <c r="AF114" i="7"/>
  <c r="I42" i="9" s="1"/>
  <c r="AB116" i="7"/>
  <c r="AB115" i="7"/>
  <c r="AB114" i="7"/>
  <c r="H42" i="9"/>
  <c r="W116" i="7"/>
  <c r="W115" i="7"/>
  <c r="W114" i="7"/>
  <c r="G42" i="9" s="1"/>
  <c r="DD22" i="3" s="1"/>
  <c r="S116" i="7"/>
  <c r="S115" i="7"/>
  <c r="S114" i="7"/>
  <c r="F42" i="9" s="1"/>
  <c r="BX116" i="7"/>
  <c r="BX115" i="7"/>
  <c r="BX113" i="7"/>
  <c r="BX114" i="7" s="1"/>
  <c r="BD113" i="7"/>
  <c r="O116" i="7"/>
  <c r="O115" i="7"/>
  <c r="O113" i="7"/>
  <c r="K116" i="7"/>
  <c r="K115" i="7"/>
  <c r="K113" i="7"/>
  <c r="K114" i="7" s="1"/>
  <c r="D42" i="9" s="1"/>
  <c r="CB112" i="7"/>
  <c r="CC22" i="3"/>
  <c r="BD112" i="7"/>
  <c r="BD116" i="7" s="1"/>
  <c r="BT111" i="7"/>
  <c r="BP113" i="7"/>
  <c r="BO22" i="3"/>
  <c r="BP112" i="7"/>
  <c r="BP111" i="7"/>
  <c r="BP110" i="7"/>
  <c r="BL113" i="7"/>
  <c r="BL112" i="7"/>
  <c r="BL111" i="7"/>
  <c r="BL110" i="7"/>
  <c r="BJ113" i="7"/>
  <c r="BJ112" i="7"/>
  <c r="BJ111" i="7"/>
  <c r="BJ110" i="7"/>
  <c r="BH110" i="7"/>
  <c r="BH116" i="7" s="1"/>
  <c r="C106" i="7"/>
  <c r="C105" i="7"/>
  <c r="C104" i="7"/>
  <c r="BP91" i="7"/>
  <c r="CB85" i="7"/>
  <c r="BT86" i="7"/>
  <c r="BT85" i="7"/>
  <c r="BT84" i="7"/>
  <c r="S36" i="9" s="1"/>
  <c r="BP86" i="7"/>
  <c r="BP85" i="7"/>
  <c r="BP84" i="7"/>
  <c r="R36" i="9" s="1"/>
  <c r="BD85" i="7"/>
  <c r="AZ86" i="7"/>
  <c r="AZ85" i="7"/>
  <c r="AZ84" i="7"/>
  <c r="N36" i="9" s="1"/>
  <c r="AV86" i="7"/>
  <c r="AV85" i="7"/>
  <c r="AV84" i="7"/>
  <c r="M36" i="9"/>
  <c r="AN86" i="7"/>
  <c r="AN85" i="7"/>
  <c r="AN84" i="7"/>
  <c r="AJ86" i="7"/>
  <c r="AJ85" i="7"/>
  <c r="AJ84" i="7"/>
  <c r="AF86" i="7"/>
  <c r="AF85" i="7"/>
  <c r="AF84" i="7"/>
  <c r="I36" i="9" s="1"/>
  <c r="AB86" i="7"/>
  <c r="AB85" i="7"/>
  <c r="AB84" i="7"/>
  <c r="W86" i="7"/>
  <c r="W85" i="7"/>
  <c r="W84" i="7"/>
  <c r="G36" i="9" s="1"/>
  <c r="S86" i="7"/>
  <c r="S85" i="7"/>
  <c r="S84" i="7"/>
  <c r="G86" i="7"/>
  <c r="G85" i="7"/>
  <c r="G84" i="7"/>
  <c r="C36" i="9" s="1"/>
  <c r="CZ19" i="3" s="1"/>
  <c r="CC83" i="7"/>
  <c r="CC81" i="7"/>
  <c r="CC80" i="7"/>
  <c r="BX86" i="7"/>
  <c r="BX85" i="7"/>
  <c r="BX83" i="7"/>
  <c r="BU83" i="7"/>
  <c r="BU82" i="7"/>
  <c r="BU81" i="7"/>
  <c r="BU80" i="7"/>
  <c r="BH83" i="7"/>
  <c r="BE83" i="7"/>
  <c r="BE81" i="7"/>
  <c r="BE80" i="7"/>
  <c r="BA83" i="7"/>
  <c r="BA82" i="7"/>
  <c r="BA80" i="7"/>
  <c r="AW83" i="7"/>
  <c r="AW82" i="7"/>
  <c r="AW81" i="7"/>
  <c r="AW80" i="7"/>
  <c r="AS83" i="7"/>
  <c r="AS82" i="7"/>
  <c r="AS81" i="7"/>
  <c r="AO83" i="7"/>
  <c r="AO82" i="7"/>
  <c r="AO81" i="7"/>
  <c r="AO80" i="7"/>
  <c r="AK83" i="7"/>
  <c r="AK82" i="7"/>
  <c r="AK81" i="7"/>
  <c r="AG83" i="7"/>
  <c r="AG82" i="7"/>
  <c r="AG81" i="7"/>
  <c r="AG80" i="7"/>
  <c r="AC83" i="7"/>
  <c r="AC82" i="7"/>
  <c r="AC81" i="7"/>
  <c r="AC80" i="7"/>
  <c r="X83" i="7"/>
  <c r="X82" i="7"/>
  <c r="X81" i="7"/>
  <c r="X80" i="7"/>
  <c r="T83" i="7"/>
  <c r="T82" i="7"/>
  <c r="T81" i="7"/>
  <c r="T80" i="7"/>
  <c r="O86" i="7"/>
  <c r="O85" i="7"/>
  <c r="O83" i="7"/>
  <c r="K86" i="7"/>
  <c r="K85" i="7"/>
  <c r="K83" i="7"/>
  <c r="H83" i="7"/>
  <c r="H82" i="7"/>
  <c r="H81" i="7"/>
  <c r="H80" i="7"/>
  <c r="CB82" i="7"/>
  <c r="CC82" i="7" s="1"/>
  <c r="BY82" i="7"/>
  <c r="BY81" i="7"/>
  <c r="BY80" i="7"/>
  <c r="BD82" i="7"/>
  <c r="BD86" i="7"/>
  <c r="P82" i="7"/>
  <c r="P81" i="7"/>
  <c r="P80" i="7"/>
  <c r="L82" i="7"/>
  <c r="L81" i="7"/>
  <c r="L80" i="7"/>
  <c r="CN19" i="3"/>
  <c r="CF85" i="7"/>
  <c r="BL81" i="7"/>
  <c r="CG80" i="7"/>
  <c r="BH80" i="7"/>
  <c r="BH86" i="7" s="1"/>
  <c r="AR80" i="7"/>
  <c r="AR86" i="7" s="1"/>
  <c r="C83" i="7"/>
  <c r="C82" i="7"/>
  <c r="D82" i="7" s="1"/>
  <c r="C81" i="7"/>
  <c r="D81" i="7" s="1"/>
  <c r="C80" i="7"/>
  <c r="CF70" i="7"/>
  <c r="CB73" i="7"/>
  <c r="CC73" i="7"/>
  <c r="CB72" i="7"/>
  <c r="CB71" i="7"/>
  <c r="CB91" i="7" s="1"/>
  <c r="CB70" i="7"/>
  <c r="BX72" i="7"/>
  <c r="BX92" i="7" s="1"/>
  <c r="BX71" i="7"/>
  <c r="BX70" i="7"/>
  <c r="BX90" i="7"/>
  <c r="BY90" i="7" s="1"/>
  <c r="BT73" i="7"/>
  <c r="BT93" i="7" s="1"/>
  <c r="BT72" i="7"/>
  <c r="BT70" i="7"/>
  <c r="BD72" i="7"/>
  <c r="BD71" i="7"/>
  <c r="BD91" i="7" s="1"/>
  <c r="BD70" i="7"/>
  <c r="BE70" i="7"/>
  <c r="AZ73" i="7"/>
  <c r="AZ72" i="7"/>
  <c r="AZ70" i="7"/>
  <c r="BA70" i="7" s="1"/>
  <c r="AV73" i="7"/>
  <c r="AV93" i="7"/>
  <c r="AV72" i="7"/>
  <c r="AW72" i="7"/>
  <c r="AV71" i="7"/>
  <c r="AV70" i="7"/>
  <c r="AR73" i="7"/>
  <c r="AR72" i="7"/>
  <c r="AS72" i="7" s="1"/>
  <c r="AR71" i="7"/>
  <c r="AS71" i="7" s="1"/>
  <c r="AN73" i="7"/>
  <c r="AN72" i="7"/>
  <c r="AN92" i="7"/>
  <c r="AN71" i="7"/>
  <c r="AN91" i="7" s="1"/>
  <c r="AN70" i="7"/>
  <c r="AJ73" i="7"/>
  <c r="AK73" i="7" s="1"/>
  <c r="AJ72" i="7"/>
  <c r="AJ71" i="7"/>
  <c r="AJ91" i="7" s="1"/>
  <c r="AF73" i="7"/>
  <c r="AF72" i="7"/>
  <c r="AF71" i="7"/>
  <c r="AF76" i="7" s="1"/>
  <c r="AF70" i="7"/>
  <c r="AB73" i="7"/>
  <c r="AB93" i="7"/>
  <c r="AB72" i="7"/>
  <c r="AB71" i="7"/>
  <c r="AB70" i="7"/>
  <c r="W73" i="7"/>
  <c r="W72" i="7"/>
  <c r="W71" i="7"/>
  <c r="W70" i="7"/>
  <c r="S73" i="7"/>
  <c r="T73" i="7"/>
  <c r="S72" i="7"/>
  <c r="S71" i="7"/>
  <c r="S70" i="7"/>
  <c r="O72" i="7"/>
  <c r="O71" i="7"/>
  <c r="P71" i="7"/>
  <c r="O70" i="7"/>
  <c r="BH64" i="7"/>
  <c r="AJ64" i="7"/>
  <c r="AL64" i="7"/>
  <c r="AK63" i="7"/>
  <c r="AK62" i="7"/>
  <c r="CB57" i="7"/>
  <c r="CC57" i="7"/>
  <c r="CB55" i="7"/>
  <c r="CB56" i="7" s="1"/>
  <c r="BX55" i="7"/>
  <c r="BX56" i="7" s="1"/>
  <c r="CB54" i="7"/>
  <c r="U28" i="9" s="1"/>
  <c r="BT57" i="7"/>
  <c r="BU57" i="7"/>
  <c r="BD55" i="7"/>
  <c r="BD56" i="7" s="1"/>
  <c r="BD54" i="7"/>
  <c r="O28" i="9" s="1"/>
  <c r="AZ55" i="7"/>
  <c r="AZ56" i="7" s="1"/>
  <c r="AZ54" i="7"/>
  <c r="N28" i="9"/>
  <c r="AV55" i="7"/>
  <c r="AV56" i="7"/>
  <c r="AV54" i="7"/>
  <c r="M28" i="9" s="1"/>
  <c r="E12" i="63" s="1"/>
  <c r="E51" i="63" s="1"/>
  <c r="AR55" i="7"/>
  <c r="AR56" i="7" s="1"/>
  <c r="AS56" i="7" s="1"/>
  <c r="AR54" i="7"/>
  <c r="AN55" i="7"/>
  <c r="AN56" i="7" s="1"/>
  <c r="AO56" i="7" s="1"/>
  <c r="AN54" i="7"/>
  <c r="AJ55" i="7"/>
  <c r="AJ56" i="7" s="1"/>
  <c r="AJ54" i="7"/>
  <c r="AF55" i="7"/>
  <c r="AF54" i="7"/>
  <c r="AB55" i="7"/>
  <c r="AB56" i="7"/>
  <c r="AB54" i="7"/>
  <c r="W55" i="7"/>
  <c r="W56" i="7" s="1"/>
  <c r="W54" i="7"/>
  <c r="S55" i="7"/>
  <c r="S56" i="7" s="1"/>
  <c r="S54" i="7"/>
  <c r="F28" i="9" s="1"/>
  <c r="G55" i="7"/>
  <c r="G56" i="7" s="1"/>
  <c r="G54" i="7"/>
  <c r="C28" i="9" s="1"/>
  <c r="CH50" i="7"/>
  <c r="BX53" i="7"/>
  <c r="BZ53" i="7" s="1"/>
  <c r="BU53" i="7"/>
  <c r="BU52" i="7"/>
  <c r="BU50" i="7"/>
  <c r="BE53" i="7"/>
  <c r="BE52" i="7"/>
  <c r="BE51" i="7"/>
  <c r="BE50" i="7"/>
  <c r="BA53" i="7"/>
  <c r="BA52" i="7"/>
  <c r="BA50" i="7"/>
  <c r="AW53" i="7"/>
  <c r="AW52" i="7"/>
  <c r="AW51" i="7"/>
  <c r="AW50" i="7"/>
  <c r="AS53" i="7"/>
  <c r="AS52" i="7"/>
  <c r="AS51" i="7"/>
  <c r="AS50" i="7"/>
  <c r="AO53" i="7"/>
  <c r="AO52" i="7"/>
  <c r="AO51" i="7"/>
  <c r="AO50" i="7"/>
  <c r="AK53" i="7"/>
  <c r="AK52" i="7"/>
  <c r="AK51" i="7"/>
  <c r="AG53" i="7"/>
  <c r="AG52" i="7"/>
  <c r="AG51" i="7"/>
  <c r="AG50" i="7"/>
  <c r="AC53" i="7"/>
  <c r="AC52" i="7"/>
  <c r="AC51" i="7"/>
  <c r="AC50" i="7"/>
  <c r="X53" i="7"/>
  <c r="X52" i="7"/>
  <c r="X51" i="7"/>
  <c r="X50" i="7"/>
  <c r="T53" i="7"/>
  <c r="T52" i="7"/>
  <c r="T51" i="7"/>
  <c r="T50" i="7"/>
  <c r="O55" i="7"/>
  <c r="O56" i="7" s="1"/>
  <c r="O53" i="7"/>
  <c r="O54" i="7" s="1"/>
  <c r="K55" i="7"/>
  <c r="K56" i="7" s="1"/>
  <c r="K53" i="7"/>
  <c r="K54" i="7" s="1"/>
  <c r="H53" i="7"/>
  <c r="H52" i="7"/>
  <c r="H51" i="7"/>
  <c r="H50" i="7"/>
  <c r="P52" i="7"/>
  <c r="P51" i="7"/>
  <c r="P50" i="7"/>
  <c r="L52" i="7"/>
  <c r="L51" i="7"/>
  <c r="L50" i="7"/>
  <c r="BT51" i="7"/>
  <c r="BZ51" i="7" s="1"/>
  <c r="CG50" i="7"/>
  <c r="CD53" i="7"/>
  <c r="CC53" i="7"/>
  <c r="CD52" i="7"/>
  <c r="CC52" i="7"/>
  <c r="CD51" i="7"/>
  <c r="CC51" i="7"/>
  <c r="CD50" i="7"/>
  <c r="CC50" i="7"/>
  <c r="BZ52" i="7"/>
  <c r="BY52" i="7"/>
  <c r="BY51" i="7"/>
  <c r="BZ50" i="7"/>
  <c r="BY50" i="7"/>
  <c r="BP53" i="7"/>
  <c r="BO15" i="3" s="1"/>
  <c r="BP52" i="7"/>
  <c r="BP51" i="7"/>
  <c r="BP50" i="7"/>
  <c r="BL53" i="7"/>
  <c r="BL52" i="7"/>
  <c r="BL51" i="7"/>
  <c r="BL50" i="7"/>
  <c r="BH53" i="7"/>
  <c r="BH52" i="7"/>
  <c r="BH51" i="7"/>
  <c r="BH50" i="7"/>
  <c r="C53" i="7"/>
  <c r="D53" i="7" s="1"/>
  <c r="C52" i="7"/>
  <c r="C51" i="7"/>
  <c r="D51" i="7"/>
  <c r="C50" i="7"/>
  <c r="D50" i="7"/>
  <c r="CF44" i="7"/>
  <c r="CB44" i="7"/>
  <c r="BX44" i="7"/>
  <c r="BT44" i="7"/>
  <c r="BP44" i="7"/>
  <c r="BL44" i="7"/>
  <c r="BH44" i="7"/>
  <c r="AV44" i="7"/>
  <c r="AV41" i="7"/>
  <c r="AV45" i="7"/>
  <c r="AW45" i="7" s="1"/>
  <c r="BD44" i="7"/>
  <c r="AZ42" i="7"/>
  <c r="BB42" i="7" s="1"/>
  <c r="AZ40" i="7"/>
  <c r="BB40" i="7" s="1"/>
  <c r="AW42" i="7"/>
  <c r="AW40" i="7"/>
  <c r="AR44" i="7"/>
  <c r="AR41" i="7" s="1"/>
  <c r="CB37" i="7"/>
  <c r="CB35" i="7"/>
  <c r="CB34" i="7"/>
  <c r="U19" i="9" s="1"/>
  <c r="BT37" i="7"/>
  <c r="AZ35" i="7"/>
  <c r="AZ34" i="7"/>
  <c r="AV35" i="7"/>
  <c r="AV34" i="7"/>
  <c r="M19" i="9" s="1"/>
  <c r="AN35" i="7"/>
  <c r="AN36" i="7" s="1"/>
  <c r="AO36" i="7" s="1"/>
  <c r="AN34" i="7"/>
  <c r="AJ35" i="7"/>
  <c r="AJ34" i="7"/>
  <c r="AF35" i="7"/>
  <c r="AF36" i="7" s="1"/>
  <c r="AF34" i="7"/>
  <c r="AB35" i="7"/>
  <c r="AB34" i="7"/>
  <c r="W35" i="7"/>
  <c r="W36" i="7" s="1"/>
  <c r="W34" i="7"/>
  <c r="S35" i="7"/>
  <c r="S34" i="7"/>
  <c r="BE83" i="5"/>
  <c r="CH30" i="7"/>
  <c r="BX35" i="7"/>
  <c r="BX36" i="7" s="1"/>
  <c r="BX33" i="7"/>
  <c r="BD35" i="7"/>
  <c r="BD36" i="7" s="1"/>
  <c r="BD33" i="7"/>
  <c r="BE33" i="7"/>
  <c r="O35" i="7"/>
  <c r="O36" i="7" s="1"/>
  <c r="O33" i="7"/>
  <c r="O34" i="7" s="1"/>
  <c r="K35" i="7"/>
  <c r="K36" i="7"/>
  <c r="K33" i="7"/>
  <c r="L33" i="7"/>
  <c r="BT31" i="7"/>
  <c r="BZ31" i="7"/>
  <c r="DQ33" i="7"/>
  <c r="DQ32" i="7"/>
  <c r="DQ31" i="7"/>
  <c r="DQ30" i="7"/>
  <c r="DK33" i="7"/>
  <c r="DK32" i="7"/>
  <c r="DK31" i="7"/>
  <c r="DK30" i="7"/>
  <c r="CG30" i="7"/>
  <c r="CC33" i="7"/>
  <c r="CD32" i="7"/>
  <c r="CC32" i="7"/>
  <c r="CD31" i="7"/>
  <c r="CC31" i="7"/>
  <c r="CD30" i="7"/>
  <c r="CC30" i="7"/>
  <c r="BZ32" i="7"/>
  <c r="BY32" i="7"/>
  <c r="BY31" i="7"/>
  <c r="BZ30" i="7"/>
  <c r="BY30" i="7"/>
  <c r="BU33" i="7"/>
  <c r="BU32" i="7"/>
  <c r="BU30" i="7"/>
  <c r="BP33" i="7"/>
  <c r="BP32" i="7"/>
  <c r="BP31" i="7"/>
  <c r="BP30" i="7"/>
  <c r="BL33" i="7"/>
  <c r="BL32" i="7"/>
  <c r="BL31" i="7"/>
  <c r="BL30" i="7"/>
  <c r="BH33" i="7"/>
  <c r="BH32" i="7"/>
  <c r="BH31" i="7"/>
  <c r="BJ31" i="7"/>
  <c r="BH30" i="7"/>
  <c r="BF32" i="7"/>
  <c r="BE32" i="7"/>
  <c r="BF31" i="7"/>
  <c r="BE31" i="7"/>
  <c r="BF30" i="7"/>
  <c r="BE30" i="7"/>
  <c r="BB33" i="7"/>
  <c r="BA33" i="7"/>
  <c r="BB32" i="7"/>
  <c r="BA32" i="7"/>
  <c r="BB31" i="7"/>
  <c r="BB30" i="7"/>
  <c r="BA30" i="7"/>
  <c r="AX33" i="7"/>
  <c r="AW33" i="7"/>
  <c r="AX32" i="7"/>
  <c r="AW32" i="7"/>
  <c r="AX31" i="7"/>
  <c r="AW31" i="7"/>
  <c r="AW30" i="7"/>
  <c r="AT33" i="7"/>
  <c r="AS33" i="7"/>
  <c r="AT32" i="7"/>
  <c r="AS32" i="7"/>
  <c r="AT31" i="7"/>
  <c r="AS31" i="7"/>
  <c r="AR30" i="7"/>
  <c r="AP33" i="7"/>
  <c r="AO33" i="7"/>
  <c r="AP32" i="7"/>
  <c r="AO32" i="7"/>
  <c r="AP31" i="7"/>
  <c r="AO31" i="7"/>
  <c r="AP30" i="7"/>
  <c r="AO30" i="7"/>
  <c r="AL33" i="7"/>
  <c r="AK33" i="7"/>
  <c r="AL32" i="7"/>
  <c r="AK32" i="7"/>
  <c r="AL31" i="7"/>
  <c r="AK31" i="7"/>
  <c r="AL30" i="7"/>
  <c r="AH33" i="7"/>
  <c r="AG33" i="7"/>
  <c r="AH32" i="7"/>
  <c r="AG32" i="7"/>
  <c r="AH31" i="7"/>
  <c r="AG31" i="7"/>
  <c r="AH30" i="7"/>
  <c r="AG30" i="7"/>
  <c r="AD33" i="7"/>
  <c r="AC33" i="7"/>
  <c r="AD32" i="7"/>
  <c r="AC32" i="7"/>
  <c r="AD31" i="7"/>
  <c r="AC31" i="7"/>
  <c r="AD30" i="7"/>
  <c r="AC30" i="7"/>
  <c r="Y33" i="7"/>
  <c r="X33" i="7"/>
  <c r="Y32" i="7"/>
  <c r="X32" i="7"/>
  <c r="Y31" i="7"/>
  <c r="X31" i="7"/>
  <c r="Y30" i="7"/>
  <c r="X30" i="7"/>
  <c r="U33" i="7"/>
  <c r="T33" i="7"/>
  <c r="U32" i="7"/>
  <c r="T32" i="7"/>
  <c r="U31" i="7"/>
  <c r="T31" i="7"/>
  <c r="U30" i="7"/>
  <c r="T30" i="7"/>
  <c r="Q32" i="7"/>
  <c r="P32" i="7"/>
  <c r="Q31" i="7"/>
  <c r="P31" i="7"/>
  <c r="Q30" i="7"/>
  <c r="P30" i="7"/>
  <c r="L32" i="7"/>
  <c r="L31" i="7"/>
  <c r="L30" i="7"/>
  <c r="CB26" i="7"/>
  <c r="CB25" i="7"/>
  <c r="BX26" i="7"/>
  <c r="BX25" i="7"/>
  <c r="BT26" i="7"/>
  <c r="BT25" i="7"/>
  <c r="BD26" i="7"/>
  <c r="BD25" i="7"/>
  <c r="AZ26" i="7"/>
  <c r="AZ25" i="7"/>
  <c r="AV26" i="7"/>
  <c r="AV25" i="7"/>
  <c r="AR26" i="7"/>
  <c r="AR25" i="7"/>
  <c r="CB24" i="7"/>
  <c r="BT24" i="7"/>
  <c r="BD24" i="7"/>
  <c r="AZ24" i="7"/>
  <c r="N11" i="9"/>
  <c r="AC80" i="10" s="1"/>
  <c r="AV24" i="7"/>
  <c r="M11" i="9" s="1"/>
  <c r="E8" i="63" s="1"/>
  <c r="AR24" i="7"/>
  <c r="AN26" i="7"/>
  <c r="AN25" i="7"/>
  <c r="AN24" i="7"/>
  <c r="AJ26" i="7"/>
  <c r="AJ25" i="7"/>
  <c r="AJ24" i="7"/>
  <c r="AF26" i="7"/>
  <c r="AF25" i="7"/>
  <c r="AF24" i="7"/>
  <c r="AB26" i="7"/>
  <c r="AB25" i="7"/>
  <c r="AB24" i="7"/>
  <c r="W26" i="7"/>
  <c r="W25" i="7"/>
  <c r="W24" i="7"/>
  <c r="S26" i="7"/>
  <c r="S25" i="7"/>
  <c r="S24" i="7"/>
  <c r="DK23" i="7"/>
  <c r="DK22" i="7"/>
  <c r="DK21" i="7"/>
  <c r="DK20" i="7"/>
  <c r="BX23" i="7"/>
  <c r="D140" i="12" s="1"/>
  <c r="AG23" i="7"/>
  <c r="AG22" i="7"/>
  <c r="AG21" i="7"/>
  <c r="AG20" i="7"/>
  <c r="AC23" i="7"/>
  <c r="AC22" i="7"/>
  <c r="AC21" i="7"/>
  <c r="AC20" i="7"/>
  <c r="X23" i="7"/>
  <c r="X22" i="7"/>
  <c r="X21" i="7"/>
  <c r="X20" i="7"/>
  <c r="T23" i="7"/>
  <c r="T22" i="7"/>
  <c r="T21" i="7"/>
  <c r="T20" i="7"/>
  <c r="O26" i="7"/>
  <c r="O25" i="7"/>
  <c r="O23" i="7"/>
  <c r="D35" i="12" s="1"/>
  <c r="P22" i="7"/>
  <c r="P21" i="7"/>
  <c r="P20" i="7"/>
  <c r="DQ23" i="7"/>
  <c r="DQ22" i="7"/>
  <c r="DQ21" i="7"/>
  <c r="DQ20" i="7"/>
  <c r="CG20" i="7"/>
  <c r="CC23" i="7"/>
  <c r="CC22" i="7"/>
  <c r="CC21" i="7"/>
  <c r="CC20" i="7"/>
  <c r="BY22" i="7"/>
  <c r="BY21" i="7"/>
  <c r="BY20" i="7"/>
  <c r="BU23" i="7"/>
  <c r="BU22" i="7"/>
  <c r="BU21" i="7"/>
  <c r="BU20" i="7"/>
  <c r="BP23" i="7"/>
  <c r="D126" i="12" s="1"/>
  <c r="BP22" i="7"/>
  <c r="BP21" i="7"/>
  <c r="D124" i="12" s="1"/>
  <c r="BP20" i="7"/>
  <c r="D123" i="12" s="1"/>
  <c r="BL23" i="7"/>
  <c r="D119" i="12"/>
  <c r="BL22" i="7"/>
  <c r="BL21" i="7"/>
  <c r="D117" i="12" s="1"/>
  <c r="BL20" i="7"/>
  <c r="D116" i="12" s="1"/>
  <c r="BH23" i="7"/>
  <c r="D112" i="12" s="1"/>
  <c r="BH22" i="7"/>
  <c r="BH21" i="7"/>
  <c r="BH20" i="7"/>
  <c r="D109" i="12" s="1"/>
  <c r="BE23" i="7"/>
  <c r="BE22" i="7"/>
  <c r="BE21" i="7"/>
  <c r="BE20" i="7"/>
  <c r="BA23" i="7"/>
  <c r="BA22" i="7"/>
  <c r="BA20" i="7"/>
  <c r="AW23" i="7"/>
  <c r="AW22" i="7"/>
  <c r="AW21" i="7"/>
  <c r="AW20" i="7"/>
  <c r="AS23" i="7"/>
  <c r="AS22" i="7"/>
  <c r="AS21" i="7"/>
  <c r="AS20" i="7"/>
  <c r="AO23" i="7"/>
  <c r="AO22" i="7"/>
  <c r="AO21" i="7"/>
  <c r="AO20" i="7"/>
  <c r="AK23" i="7"/>
  <c r="AL23" i="7" s="1"/>
  <c r="AK22" i="7"/>
  <c r="AK21" i="7"/>
  <c r="AL21" i="7" s="1"/>
  <c r="K23" i="7"/>
  <c r="D28" i="12"/>
  <c r="R27" i="12" s="1"/>
  <c r="K22" i="7"/>
  <c r="K21" i="7"/>
  <c r="D26" i="12" s="1"/>
  <c r="K20" i="7"/>
  <c r="D25" i="12" s="1"/>
  <c r="G23" i="7"/>
  <c r="G22" i="7"/>
  <c r="D20" i="12"/>
  <c r="G21" i="7"/>
  <c r="D19" i="12" s="1"/>
  <c r="G20" i="7"/>
  <c r="D18" i="12" s="1"/>
  <c r="C23" i="7"/>
  <c r="C22" i="7"/>
  <c r="C21" i="7"/>
  <c r="C20" i="7"/>
  <c r="W16" i="7"/>
  <c r="X56" i="7" s="1"/>
  <c r="E14" i="7"/>
  <c r="C43" i="8" s="1"/>
  <c r="E13" i="7"/>
  <c r="E12" i="7"/>
  <c r="E11" i="7"/>
  <c r="E10" i="7"/>
  <c r="C16" i="7"/>
  <c r="C15" i="7"/>
  <c r="C14" i="7"/>
  <c r="CB16" i="7"/>
  <c r="CB15" i="7"/>
  <c r="BX16" i="7"/>
  <c r="BY26" i="7"/>
  <c r="BX15" i="7"/>
  <c r="BT16" i="7"/>
  <c r="BT15" i="7"/>
  <c r="BU25" i="7"/>
  <c r="BD16" i="7"/>
  <c r="BD15" i="7"/>
  <c r="BF15" i="7" s="1"/>
  <c r="BF16" i="7" s="1"/>
  <c r="AV16" i="7"/>
  <c r="AV15" i="7"/>
  <c r="AW25" i="7" s="1"/>
  <c r="AR16" i="7"/>
  <c r="AR15" i="7"/>
  <c r="AN16" i="7"/>
  <c r="AN15" i="7"/>
  <c r="AF16" i="7"/>
  <c r="AF15" i="7"/>
  <c r="AG25" i="7" s="1"/>
  <c r="AB16" i="7"/>
  <c r="AB15" i="7"/>
  <c r="Z15" i="7"/>
  <c r="W15" i="7"/>
  <c r="X35" i="7" s="1"/>
  <c r="CB14" i="7"/>
  <c r="BX14" i="7"/>
  <c r="BT14" i="7"/>
  <c r="BU24" i="7" s="1"/>
  <c r="BD14" i="7"/>
  <c r="BE54" i="7"/>
  <c r="AV14" i="7"/>
  <c r="AR14" i="7"/>
  <c r="AN14" i="7"/>
  <c r="B78" i="12" s="1"/>
  <c r="AF14" i="7"/>
  <c r="AB14" i="7"/>
  <c r="Y14" i="7"/>
  <c r="W14" i="7"/>
  <c r="S16" i="7"/>
  <c r="S15" i="7"/>
  <c r="S14" i="7"/>
  <c r="O16" i="7"/>
  <c r="O15" i="7"/>
  <c r="P55" i="7" s="1"/>
  <c r="O14" i="7"/>
  <c r="K16" i="7"/>
  <c r="L86" i="7" s="1"/>
  <c r="K15" i="7"/>
  <c r="K14" i="7"/>
  <c r="G16" i="7"/>
  <c r="G15" i="7"/>
  <c r="G14" i="7"/>
  <c r="H84" i="7" s="1"/>
  <c r="D14" i="7"/>
  <c r="CC13" i="7"/>
  <c r="BV13" i="21" s="1"/>
  <c r="BV37" i="21" s="1"/>
  <c r="CC12" i="7"/>
  <c r="BV12" i="21" s="1"/>
  <c r="CC11" i="7"/>
  <c r="BV11" i="21" s="1"/>
  <c r="CC10" i="7"/>
  <c r="BV10" i="21" s="1"/>
  <c r="BY13" i="7"/>
  <c r="BR13" i="21"/>
  <c r="BY12" i="7"/>
  <c r="BR12" i="21" s="1"/>
  <c r="BY11" i="7"/>
  <c r="BR11" i="21"/>
  <c r="BY10" i="7"/>
  <c r="BR10" i="21" s="1"/>
  <c r="BE13" i="7"/>
  <c r="AX13" i="21" s="1"/>
  <c r="BE12" i="7"/>
  <c r="AX12" i="21" s="1"/>
  <c r="AX30" i="21" s="1"/>
  <c r="BE10" i="7"/>
  <c r="AX10" i="21"/>
  <c r="BA13" i="7"/>
  <c r="AT13" i="21" s="1"/>
  <c r="BA12" i="7"/>
  <c r="AT12" i="21" s="1"/>
  <c r="BA10" i="7"/>
  <c r="AT10" i="21" s="1"/>
  <c r="AW13" i="7"/>
  <c r="AP13" i="21"/>
  <c r="AW12" i="7"/>
  <c r="AP12" i="21" s="1"/>
  <c r="AW11" i="7"/>
  <c r="AP11" i="21" s="1"/>
  <c r="AW10" i="7"/>
  <c r="AP10" i="21" s="1"/>
  <c r="AS13" i="7"/>
  <c r="AL13" i="21" s="1"/>
  <c r="AS12" i="7"/>
  <c r="AL12" i="21"/>
  <c r="AS11" i="7"/>
  <c r="AL11" i="21" s="1"/>
  <c r="AS10" i="7"/>
  <c r="AL10" i="21" s="1"/>
  <c r="AO13" i="7"/>
  <c r="AH13" i="21" s="1"/>
  <c r="AO12" i="7"/>
  <c r="AH12" i="21" s="1"/>
  <c r="AO11" i="7"/>
  <c r="AH11" i="21" s="1"/>
  <c r="AK13" i="7"/>
  <c r="AD13" i="21" s="1"/>
  <c r="AK12" i="7"/>
  <c r="AD12" i="21"/>
  <c r="AK11" i="7"/>
  <c r="AD11" i="21" s="1"/>
  <c r="AG13" i="7"/>
  <c r="Z13" i="21" s="1"/>
  <c r="AG12" i="7"/>
  <c r="Z12" i="21"/>
  <c r="AG11" i="7"/>
  <c r="Z11" i="21" s="1"/>
  <c r="AG10" i="7"/>
  <c r="Z10" i="21"/>
  <c r="AC13" i="7"/>
  <c r="V13" i="21" s="1"/>
  <c r="AC12" i="7"/>
  <c r="V12" i="21"/>
  <c r="AC11" i="7"/>
  <c r="V11" i="21" s="1"/>
  <c r="V35" i="21" s="1"/>
  <c r="AC10" i="7"/>
  <c r="V10" i="21" s="1"/>
  <c r="CF15" i="7"/>
  <c r="CH46" i="3"/>
  <c r="AZ11" i="7"/>
  <c r="B96" i="12" s="1"/>
  <c r="DP13" i="7"/>
  <c r="DP12" i="7"/>
  <c r="DP11" i="7"/>
  <c r="DP10" i="7"/>
  <c r="CG10" i="7"/>
  <c r="BZ10" i="21" s="1"/>
  <c r="BP13" i="7"/>
  <c r="BP12" i="7"/>
  <c r="B125" i="12" s="1"/>
  <c r="BP11" i="7"/>
  <c r="B124" i="12" s="1"/>
  <c r="BP10" i="7"/>
  <c r="BL13" i="7"/>
  <c r="BL12" i="7"/>
  <c r="B118" i="12" s="1"/>
  <c r="AP132" i="12" s="1"/>
  <c r="BL11" i="7"/>
  <c r="B117" i="12"/>
  <c r="BL10" i="7"/>
  <c r="BH13" i="7"/>
  <c r="BH12" i="7"/>
  <c r="BH11" i="7"/>
  <c r="B110" i="12" s="1"/>
  <c r="BH10" i="7"/>
  <c r="AJ10" i="7"/>
  <c r="X13" i="7"/>
  <c r="R13" i="21" s="1"/>
  <c r="X12" i="7"/>
  <c r="R12" i="21" s="1"/>
  <c r="X11" i="7"/>
  <c r="R11" i="21" s="1"/>
  <c r="X10" i="7"/>
  <c r="R10" i="21" s="1"/>
  <c r="U13" i="7"/>
  <c r="G46" i="3" s="1"/>
  <c r="T13" i="7"/>
  <c r="N13" i="21" s="1"/>
  <c r="U12" i="7"/>
  <c r="F46" i="3" s="1"/>
  <c r="T12" i="7"/>
  <c r="F45" i="3" s="1"/>
  <c r="U11" i="7"/>
  <c r="T11" i="7"/>
  <c r="N11" i="21"/>
  <c r="U10" i="7"/>
  <c r="D46" i="3" s="1"/>
  <c r="T10" i="7"/>
  <c r="N10" i="21" s="1"/>
  <c r="Q13" i="7"/>
  <c r="P13" i="7"/>
  <c r="J13" i="21"/>
  <c r="Q12" i="7"/>
  <c r="P12" i="7"/>
  <c r="J12" i="21" s="1"/>
  <c r="Q11" i="7"/>
  <c r="P11" i="7"/>
  <c r="J11" i="21" s="1"/>
  <c r="Q10" i="7"/>
  <c r="P10" i="7"/>
  <c r="J10" i="21" s="1"/>
  <c r="M13" i="7"/>
  <c r="L13" i="7"/>
  <c r="M12" i="7"/>
  <c r="L12" i="7"/>
  <c r="M11" i="7"/>
  <c r="L11" i="7"/>
  <c r="M10" i="7"/>
  <c r="M15" i="7" s="1"/>
  <c r="M16" i="7" s="1"/>
  <c r="L10" i="7"/>
  <c r="I13" i="7"/>
  <c r="H13" i="7"/>
  <c r="I12" i="7"/>
  <c r="H12" i="7"/>
  <c r="I11" i="7"/>
  <c r="H11" i="7"/>
  <c r="I10" i="7"/>
  <c r="H10" i="7"/>
  <c r="AG265" i="5"/>
  <c r="AI265" i="5" s="1"/>
  <c r="AG264" i="5"/>
  <c r="AG263" i="5"/>
  <c r="AG262" i="5"/>
  <c r="AI262" i="5" s="1"/>
  <c r="AI266" i="5" s="1"/>
  <c r="Z265" i="5"/>
  <c r="Z264" i="5"/>
  <c r="Z263" i="5"/>
  <c r="T262" i="5"/>
  <c r="K265" i="5"/>
  <c r="T265" i="5" s="1"/>
  <c r="K264" i="5"/>
  <c r="K263" i="5"/>
  <c r="E266" i="5"/>
  <c r="C266" i="5"/>
  <c r="C265" i="5"/>
  <c r="C264" i="5"/>
  <c r="C263" i="5"/>
  <c r="C262" i="5"/>
  <c r="A266" i="5"/>
  <c r="A265" i="5"/>
  <c r="A264" i="5"/>
  <c r="A263" i="5"/>
  <c r="A262" i="5"/>
  <c r="A261" i="5"/>
  <c r="AG258" i="5"/>
  <c r="AG257" i="5"/>
  <c r="AG256" i="5"/>
  <c r="AG255" i="5"/>
  <c r="Z256" i="5"/>
  <c r="K257" i="5"/>
  <c r="T257" i="5"/>
  <c r="K256" i="5"/>
  <c r="T256" i="5" s="1"/>
  <c r="E259" i="5"/>
  <c r="C259" i="5"/>
  <c r="A259" i="5"/>
  <c r="A258" i="5"/>
  <c r="A257" i="5"/>
  <c r="A256" i="5"/>
  <c r="A255" i="5"/>
  <c r="A254" i="5"/>
  <c r="X258" i="5"/>
  <c r="Z258" i="5" s="1"/>
  <c r="X257" i="5"/>
  <c r="Z257" i="5"/>
  <c r="C257" i="5"/>
  <c r="G257" i="5" s="1"/>
  <c r="C256" i="5"/>
  <c r="G256" i="5"/>
  <c r="C255" i="5"/>
  <c r="G255" i="5"/>
  <c r="AG251" i="5"/>
  <c r="AG250" i="5"/>
  <c r="AI250" i="5" s="1"/>
  <c r="AG249" i="5"/>
  <c r="AG248" i="5"/>
  <c r="Z250" i="5"/>
  <c r="Z249" i="5"/>
  <c r="G252" i="5"/>
  <c r="C252" i="5"/>
  <c r="C251" i="5"/>
  <c r="G251" i="5" s="1"/>
  <c r="C250" i="5"/>
  <c r="G250" i="5" s="1"/>
  <c r="C249" i="5"/>
  <c r="G249" i="5" s="1"/>
  <c r="AD249" i="5" s="1"/>
  <c r="C248" i="5"/>
  <c r="G248" i="5" s="1"/>
  <c r="A252" i="5"/>
  <c r="A251" i="5"/>
  <c r="A250" i="5"/>
  <c r="A249" i="5"/>
  <c r="A248" i="5"/>
  <c r="A247" i="5"/>
  <c r="X251" i="5"/>
  <c r="Z255" i="5" s="1"/>
  <c r="AB262" i="5" s="1"/>
  <c r="AG244" i="5"/>
  <c r="AG243" i="5"/>
  <c r="AG242" i="5"/>
  <c r="AI242" i="5" s="1"/>
  <c r="AG241" i="5"/>
  <c r="Z243" i="5"/>
  <c r="AB250" i="5" s="1"/>
  <c r="Z242" i="5"/>
  <c r="C245" i="5"/>
  <c r="G245" i="5" s="1"/>
  <c r="C244" i="5"/>
  <c r="G244" i="5"/>
  <c r="C243" i="5"/>
  <c r="G243" i="5" s="1"/>
  <c r="C242" i="5"/>
  <c r="G242" i="5" s="1"/>
  <c r="C241" i="5"/>
  <c r="G241" i="5" s="1"/>
  <c r="A245" i="5"/>
  <c r="A244" i="5"/>
  <c r="A243" i="5"/>
  <c r="A242" i="5"/>
  <c r="A241" i="5"/>
  <c r="A240" i="5"/>
  <c r="X244" i="5"/>
  <c r="Z248" i="5" s="1"/>
  <c r="AG238" i="5"/>
  <c r="AG237" i="5"/>
  <c r="AG236" i="5"/>
  <c r="AG235" i="5"/>
  <c r="AG234" i="5"/>
  <c r="K236" i="5"/>
  <c r="T236" i="5"/>
  <c r="A238" i="5"/>
  <c r="A237" i="5"/>
  <c r="A236" i="5"/>
  <c r="A235" i="5"/>
  <c r="A234" i="5"/>
  <c r="A233" i="5"/>
  <c r="X237" i="5"/>
  <c r="C237" i="5"/>
  <c r="X235" i="5"/>
  <c r="Z236" i="5"/>
  <c r="AB243" i="5" s="1"/>
  <c r="X234" i="5"/>
  <c r="Z235" i="5"/>
  <c r="AB242" i="5" s="1"/>
  <c r="AG230" i="5"/>
  <c r="AG231" i="5"/>
  <c r="X230" i="5"/>
  <c r="Z230" i="5" s="1"/>
  <c r="AI230" i="5" s="1"/>
  <c r="AI231" i="5" s="1"/>
  <c r="A226" i="5"/>
  <c r="AW191" i="5"/>
  <c r="K193" i="5"/>
  <c r="M200" i="5" s="1"/>
  <c r="K192" i="5"/>
  <c r="M199" i="5" s="1"/>
  <c r="Z152" i="12"/>
  <c r="J193" i="5"/>
  <c r="J192" i="5"/>
  <c r="E191" i="5"/>
  <c r="AW188" i="5"/>
  <c r="AW187" i="5"/>
  <c r="AW186" i="5"/>
  <c r="AW185" i="5"/>
  <c r="AW184" i="5"/>
  <c r="Z186" i="5"/>
  <c r="Z185" i="5"/>
  <c r="Z184" i="5"/>
  <c r="K186" i="5"/>
  <c r="K185" i="5"/>
  <c r="M192" i="5" s="1"/>
  <c r="E188" i="5"/>
  <c r="E187" i="5"/>
  <c r="E186" i="5"/>
  <c r="E185" i="5"/>
  <c r="E184" i="5"/>
  <c r="X187" i="5"/>
  <c r="Z147" i="12" s="1"/>
  <c r="AB147" i="12" s="1"/>
  <c r="J186" i="5"/>
  <c r="J185" i="5"/>
  <c r="AW181" i="5"/>
  <c r="AW180" i="5"/>
  <c r="AW179" i="5"/>
  <c r="AW178" i="5"/>
  <c r="AW177" i="5"/>
  <c r="Z180" i="5"/>
  <c r="Z179" i="5"/>
  <c r="Z178" i="5"/>
  <c r="Z177" i="5"/>
  <c r="K179" i="5"/>
  <c r="K178" i="5"/>
  <c r="M185" i="5" s="1"/>
  <c r="E180" i="5"/>
  <c r="E179" i="5"/>
  <c r="E178" i="5"/>
  <c r="E177" i="5"/>
  <c r="J179" i="5"/>
  <c r="J178" i="5"/>
  <c r="AW174" i="5"/>
  <c r="AW173" i="5"/>
  <c r="AW172" i="5"/>
  <c r="AW171" i="5"/>
  <c r="AW170" i="5"/>
  <c r="Z173" i="5"/>
  <c r="AB180" i="5" s="1"/>
  <c r="Z172" i="5"/>
  <c r="Z171" i="5"/>
  <c r="E173" i="5"/>
  <c r="E172" i="5"/>
  <c r="E171" i="5"/>
  <c r="E170" i="5"/>
  <c r="I170" i="5"/>
  <c r="AW165" i="5"/>
  <c r="AW164" i="5"/>
  <c r="Z165" i="5"/>
  <c r="AB172" i="5" s="1"/>
  <c r="Z164" i="5"/>
  <c r="X166" i="5"/>
  <c r="Z126" i="12" s="1"/>
  <c r="AB126" i="12" s="1"/>
  <c r="E166" i="5"/>
  <c r="E165" i="5"/>
  <c r="E164" i="5"/>
  <c r="E163" i="5"/>
  <c r="I165" i="5"/>
  <c r="T125" i="12" s="1"/>
  <c r="V125" i="12" s="1"/>
  <c r="I164" i="5"/>
  <c r="J164" i="5" s="1"/>
  <c r="AW158" i="5"/>
  <c r="AW157" i="5"/>
  <c r="AQ160" i="5"/>
  <c r="AO160" i="5"/>
  <c r="Z158" i="5"/>
  <c r="E160" i="5"/>
  <c r="E159" i="5"/>
  <c r="E158" i="5"/>
  <c r="E157" i="5"/>
  <c r="E156" i="5"/>
  <c r="X159" i="5"/>
  <c r="Z163" i="5" s="1"/>
  <c r="X156" i="5"/>
  <c r="Z116" i="12"/>
  <c r="AB116" i="12" s="1"/>
  <c r="I156" i="5"/>
  <c r="AW150" i="5"/>
  <c r="AQ153" i="5"/>
  <c r="AO153" i="5"/>
  <c r="E153" i="5"/>
  <c r="E152" i="5"/>
  <c r="E151" i="5"/>
  <c r="E150" i="5"/>
  <c r="E149" i="5"/>
  <c r="AM152" i="5"/>
  <c r="AQ152" i="5" s="1"/>
  <c r="AM151" i="5"/>
  <c r="AQ151" i="5" s="1"/>
  <c r="AM150" i="5"/>
  <c r="AQ150" i="5" s="1"/>
  <c r="AM149" i="5"/>
  <c r="AM156" i="5" s="1"/>
  <c r="X152" i="5"/>
  <c r="BE68" i="3" s="1"/>
  <c r="X151" i="5"/>
  <c r="Z152" i="5" s="1"/>
  <c r="Z111" i="12"/>
  <c r="AB111" i="12" s="1"/>
  <c r="X150" i="5"/>
  <c r="Z110" i="12"/>
  <c r="AB110" i="12" s="1"/>
  <c r="X149" i="5"/>
  <c r="Z109" i="12"/>
  <c r="AB109" i="12" s="1"/>
  <c r="BG149" i="5"/>
  <c r="I151" i="5"/>
  <c r="T111" i="12" s="1"/>
  <c r="V111" i="12" s="1"/>
  <c r="I150" i="5"/>
  <c r="T110" i="12" s="1"/>
  <c r="V110" i="12" s="1"/>
  <c r="I149" i="5"/>
  <c r="AQ146" i="5"/>
  <c r="AO146" i="5"/>
  <c r="Z145" i="5"/>
  <c r="Z144" i="5"/>
  <c r="Z143" i="5"/>
  <c r="AM143" i="5"/>
  <c r="BG142" i="5"/>
  <c r="I144" i="5"/>
  <c r="I143" i="5"/>
  <c r="T103" i="12" s="1"/>
  <c r="V103" i="12" s="1"/>
  <c r="E142" i="5"/>
  <c r="AQ139" i="5"/>
  <c r="AQ137" i="5"/>
  <c r="AQ136" i="5"/>
  <c r="Z137" i="5"/>
  <c r="AB144" i="5" s="1"/>
  <c r="Z136" i="5"/>
  <c r="AB136" i="5" s="1"/>
  <c r="R137" i="5"/>
  <c r="E138" i="5"/>
  <c r="E137" i="5"/>
  <c r="E136" i="5"/>
  <c r="E135" i="5"/>
  <c r="AX137" i="5"/>
  <c r="AX136" i="5"/>
  <c r="X138" i="5"/>
  <c r="Z98" i="12" s="1"/>
  <c r="AB98" i="12" s="1"/>
  <c r="BG135" i="5"/>
  <c r="I137" i="5"/>
  <c r="T97" i="12"/>
  <c r="V97" i="12" s="1"/>
  <c r="I136" i="5"/>
  <c r="T96" i="12" s="1"/>
  <c r="V96" i="12" s="1"/>
  <c r="I135" i="5"/>
  <c r="T95" i="12" s="1"/>
  <c r="V95" i="12" s="1"/>
  <c r="AX132" i="5"/>
  <c r="Z130" i="5"/>
  <c r="Z129" i="5"/>
  <c r="E132" i="5"/>
  <c r="N43" i="8" s="1"/>
  <c r="E131" i="5"/>
  <c r="E130" i="5"/>
  <c r="E129" i="5"/>
  <c r="E128" i="5"/>
  <c r="X131" i="5"/>
  <c r="Z91" i="12" s="1"/>
  <c r="AB91" i="12" s="1"/>
  <c r="I129" i="5"/>
  <c r="T89" i="12" s="1"/>
  <c r="V89" i="12" s="1"/>
  <c r="K130" i="5"/>
  <c r="I128" i="5"/>
  <c r="BG128" i="5"/>
  <c r="AO124" i="5"/>
  <c r="AO123" i="5"/>
  <c r="AO122" i="5"/>
  <c r="AO121" i="5"/>
  <c r="AM125" i="5"/>
  <c r="Z123" i="5"/>
  <c r="Z122" i="5"/>
  <c r="R124" i="5"/>
  <c r="R123" i="5"/>
  <c r="AS123" i="5" s="1"/>
  <c r="R122" i="5"/>
  <c r="AG122" i="5" s="1"/>
  <c r="AI122" i="5" s="1"/>
  <c r="R121" i="5"/>
  <c r="AS121" i="5" s="1"/>
  <c r="E125" i="5"/>
  <c r="M43" i="8" s="1"/>
  <c r="X124" i="5"/>
  <c r="Z124" i="5" s="1"/>
  <c r="I121" i="5"/>
  <c r="T81" i="12"/>
  <c r="V81" i="12" s="1"/>
  <c r="BG121" i="5"/>
  <c r="AO117" i="5"/>
  <c r="AO116" i="5"/>
  <c r="AO115" i="5"/>
  <c r="AO114" i="5"/>
  <c r="AM118" i="5"/>
  <c r="AO118" i="5" s="1"/>
  <c r="R117" i="5"/>
  <c r="AS117" i="5" s="1"/>
  <c r="R116" i="5"/>
  <c r="R115" i="5"/>
  <c r="AS115" i="5" s="1"/>
  <c r="R114" i="5"/>
  <c r="E118" i="5"/>
  <c r="L43" i="8" s="1"/>
  <c r="X117" i="5"/>
  <c r="Z117" i="5" s="1"/>
  <c r="I116" i="5"/>
  <c r="T76" i="12" s="1"/>
  <c r="X115" i="5"/>
  <c r="BG114" i="5"/>
  <c r="AO110" i="5"/>
  <c r="AO109" i="5"/>
  <c r="AO108" i="5"/>
  <c r="AO107" i="5"/>
  <c r="AM111" i="5"/>
  <c r="Z109" i="5"/>
  <c r="Z108" i="5"/>
  <c r="R110" i="5"/>
  <c r="AS110" i="5" s="1"/>
  <c r="R109" i="5"/>
  <c r="R108" i="5"/>
  <c r="AG108" i="5" s="1"/>
  <c r="X110" i="5"/>
  <c r="BG107" i="5"/>
  <c r="AO103" i="5"/>
  <c r="AO102" i="5"/>
  <c r="AO101" i="5"/>
  <c r="AO100" i="5"/>
  <c r="AM104" i="5"/>
  <c r="Z102" i="5"/>
  <c r="R103" i="5"/>
  <c r="R102" i="5"/>
  <c r="DN12" i="7" s="1"/>
  <c r="DR12" i="7" s="1"/>
  <c r="R101" i="5"/>
  <c r="DN11" i="7" s="1"/>
  <c r="R100" i="5"/>
  <c r="X103" i="5"/>
  <c r="Z63" i="12" s="1"/>
  <c r="BG100" i="5"/>
  <c r="X100" i="5"/>
  <c r="BE96" i="5"/>
  <c r="BE95" i="5"/>
  <c r="BE94" i="5"/>
  <c r="BE93" i="5"/>
  <c r="AO96" i="5"/>
  <c r="AO95" i="5"/>
  <c r="AO94" i="5"/>
  <c r="AO93" i="5"/>
  <c r="AM97" i="5"/>
  <c r="Z95" i="5"/>
  <c r="Z94" i="5"/>
  <c r="E97" i="5"/>
  <c r="I43" i="8" s="1"/>
  <c r="E96" i="5"/>
  <c r="E95" i="5"/>
  <c r="E94" i="5"/>
  <c r="E93" i="5"/>
  <c r="X96" i="5"/>
  <c r="Z56" i="12" s="1"/>
  <c r="AB56" i="12" s="1"/>
  <c r="BE90" i="5"/>
  <c r="BE89" i="5"/>
  <c r="BE88" i="5"/>
  <c r="BE87" i="5"/>
  <c r="BE86" i="5"/>
  <c r="AM90" i="5"/>
  <c r="AQ88" i="5" s="1"/>
  <c r="R88" i="5"/>
  <c r="R87" i="5"/>
  <c r="R86" i="5"/>
  <c r="AG86" i="5" s="1"/>
  <c r="X88" i="5"/>
  <c r="X87" i="5"/>
  <c r="J68" i="3" s="1"/>
  <c r="X86" i="5"/>
  <c r="I87" i="5"/>
  <c r="AX87" i="5" s="1"/>
  <c r="Y13" i="7"/>
  <c r="L46" i="3" s="1"/>
  <c r="Y12" i="7"/>
  <c r="K46" i="3" s="1"/>
  <c r="Y11" i="7"/>
  <c r="J46" i="3" s="1"/>
  <c r="Y10" i="7"/>
  <c r="BE82" i="5"/>
  <c r="BE81" i="5"/>
  <c r="BE80" i="5"/>
  <c r="BE79" i="5"/>
  <c r="R82" i="5"/>
  <c r="R81" i="5"/>
  <c r="AG81" i="5" s="1"/>
  <c r="R80" i="5"/>
  <c r="AG80" i="5" s="1"/>
  <c r="R79" i="5"/>
  <c r="AG79" i="5" s="1"/>
  <c r="K81" i="5"/>
  <c r="K80" i="5"/>
  <c r="AX81" i="5"/>
  <c r="AX80" i="5"/>
  <c r="AX79" i="5"/>
  <c r="X82" i="5"/>
  <c r="G68" i="3" s="1"/>
  <c r="X81" i="5"/>
  <c r="F68" i="3" s="1"/>
  <c r="X80" i="5"/>
  <c r="X79" i="5"/>
  <c r="D68" i="3" s="1"/>
  <c r="BE75" i="5"/>
  <c r="BE74" i="5"/>
  <c r="BE73" i="5"/>
  <c r="BE72" i="5"/>
  <c r="R75" i="5"/>
  <c r="AG75" i="5" s="1"/>
  <c r="R74" i="5"/>
  <c r="R73" i="5"/>
  <c r="AG73" i="5" s="1"/>
  <c r="R72" i="5"/>
  <c r="AG72" i="5" s="1"/>
  <c r="K74" i="5"/>
  <c r="K73" i="5"/>
  <c r="Q14" i="7"/>
  <c r="F43" i="8" s="1"/>
  <c r="DB46" i="3" s="1"/>
  <c r="AX74" i="5"/>
  <c r="AX73" i="5"/>
  <c r="AX72" i="5"/>
  <c r="X75" i="5"/>
  <c r="X74" i="5"/>
  <c r="X73" i="5"/>
  <c r="X72" i="5"/>
  <c r="BE68" i="5"/>
  <c r="BE67" i="5"/>
  <c r="BE66" i="5"/>
  <c r="BE65" i="5"/>
  <c r="R68" i="5"/>
  <c r="C75" i="5" s="1"/>
  <c r="G75" i="5" s="1"/>
  <c r="R67" i="5"/>
  <c r="R66" i="5"/>
  <c r="R65" i="5"/>
  <c r="AG65" i="5" s="1"/>
  <c r="K67" i="5"/>
  <c r="M74" i="5" s="1"/>
  <c r="K66" i="5"/>
  <c r="M14" i="7"/>
  <c r="E43" i="8" s="1"/>
  <c r="AX67" i="5"/>
  <c r="AX66" i="5"/>
  <c r="AX65" i="5"/>
  <c r="X68" i="5"/>
  <c r="X67" i="5"/>
  <c r="X66" i="5"/>
  <c r="X65" i="5"/>
  <c r="Z65" i="5" s="1"/>
  <c r="R61" i="5"/>
  <c r="AG61" i="5" s="1"/>
  <c r="R60" i="5"/>
  <c r="R59" i="5"/>
  <c r="R58" i="5"/>
  <c r="K60" i="5"/>
  <c r="K59" i="5"/>
  <c r="K58" i="5"/>
  <c r="T58" i="5" s="1"/>
  <c r="I14" i="7"/>
  <c r="D43" i="8" s="1"/>
  <c r="AX60" i="5"/>
  <c r="AX59" i="5"/>
  <c r="AX58" i="5"/>
  <c r="X61" i="5"/>
  <c r="X60" i="5"/>
  <c r="X59" i="5"/>
  <c r="X58" i="5"/>
  <c r="AG55" i="5"/>
  <c r="AG54" i="5"/>
  <c r="AG53" i="5"/>
  <c r="AG52" i="5"/>
  <c r="Z54" i="5"/>
  <c r="AB54" i="5" s="1"/>
  <c r="Z53" i="5"/>
  <c r="Z56" i="5" s="1"/>
  <c r="AB56" i="5" s="1"/>
  <c r="Z52" i="5"/>
  <c r="AB52" i="5" s="1"/>
  <c r="R55" i="5"/>
  <c r="R54" i="5"/>
  <c r="R53" i="5"/>
  <c r="C59" i="5" s="1"/>
  <c r="G59" i="5" s="1"/>
  <c r="R52" i="5"/>
  <c r="C58" i="5" s="1"/>
  <c r="G58" i="5" s="1"/>
  <c r="K55" i="5"/>
  <c r="T55" i="5" s="1"/>
  <c r="K54" i="5"/>
  <c r="M60" i="5" s="1"/>
  <c r="K53" i="5"/>
  <c r="M59" i="5" s="1"/>
  <c r="K52" i="5"/>
  <c r="G56" i="5"/>
  <c r="G55" i="5"/>
  <c r="G54" i="5"/>
  <c r="G53" i="5"/>
  <c r="G52" i="5"/>
  <c r="AX55" i="5"/>
  <c r="AX54" i="5"/>
  <c r="AX53" i="5"/>
  <c r="AX52" i="5"/>
  <c r="X55" i="5"/>
  <c r="R49" i="5"/>
  <c r="E49" i="5" s="1"/>
  <c r="K48" i="5"/>
  <c r="T48" i="5" s="1"/>
  <c r="K47" i="5"/>
  <c r="K46" i="5"/>
  <c r="M53" i="5" s="1"/>
  <c r="O53" i="5" s="1"/>
  <c r="K45" i="5"/>
  <c r="C48" i="5"/>
  <c r="G48" i="5"/>
  <c r="O48" i="5" s="1"/>
  <c r="C46" i="5"/>
  <c r="G46" i="5" s="1"/>
  <c r="O46" i="5" s="1"/>
  <c r="C45" i="5"/>
  <c r="G45" i="5" s="1"/>
  <c r="AX48" i="5"/>
  <c r="AX47" i="5"/>
  <c r="AX46" i="5"/>
  <c r="AX45" i="5"/>
  <c r="K41" i="5"/>
  <c r="K40" i="5"/>
  <c r="K39" i="5"/>
  <c r="M46" i="5" s="1"/>
  <c r="K38" i="5"/>
  <c r="G41" i="5"/>
  <c r="G40" i="5"/>
  <c r="G39" i="5"/>
  <c r="G38" i="5"/>
  <c r="AX41" i="5"/>
  <c r="AX40" i="5"/>
  <c r="AX39" i="5"/>
  <c r="AX38" i="5"/>
  <c r="R40" i="5"/>
  <c r="R35" i="5"/>
  <c r="C35" i="5" s="1"/>
  <c r="K34" i="5"/>
  <c r="M41" i="5" s="1"/>
  <c r="K33" i="5"/>
  <c r="T33" i="5" s="1"/>
  <c r="K32" i="5"/>
  <c r="K31" i="5"/>
  <c r="T31" i="5" s="1"/>
  <c r="G34" i="5"/>
  <c r="G33" i="5"/>
  <c r="G32" i="5"/>
  <c r="G31" i="5"/>
  <c r="E35" i="5"/>
  <c r="AX34" i="5"/>
  <c r="AX33" i="5"/>
  <c r="AX32" i="5"/>
  <c r="AX31" i="5"/>
  <c r="K27" i="5"/>
  <c r="T27" i="5" s="1"/>
  <c r="K26" i="5"/>
  <c r="K25" i="5"/>
  <c r="T25" i="5" s="1"/>
  <c r="K24" i="5"/>
  <c r="G28" i="5"/>
  <c r="G27" i="5"/>
  <c r="G26" i="5"/>
  <c r="G25" i="5"/>
  <c r="G24" i="5"/>
  <c r="AX27" i="5"/>
  <c r="AX26" i="5"/>
  <c r="AX25" i="5"/>
  <c r="AX24" i="5"/>
  <c r="R21" i="5"/>
  <c r="K20" i="5"/>
  <c r="T20" i="5" s="1"/>
  <c r="K19" i="5"/>
  <c r="K18" i="5"/>
  <c r="K17" i="5"/>
  <c r="G21" i="5"/>
  <c r="G20" i="5"/>
  <c r="G19" i="5"/>
  <c r="G18" i="5"/>
  <c r="G17" i="5"/>
  <c r="AX20" i="5"/>
  <c r="AX19" i="5"/>
  <c r="AX18" i="5"/>
  <c r="AX17" i="5"/>
  <c r="T12" i="5"/>
  <c r="T11" i="5"/>
  <c r="R15" i="5"/>
  <c r="K14" i="5"/>
  <c r="T14" i="5" s="1"/>
  <c r="K13" i="5"/>
  <c r="K15" i="5" s="1"/>
  <c r="T15" i="5" s="1"/>
  <c r="G15" i="5"/>
  <c r="O15" i="5" s="1"/>
  <c r="G14" i="5"/>
  <c r="O14" i="5" s="1"/>
  <c r="G13" i="5"/>
  <c r="O13" i="5" s="1"/>
  <c r="G12" i="5"/>
  <c r="O12" i="5" s="1"/>
  <c r="G11" i="5"/>
  <c r="O11" i="5" s="1"/>
  <c r="AX14" i="5"/>
  <c r="AX13" i="5"/>
  <c r="AX12" i="5"/>
  <c r="AX11" i="5"/>
  <c r="CG73" i="3"/>
  <c r="CG72" i="3"/>
  <c r="CG71" i="3"/>
  <c r="CB73" i="3"/>
  <c r="CB72" i="3"/>
  <c r="CB71" i="3"/>
  <c r="CB70" i="3" s="1"/>
  <c r="BW73" i="3"/>
  <c r="BW72" i="3"/>
  <c r="BW71" i="3"/>
  <c r="BQ73" i="3"/>
  <c r="BQ72" i="3"/>
  <c r="BQ71" i="3"/>
  <c r="BQ68" i="3"/>
  <c r="DM71" i="3"/>
  <c r="DL71" i="3"/>
  <c r="DK71" i="3"/>
  <c r="DJ71" i="3"/>
  <c r="DI71" i="3"/>
  <c r="DH71" i="3"/>
  <c r="DG71" i="3"/>
  <c r="DF71" i="3"/>
  <c r="DE71" i="3"/>
  <c r="DD71" i="3"/>
  <c r="DC71" i="3"/>
  <c r="DB71" i="3"/>
  <c r="DA71" i="3"/>
  <c r="CZ71" i="3"/>
  <c r="BO73" i="3"/>
  <c r="BN73" i="3"/>
  <c r="BM73" i="3"/>
  <c r="BL73" i="3"/>
  <c r="BO72" i="3"/>
  <c r="BN72" i="3"/>
  <c r="BM72" i="3"/>
  <c r="BL72" i="3"/>
  <c r="BO71" i="3"/>
  <c r="BN71" i="3"/>
  <c r="BM71" i="3"/>
  <c r="BL71" i="3"/>
  <c r="BL70" i="3" s="1"/>
  <c r="BO69" i="3"/>
  <c r="BN69" i="3"/>
  <c r="BM69" i="3"/>
  <c r="BL69" i="3"/>
  <c r="BN68" i="3"/>
  <c r="BM68" i="3"/>
  <c r="BL68" i="3"/>
  <c r="BJ73" i="3"/>
  <c r="BI73" i="3"/>
  <c r="BH73" i="3"/>
  <c r="BG73" i="3"/>
  <c r="BJ72" i="3"/>
  <c r="BI72" i="3"/>
  <c r="BH72" i="3"/>
  <c r="BG72" i="3"/>
  <c r="BJ71" i="3"/>
  <c r="BJ70" i="3" s="1"/>
  <c r="BI71" i="3"/>
  <c r="BI70" i="3" s="1"/>
  <c r="BH71" i="3"/>
  <c r="BG71" i="3"/>
  <c r="BJ68" i="3"/>
  <c r="BI68" i="3"/>
  <c r="BH68" i="3"/>
  <c r="BG68" i="3"/>
  <c r="BE73" i="3"/>
  <c r="BD73" i="3"/>
  <c r="BC73" i="3"/>
  <c r="BB73" i="3"/>
  <c r="BE72" i="3"/>
  <c r="BD72" i="3"/>
  <c r="BC72" i="3"/>
  <c r="BB72" i="3"/>
  <c r="BE71" i="3"/>
  <c r="BD71" i="3"/>
  <c r="BC71" i="3"/>
  <c r="BB71" i="3"/>
  <c r="BD69" i="3"/>
  <c r="BC69" i="3"/>
  <c r="BD68" i="3"/>
  <c r="BC68" i="3"/>
  <c r="BB68" i="3"/>
  <c r="AZ73" i="3"/>
  <c r="AY73" i="3"/>
  <c r="AX73" i="3"/>
  <c r="AW73" i="3"/>
  <c r="AZ72" i="3"/>
  <c r="AY72" i="3"/>
  <c r="AX72" i="3"/>
  <c r="AW72" i="3"/>
  <c r="AZ71" i="3"/>
  <c r="AY71" i="3"/>
  <c r="AX71" i="3"/>
  <c r="AW71" i="3"/>
  <c r="AW70" i="3" s="1"/>
  <c r="AY69" i="3"/>
  <c r="AX69" i="3"/>
  <c r="AZ68" i="3"/>
  <c r="AY68" i="3"/>
  <c r="AX68" i="3"/>
  <c r="AW68" i="3"/>
  <c r="AU73" i="3"/>
  <c r="AT73" i="3"/>
  <c r="AS73" i="3"/>
  <c r="AR73" i="3"/>
  <c r="AU72" i="3"/>
  <c r="AT72" i="3"/>
  <c r="AS72" i="3"/>
  <c r="AR72" i="3"/>
  <c r="AU71" i="3"/>
  <c r="AT71" i="3"/>
  <c r="AT70" i="3"/>
  <c r="AS71" i="3"/>
  <c r="AR71" i="3"/>
  <c r="AS69" i="3"/>
  <c r="AR69" i="3"/>
  <c r="AT68" i="3"/>
  <c r="AS68" i="3"/>
  <c r="AR68" i="3"/>
  <c r="AP73" i="3"/>
  <c r="AO73" i="3"/>
  <c r="AN73" i="3"/>
  <c r="AM73" i="3"/>
  <c r="AP72" i="3"/>
  <c r="AO72" i="3"/>
  <c r="AN72" i="3"/>
  <c r="AM72" i="3"/>
  <c r="AP71" i="3"/>
  <c r="AP70" i="3" s="1"/>
  <c r="AO71" i="3"/>
  <c r="AO70" i="3" s="1"/>
  <c r="AN71" i="3"/>
  <c r="AN70" i="3" s="1"/>
  <c r="AM71" i="3"/>
  <c r="AO69" i="3"/>
  <c r="AN69" i="3"/>
  <c r="AO68" i="3"/>
  <c r="AN68" i="3"/>
  <c r="AM68" i="3"/>
  <c r="AK73" i="3"/>
  <c r="AJ73" i="3"/>
  <c r="AI73" i="3"/>
  <c r="AH73" i="3"/>
  <c r="AK72" i="3"/>
  <c r="AJ72" i="3"/>
  <c r="AI72" i="3"/>
  <c r="AH72" i="3"/>
  <c r="AK71" i="3"/>
  <c r="AK70" i="3" s="1"/>
  <c r="AJ71" i="3"/>
  <c r="AJ70" i="3" s="1"/>
  <c r="AI71" i="3"/>
  <c r="AH71" i="3"/>
  <c r="AJ69" i="3"/>
  <c r="AH69" i="3"/>
  <c r="AJ68" i="3"/>
  <c r="AI68" i="3"/>
  <c r="AH68" i="3"/>
  <c r="AF73" i="3"/>
  <c r="AE73" i="3"/>
  <c r="AD73" i="3"/>
  <c r="AC73" i="3"/>
  <c r="AF72" i="3"/>
  <c r="AE72" i="3"/>
  <c r="AD72" i="3"/>
  <c r="AD70" i="3" s="1"/>
  <c r="AC72" i="3"/>
  <c r="AF71" i="3"/>
  <c r="AE71" i="3"/>
  <c r="AD71" i="3"/>
  <c r="AC71" i="3"/>
  <c r="AC70" i="3" s="1"/>
  <c r="AE69" i="3"/>
  <c r="AF68" i="3"/>
  <c r="AE68" i="3"/>
  <c r="AC68" i="3"/>
  <c r="AA73" i="3"/>
  <c r="Z73" i="3"/>
  <c r="Y73" i="3"/>
  <c r="X73" i="3"/>
  <c r="AA72" i="3"/>
  <c r="Z72" i="3"/>
  <c r="Z70" i="3" s="1"/>
  <c r="Y72" i="3"/>
  <c r="X72" i="3"/>
  <c r="AA71" i="3"/>
  <c r="Z71" i="3"/>
  <c r="Y71" i="3"/>
  <c r="Y70" i="3" s="1"/>
  <c r="X71" i="3"/>
  <c r="Z68" i="3"/>
  <c r="Y68" i="3"/>
  <c r="X68" i="3"/>
  <c r="V73" i="3"/>
  <c r="U73" i="3"/>
  <c r="T73" i="3"/>
  <c r="S73" i="3"/>
  <c r="V72" i="3"/>
  <c r="U72" i="3"/>
  <c r="T72" i="3"/>
  <c r="S72" i="3"/>
  <c r="V71" i="3"/>
  <c r="U71" i="3"/>
  <c r="T71" i="3"/>
  <c r="T70" i="3" s="1"/>
  <c r="S71" i="3"/>
  <c r="U68" i="3"/>
  <c r="T68" i="3"/>
  <c r="Q73" i="3"/>
  <c r="P73" i="3"/>
  <c r="O73" i="3"/>
  <c r="N73" i="3"/>
  <c r="Q72" i="3"/>
  <c r="P72" i="3"/>
  <c r="O72" i="3"/>
  <c r="N72" i="3"/>
  <c r="N70" i="3" s="1"/>
  <c r="Q71" i="3"/>
  <c r="P71" i="3"/>
  <c r="O71" i="3"/>
  <c r="N71" i="3"/>
  <c r="Q68" i="3"/>
  <c r="P68" i="3"/>
  <c r="O68" i="3"/>
  <c r="N68" i="3"/>
  <c r="L73" i="3"/>
  <c r="K73" i="3"/>
  <c r="J73" i="3"/>
  <c r="I73" i="3"/>
  <c r="L72" i="3"/>
  <c r="K72" i="3"/>
  <c r="J72" i="3"/>
  <c r="I72" i="3"/>
  <c r="L71" i="3"/>
  <c r="K71" i="3"/>
  <c r="J71" i="3"/>
  <c r="I71" i="3"/>
  <c r="I69" i="3"/>
  <c r="G73" i="3"/>
  <c r="F73" i="3"/>
  <c r="E73" i="3"/>
  <c r="D73" i="3"/>
  <c r="G72" i="3"/>
  <c r="F72" i="3"/>
  <c r="E72" i="3"/>
  <c r="D72" i="3"/>
  <c r="G71" i="3"/>
  <c r="G70" i="3" s="1"/>
  <c r="F71" i="3"/>
  <c r="E71" i="3"/>
  <c r="E70" i="3" s="1"/>
  <c r="D71" i="3"/>
  <c r="F69" i="3"/>
  <c r="E69" i="3"/>
  <c r="D69" i="3"/>
  <c r="D60" i="3"/>
  <c r="G57" i="3"/>
  <c r="CC57" i="3"/>
  <c r="CC56" i="3"/>
  <c r="CC55" i="3"/>
  <c r="CC54" i="3"/>
  <c r="CC52" i="3"/>
  <c r="D57" i="3"/>
  <c r="DJ60" i="3"/>
  <c r="DS59" i="3"/>
  <c r="DR59" i="3"/>
  <c r="DS60" i="3" s="1"/>
  <c r="DQ59" i="3"/>
  <c r="DP59" i="3"/>
  <c r="DP69" i="3" s="1"/>
  <c r="DO59" i="3"/>
  <c r="DM59" i="3"/>
  <c r="DL59" i="3"/>
  <c r="DL69" i="3" s="1"/>
  <c r="DK59" i="3"/>
  <c r="DX58" i="3"/>
  <c r="DW58" i="3"/>
  <c r="DV58" i="3"/>
  <c r="DU58" i="3"/>
  <c r="DT58" i="3"/>
  <c r="DS58" i="3"/>
  <c r="DR58" i="3"/>
  <c r="DQ58" i="3"/>
  <c r="DP58" i="3"/>
  <c r="DO58" i="3"/>
  <c r="DM58" i="3"/>
  <c r="DL58" i="3"/>
  <c r="DK58" i="3"/>
  <c r="DJ58" i="3"/>
  <c r="DJ57" i="3"/>
  <c r="DI60" i="3"/>
  <c r="DG60" i="3"/>
  <c r="DF60" i="3"/>
  <c r="DC60" i="3"/>
  <c r="DB60" i="3"/>
  <c r="DA60" i="3"/>
  <c r="CZ60" i="3"/>
  <c r="DI59" i="3"/>
  <c r="DI69" i="3" s="1"/>
  <c r="DE59" i="3"/>
  <c r="DE69" i="3" s="1"/>
  <c r="DA59" i="3"/>
  <c r="DA69" i="3" s="1"/>
  <c r="DI58" i="3"/>
  <c r="DC58" i="3"/>
  <c r="DB58" i="3"/>
  <c r="DA58" i="3"/>
  <c r="CZ58" i="3"/>
  <c r="DI57" i="3"/>
  <c r="DH57" i="3"/>
  <c r="DG57" i="3"/>
  <c r="DF57" i="3"/>
  <c r="DE57" i="3"/>
  <c r="DD57" i="3"/>
  <c r="DC57" i="3"/>
  <c r="DB57" i="3"/>
  <c r="DA57" i="3"/>
  <c r="CZ57" i="3"/>
  <c r="CB56" i="3"/>
  <c r="CB55" i="3"/>
  <c r="CB54" i="3"/>
  <c r="DG55" i="3"/>
  <c r="DF55" i="3"/>
  <c r="DE55" i="3"/>
  <c r="G52" i="3"/>
  <c r="DP55" i="3"/>
  <c r="DQ55" i="3" s="1"/>
  <c r="DX52" i="3"/>
  <c r="DW52" i="3"/>
  <c r="DV52" i="3"/>
  <c r="DU52" i="3"/>
  <c r="DT52" i="3"/>
  <c r="DS52" i="3"/>
  <c r="DR52" i="3"/>
  <c r="DQ52" i="3"/>
  <c r="DP52" i="3"/>
  <c r="DO52" i="3"/>
  <c r="DM52" i="3"/>
  <c r="DL52" i="3"/>
  <c r="DK52" i="3"/>
  <c r="DJ52" i="3"/>
  <c r="DI52" i="3"/>
  <c r="DH52" i="3"/>
  <c r="DG52" i="3"/>
  <c r="DF52" i="3"/>
  <c r="DE52" i="3"/>
  <c r="DD52" i="3"/>
  <c r="DC52" i="3"/>
  <c r="DB52" i="3"/>
  <c r="DA52" i="3"/>
  <c r="CZ52" i="3"/>
  <c r="CL57" i="3"/>
  <c r="CK57" i="3"/>
  <c r="CF57" i="3"/>
  <c r="CD57" i="3"/>
  <c r="CF56" i="3"/>
  <c r="CD56" i="3"/>
  <c r="CF55" i="3"/>
  <c r="CK54" i="3"/>
  <c r="CF54" i="3"/>
  <c r="CD54" i="3"/>
  <c r="CK52" i="3"/>
  <c r="CF52" i="3"/>
  <c r="CD52" i="3"/>
  <c r="CB52" i="3"/>
  <c r="BD55" i="3"/>
  <c r="BC55" i="3"/>
  <c r="BD54" i="3"/>
  <c r="BC54" i="3"/>
  <c r="BB54" i="3"/>
  <c r="BD52" i="3"/>
  <c r="BC52" i="3"/>
  <c r="BB52" i="3"/>
  <c r="AZ55" i="3"/>
  <c r="AY55" i="3"/>
  <c r="AX55" i="3"/>
  <c r="AZ54" i="3"/>
  <c r="AY54" i="3"/>
  <c r="AX54" i="3"/>
  <c r="AW54" i="3"/>
  <c r="AZ52" i="3"/>
  <c r="AY52" i="3"/>
  <c r="AX52" i="3"/>
  <c r="AW52" i="3"/>
  <c r="F52" i="3"/>
  <c r="DX46" i="3"/>
  <c r="DS46" i="3"/>
  <c r="DK46" i="3"/>
  <c r="DF46" i="3"/>
  <c r="CI46" i="3"/>
  <c r="CG46" i="3"/>
  <c r="CF46" i="3"/>
  <c r="CD46" i="3"/>
  <c r="CC46" i="3"/>
  <c r="CB46" i="3"/>
  <c r="CA46" i="3"/>
  <c r="BY46" i="3"/>
  <c r="BX46" i="3"/>
  <c r="BW46" i="3"/>
  <c r="BV46" i="3"/>
  <c r="BT46" i="3"/>
  <c r="BS46" i="3"/>
  <c r="BR46" i="3"/>
  <c r="BQ46" i="3"/>
  <c r="BO46" i="3"/>
  <c r="BN46" i="3"/>
  <c r="BM46" i="3"/>
  <c r="BL46" i="3"/>
  <c r="BJ46" i="3"/>
  <c r="BI46" i="3"/>
  <c r="BH46" i="3"/>
  <c r="BG46" i="3"/>
  <c r="BE46" i="3"/>
  <c r="BD46" i="3"/>
  <c r="BC46" i="3"/>
  <c r="BB46" i="3"/>
  <c r="AZ46" i="3"/>
  <c r="AY46" i="3"/>
  <c r="AX46" i="3"/>
  <c r="AW46" i="3"/>
  <c r="AU46" i="3"/>
  <c r="AT46" i="3"/>
  <c r="AS46" i="3"/>
  <c r="AR46" i="3"/>
  <c r="AP46" i="3"/>
  <c r="AO46" i="3"/>
  <c r="AN46" i="3"/>
  <c r="AM46" i="3"/>
  <c r="AK46" i="3"/>
  <c r="AJ46" i="3"/>
  <c r="AI46" i="3"/>
  <c r="AH46" i="3"/>
  <c r="AF46" i="3"/>
  <c r="AE46" i="3"/>
  <c r="AD46" i="3"/>
  <c r="AC46" i="3"/>
  <c r="AA46" i="3"/>
  <c r="Z46" i="3"/>
  <c r="Y46" i="3"/>
  <c r="X46" i="3"/>
  <c r="V46" i="3"/>
  <c r="U46" i="3"/>
  <c r="T46" i="3"/>
  <c r="S46" i="3"/>
  <c r="Q46" i="3"/>
  <c r="P46" i="3"/>
  <c r="O46" i="3"/>
  <c r="N46" i="3"/>
  <c r="G47" i="3"/>
  <c r="G45" i="3"/>
  <c r="E45" i="3"/>
  <c r="D45" i="3"/>
  <c r="BP36" i="3"/>
  <c r="DX32" i="3"/>
  <c r="DU32" i="3"/>
  <c r="DT32" i="3"/>
  <c r="DS32" i="3"/>
  <c r="DR32" i="3"/>
  <c r="DQ32" i="3"/>
  <c r="DP32" i="3"/>
  <c r="DO32" i="3"/>
  <c r="DM32" i="3"/>
  <c r="DL32" i="3"/>
  <c r="DK32" i="3"/>
  <c r="DJ32" i="3"/>
  <c r="DI32" i="3"/>
  <c r="DH32" i="3"/>
  <c r="DG32" i="3"/>
  <c r="DF32" i="3"/>
  <c r="DE32" i="3"/>
  <c r="DD32" i="3"/>
  <c r="DC32" i="3"/>
  <c r="DB32" i="3"/>
  <c r="DA32" i="3"/>
  <c r="CZ32" i="3"/>
  <c r="CG29" i="3"/>
  <c r="CF29" i="3"/>
  <c r="CD29" i="3"/>
  <c r="CC29" i="3"/>
  <c r="CB29" i="3"/>
  <c r="CA29" i="3"/>
  <c r="BY29" i="3"/>
  <c r="BX29" i="3"/>
  <c r="BW29" i="3"/>
  <c r="BV29" i="3"/>
  <c r="DM29" i="3"/>
  <c r="DK29" i="3"/>
  <c r="DF29" i="3"/>
  <c r="DA29" i="3"/>
  <c r="CZ29" i="3"/>
  <c r="DA28" i="3"/>
  <c r="CZ28" i="3"/>
  <c r="DS27" i="3"/>
  <c r="DR27" i="3"/>
  <c r="DM27" i="3"/>
  <c r="DL27" i="3"/>
  <c r="DK27" i="3"/>
  <c r="DI27" i="3"/>
  <c r="CG27" i="3"/>
  <c r="CF27" i="3"/>
  <c r="CD27" i="3"/>
  <c r="CC27" i="3"/>
  <c r="CB27" i="3"/>
  <c r="CA27" i="3"/>
  <c r="BY27" i="3"/>
  <c r="BX27" i="3"/>
  <c r="BW27" i="3"/>
  <c r="BV27" i="3"/>
  <c r="BR29" i="3"/>
  <c r="BQ29" i="3"/>
  <c r="BT27" i="3"/>
  <c r="BS27" i="3"/>
  <c r="BR27" i="3"/>
  <c r="BQ27" i="3"/>
  <c r="BO29" i="3"/>
  <c r="BN29" i="3"/>
  <c r="BM29" i="3"/>
  <c r="BL29" i="3"/>
  <c r="BO27" i="3"/>
  <c r="BN27" i="3"/>
  <c r="BM27" i="3"/>
  <c r="BL27" i="3"/>
  <c r="BJ29" i="3"/>
  <c r="BI29" i="3"/>
  <c r="BH29" i="3"/>
  <c r="BG29" i="3"/>
  <c r="BJ27" i="3"/>
  <c r="BI27" i="3"/>
  <c r="BH27" i="3"/>
  <c r="BG27" i="3"/>
  <c r="BE29" i="3"/>
  <c r="BD29" i="3"/>
  <c r="BC29" i="3"/>
  <c r="BB29" i="3"/>
  <c r="BE27" i="3"/>
  <c r="BD27" i="3"/>
  <c r="BC27" i="3"/>
  <c r="BB27" i="3"/>
  <c r="AZ29" i="3"/>
  <c r="AY29" i="3"/>
  <c r="AX29" i="3"/>
  <c r="AW29" i="3"/>
  <c r="AZ27" i="3"/>
  <c r="AY27" i="3"/>
  <c r="AX27" i="3"/>
  <c r="AW27" i="3"/>
  <c r="AU29" i="3"/>
  <c r="AT29" i="3"/>
  <c r="AS29" i="3"/>
  <c r="AR29" i="3"/>
  <c r="AU27" i="3"/>
  <c r="AT27" i="3"/>
  <c r="AS27" i="3"/>
  <c r="AR27" i="3"/>
  <c r="AP29" i="3"/>
  <c r="AO29" i="3"/>
  <c r="AN29" i="3"/>
  <c r="AM29" i="3"/>
  <c r="AP27" i="3"/>
  <c r="AM27" i="3"/>
  <c r="AI29" i="3"/>
  <c r="AH29" i="3"/>
  <c r="AK27" i="3"/>
  <c r="AJ27" i="3"/>
  <c r="AI27" i="3"/>
  <c r="AE29" i="3"/>
  <c r="AD29" i="3"/>
  <c r="AC28" i="3"/>
  <c r="AD27" i="3"/>
  <c r="AC27" i="3"/>
  <c r="AA29" i="3"/>
  <c r="Y29" i="3"/>
  <c r="X29" i="3"/>
  <c r="Z28" i="3"/>
  <c r="X28" i="3"/>
  <c r="Z27" i="3"/>
  <c r="Y27" i="3"/>
  <c r="X27" i="3"/>
  <c r="V29" i="3"/>
  <c r="U29" i="3"/>
  <c r="T29" i="3"/>
  <c r="S29" i="3"/>
  <c r="V28" i="3"/>
  <c r="U28" i="3"/>
  <c r="T28" i="3"/>
  <c r="V27" i="3"/>
  <c r="T27" i="3"/>
  <c r="Q29" i="3"/>
  <c r="O29" i="3"/>
  <c r="N29" i="3"/>
  <c r="Q28" i="3"/>
  <c r="P28" i="3"/>
  <c r="N28" i="3"/>
  <c r="P27" i="3"/>
  <c r="O27" i="3"/>
  <c r="N27" i="3"/>
  <c r="L29" i="3"/>
  <c r="J29" i="3"/>
  <c r="I29" i="3"/>
  <c r="K28" i="3"/>
  <c r="J28" i="3"/>
  <c r="I28" i="3"/>
  <c r="L27" i="3"/>
  <c r="I27" i="3"/>
  <c r="G29" i="3"/>
  <c r="F29" i="3"/>
  <c r="E29" i="3"/>
  <c r="D29" i="3"/>
  <c r="F28" i="3"/>
  <c r="D28" i="3"/>
  <c r="F27" i="3"/>
  <c r="D27" i="3"/>
  <c r="DH22" i="3"/>
  <c r="DG22" i="3"/>
  <c r="CF22" i="3"/>
  <c r="CD22" i="3"/>
  <c r="CB22" i="3"/>
  <c r="CA22" i="3"/>
  <c r="BY22" i="3"/>
  <c r="BX22" i="3"/>
  <c r="BW22" i="3"/>
  <c r="BV22" i="3"/>
  <c r="BT22" i="3"/>
  <c r="BS22" i="3"/>
  <c r="BQ22" i="3"/>
  <c r="BN22" i="3"/>
  <c r="BM22" i="3"/>
  <c r="BL22" i="3"/>
  <c r="BH22" i="3"/>
  <c r="BG22" i="3"/>
  <c r="BE22" i="3"/>
  <c r="BD22" i="3"/>
  <c r="BC22" i="3"/>
  <c r="AY22" i="3"/>
  <c r="AX22" i="3"/>
  <c r="AW22" i="3"/>
  <c r="AU22" i="3"/>
  <c r="AT22" i="3"/>
  <c r="AS22" i="3"/>
  <c r="AR22" i="3"/>
  <c r="AP22" i="3"/>
  <c r="AO22" i="3"/>
  <c r="AN22" i="3"/>
  <c r="AM22" i="3"/>
  <c r="AK22" i="3"/>
  <c r="AJ22" i="3"/>
  <c r="AI22" i="3"/>
  <c r="AH22" i="3"/>
  <c r="AF22" i="3"/>
  <c r="AE22" i="3"/>
  <c r="AD22" i="3"/>
  <c r="AC22" i="3"/>
  <c r="AA22" i="3"/>
  <c r="Z22" i="3"/>
  <c r="Y22" i="3"/>
  <c r="X22" i="3"/>
  <c r="V22" i="3"/>
  <c r="U22" i="3"/>
  <c r="T22" i="3"/>
  <c r="S22" i="3"/>
  <c r="Q22" i="3"/>
  <c r="P22" i="3"/>
  <c r="O22" i="3"/>
  <c r="N22" i="3"/>
  <c r="L22" i="3"/>
  <c r="K22" i="3"/>
  <c r="J22" i="3"/>
  <c r="I22" i="3"/>
  <c r="G22" i="3"/>
  <c r="F22" i="3"/>
  <c r="E22" i="3"/>
  <c r="D22" i="3"/>
  <c r="DI19" i="3"/>
  <c r="DH19" i="3"/>
  <c r="DG19" i="3"/>
  <c r="CI19" i="3"/>
  <c r="CH19" i="3"/>
  <c r="CG19" i="3"/>
  <c r="CF19" i="3"/>
  <c r="CD19" i="3"/>
  <c r="CC19" i="3"/>
  <c r="CB19" i="3"/>
  <c r="CA19" i="3"/>
  <c r="BY19" i="3"/>
  <c r="BX19" i="3"/>
  <c r="BW19" i="3"/>
  <c r="BV19" i="3"/>
  <c r="BT19" i="3"/>
  <c r="BS19" i="3"/>
  <c r="BR19" i="3"/>
  <c r="BQ19" i="3"/>
  <c r="BO19" i="3"/>
  <c r="BN19" i="3"/>
  <c r="BM19" i="3"/>
  <c r="BL19" i="3"/>
  <c r="BJ19" i="3"/>
  <c r="BI19" i="3"/>
  <c r="BG19" i="3"/>
  <c r="BE19" i="3"/>
  <c r="BD19" i="3"/>
  <c r="BC19" i="3"/>
  <c r="BB19" i="3"/>
  <c r="AZ19" i="3"/>
  <c r="AY19" i="3"/>
  <c r="AX19" i="3"/>
  <c r="AW19" i="3"/>
  <c r="AU19" i="3"/>
  <c r="AT19" i="3"/>
  <c r="AS19" i="3"/>
  <c r="AR19" i="3"/>
  <c r="AP19" i="3"/>
  <c r="AO19" i="3"/>
  <c r="AN19" i="3"/>
  <c r="AM19" i="3"/>
  <c r="AK19" i="3"/>
  <c r="AJ19" i="3"/>
  <c r="AI19" i="3"/>
  <c r="AH19" i="3"/>
  <c r="AF19" i="3"/>
  <c r="AE19" i="3"/>
  <c r="AD19" i="3"/>
  <c r="AC19" i="3"/>
  <c r="AA19" i="3"/>
  <c r="Z19" i="3"/>
  <c r="Y19" i="3"/>
  <c r="X19" i="3"/>
  <c r="V19" i="3"/>
  <c r="U19" i="3"/>
  <c r="T19" i="3"/>
  <c r="S19" i="3"/>
  <c r="Q19" i="3"/>
  <c r="P19" i="3"/>
  <c r="O19" i="3"/>
  <c r="N19" i="3"/>
  <c r="L19" i="3"/>
  <c r="K19" i="3"/>
  <c r="J19" i="3"/>
  <c r="I19" i="3"/>
  <c r="G19" i="3"/>
  <c r="F19" i="3"/>
  <c r="E19" i="3"/>
  <c r="D19" i="3"/>
  <c r="AH16" i="3"/>
  <c r="AH15" i="3"/>
  <c r="AI15" i="3"/>
  <c r="AI13" i="3"/>
  <c r="V16" i="3"/>
  <c r="U16" i="3"/>
  <c r="T16" i="3"/>
  <c r="S16" i="3"/>
  <c r="V15" i="3"/>
  <c r="U15" i="3"/>
  <c r="T15" i="3"/>
  <c r="S15" i="3"/>
  <c r="Q15" i="3"/>
  <c r="P15" i="3"/>
  <c r="O15" i="3"/>
  <c r="N15" i="3"/>
  <c r="L15" i="3"/>
  <c r="K15" i="3"/>
  <c r="J15" i="3"/>
  <c r="I15" i="3"/>
  <c r="G15" i="3"/>
  <c r="F15" i="3"/>
  <c r="E15" i="3"/>
  <c r="D15" i="3"/>
  <c r="DX16" i="3"/>
  <c r="DW16" i="3"/>
  <c r="DV16" i="3"/>
  <c r="DU16" i="3"/>
  <c r="DT16" i="3"/>
  <c r="DS16" i="3"/>
  <c r="DR16" i="3"/>
  <c r="DQ16" i="3"/>
  <c r="DP16" i="3"/>
  <c r="DO16" i="3"/>
  <c r="DM16" i="3"/>
  <c r="DL16" i="3"/>
  <c r="DK16" i="3"/>
  <c r="DJ16" i="3"/>
  <c r="DI16" i="3"/>
  <c r="DH16" i="3"/>
  <c r="DG16" i="3"/>
  <c r="DF16" i="3"/>
  <c r="DE16" i="3"/>
  <c r="DJ15" i="3"/>
  <c r="DI15" i="3"/>
  <c r="DH15" i="3"/>
  <c r="DG15" i="3"/>
  <c r="DK14" i="3"/>
  <c r="DJ14" i="3"/>
  <c r="DI14" i="3"/>
  <c r="DI13" i="3"/>
  <c r="DH13" i="3"/>
  <c r="DG13" i="3"/>
  <c r="CI16" i="3"/>
  <c r="CH16" i="3"/>
  <c r="CG16" i="3"/>
  <c r="CF16" i="3"/>
  <c r="CF15" i="3"/>
  <c r="CF13" i="3"/>
  <c r="CD16" i="3"/>
  <c r="CC16" i="3"/>
  <c r="CB16" i="3"/>
  <c r="CA16" i="3"/>
  <c r="CD15" i="3"/>
  <c r="CC15" i="3"/>
  <c r="CB15" i="3"/>
  <c r="CA15" i="3"/>
  <c r="CD13" i="3"/>
  <c r="CC13" i="3"/>
  <c r="CB13" i="3"/>
  <c r="CA13" i="3"/>
  <c r="BY16" i="3"/>
  <c r="BX16" i="3"/>
  <c r="BW16" i="3"/>
  <c r="BV16" i="3"/>
  <c r="BY15" i="3"/>
  <c r="BX15" i="3"/>
  <c r="BW15" i="3"/>
  <c r="BV15" i="3"/>
  <c r="BX13" i="3"/>
  <c r="BW13" i="3"/>
  <c r="BV13" i="3"/>
  <c r="BT16" i="3"/>
  <c r="BS16" i="3"/>
  <c r="BR16" i="3"/>
  <c r="BQ16" i="3"/>
  <c r="BT15" i="3"/>
  <c r="BS15" i="3"/>
  <c r="BR15" i="3"/>
  <c r="BQ15" i="3"/>
  <c r="BT13" i="3"/>
  <c r="BS13" i="3"/>
  <c r="BR13" i="3"/>
  <c r="BQ13" i="3"/>
  <c r="BO16" i="3"/>
  <c r="BN16" i="3"/>
  <c r="BM16" i="3"/>
  <c r="BL16" i="3"/>
  <c r="BN15" i="3"/>
  <c r="BM15" i="3"/>
  <c r="BL15" i="3"/>
  <c r="BO13" i="3"/>
  <c r="BM13" i="3"/>
  <c r="BL13" i="3"/>
  <c r="BJ16" i="3"/>
  <c r="BI16" i="3"/>
  <c r="BH16" i="3"/>
  <c r="BG16" i="3"/>
  <c r="BI15" i="3"/>
  <c r="BG15" i="3"/>
  <c r="BJ13" i="3"/>
  <c r="BH13" i="3"/>
  <c r="BE16" i="3"/>
  <c r="BD16" i="3"/>
  <c r="BC16" i="3"/>
  <c r="BB16" i="3"/>
  <c r="BD15" i="3"/>
  <c r="BC15" i="3"/>
  <c r="BB15" i="3"/>
  <c r="BE13" i="3"/>
  <c r="BE47" i="3" s="1"/>
  <c r="BC13" i="3"/>
  <c r="BB13" i="3"/>
  <c r="AZ16" i="3"/>
  <c r="AY16" i="3"/>
  <c r="AX16" i="3"/>
  <c r="AW16" i="3"/>
  <c r="AZ15" i="3"/>
  <c r="AY15" i="3"/>
  <c r="AX15" i="3"/>
  <c r="AW15" i="3"/>
  <c r="AZ13" i="3"/>
  <c r="AY13" i="3"/>
  <c r="AX13" i="3"/>
  <c r="AW13" i="3"/>
  <c r="AU16" i="3"/>
  <c r="AT16" i="3"/>
  <c r="AS16" i="3"/>
  <c r="AR16" i="3"/>
  <c r="AU15" i="3"/>
  <c r="AT15" i="3"/>
  <c r="AS15" i="3"/>
  <c r="AR15" i="3"/>
  <c r="AU13" i="3"/>
  <c r="AT13" i="3"/>
  <c r="AS13" i="3"/>
  <c r="AR13" i="3"/>
  <c r="AP16" i="3"/>
  <c r="AO16" i="3"/>
  <c r="AN16" i="3"/>
  <c r="AM16" i="3"/>
  <c r="AP15" i="3"/>
  <c r="AO15" i="3"/>
  <c r="AN15" i="3"/>
  <c r="AM15" i="3"/>
  <c r="AO14" i="3"/>
  <c r="AN14" i="3"/>
  <c r="AM14" i="3"/>
  <c r="AP13" i="3"/>
  <c r="AO13" i="3"/>
  <c r="AN13" i="3"/>
  <c r="AM13" i="3"/>
  <c r="AK16" i="3"/>
  <c r="AJ16" i="3"/>
  <c r="AK15" i="3"/>
  <c r="AJ15" i="3"/>
  <c r="AK13" i="3"/>
  <c r="AJ13" i="3"/>
  <c r="AF16" i="3"/>
  <c r="AE16" i="3"/>
  <c r="AD16" i="3"/>
  <c r="AC16" i="3"/>
  <c r="AF15" i="3"/>
  <c r="AE15" i="3"/>
  <c r="AD15" i="3"/>
  <c r="AC15" i="3"/>
  <c r="AF13" i="3"/>
  <c r="AE13" i="3"/>
  <c r="AD13" i="3"/>
  <c r="AC13" i="3"/>
  <c r="AA16" i="3"/>
  <c r="Z16" i="3"/>
  <c r="Y16" i="3"/>
  <c r="X16" i="3"/>
  <c r="AA15" i="3"/>
  <c r="Z15" i="3"/>
  <c r="Y15" i="3"/>
  <c r="X15" i="3"/>
  <c r="AA13" i="3"/>
  <c r="Z13" i="3"/>
  <c r="Y13" i="3"/>
  <c r="X13" i="3"/>
  <c r="V13" i="3"/>
  <c r="U13" i="3"/>
  <c r="T13" i="3"/>
  <c r="S13" i="3"/>
  <c r="Q13" i="3"/>
  <c r="P13" i="3"/>
  <c r="O13" i="3"/>
  <c r="N13" i="3"/>
  <c r="L13" i="3"/>
  <c r="K13" i="3"/>
  <c r="J13" i="3"/>
  <c r="I13" i="3"/>
  <c r="G13" i="3"/>
  <c r="F13" i="3"/>
  <c r="E13" i="3"/>
  <c r="D13" i="3"/>
  <c r="DI10" i="3"/>
  <c r="DH10" i="3"/>
  <c r="DG10" i="3"/>
  <c r="CF10" i="3"/>
  <c r="CD10" i="3"/>
  <c r="CC10" i="3"/>
  <c r="CB10" i="3"/>
  <c r="CA10" i="3"/>
  <c r="BY10" i="3"/>
  <c r="BX10" i="3"/>
  <c r="BW10" i="3"/>
  <c r="BV10" i="3"/>
  <c r="BT10" i="3"/>
  <c r="BS10" i="3"/>
  <c r="BR10" i="3"/>
  <c r="BQ10" i="3"/>
  <c r="BO10" i="3"/>
  <c r="BM10" i="3"/>
  <c r="BL10" i="3"/>
  <c r="BJ10" i="3"/>
  <c r="BH10" i="3"/>
  <c r="BG10" i="3"/>
  <c r="BE10" i="3"/>
  <c r="BC10" i="3"/>
  <c r="BB10" i="3"/>
  <c r="AZ10" i="3"/>
  <c r="AY10" i="3"/>
  <c r="AX10" i="3"/>
  <c r="AW10" i="3"/>
  <c r="AU10" i="3"/>
  <c r="AT10" i="3"/>
  <c r="AS10" i="3"/>
  <c r="AR10" i="3"/>
  <c r="AP10" i="3"/>
  <c r="AO10" i="3"/>
  <c r="AN10" i="3"/>
  <c r="AM10" i="3"/>
  <c r="AK10" i="3"/>
  <c r="AJ10" i="3"/>
  <c r="AI10" i="3"/>
  <c r="AH10" i="3"/>
  <c r="AF10" i="3"/>
  <c r="AE10" i="3"/>
  <c r="AD10" i="3"/>
  <c r="AC10" i="3"/>
  <c r="AA10" i="3"/>
  <c r="Z10" i="3"/>
  <c r="Y10" i="3"/>
  <c r="X10" i="3"/>
  <c r="V10" i="3"/>
  <c r="U10" i="3"/>
  <c r="T10" i="3"/>
  <c r="S10" i="3"/>
  <c r="Q10" i="3"/>
  <c r="P10" i="3"/>
  <c r="O10" i="3"/>
  <c r="N10" i="3"/>
  <c r="L10" i="3"/>
  <c r="K10" i="3"/>
  <c r="J10" i="3"/>
  <c r="I10" i="3"/>
  <c r="G10" i="3"/>
  <c r="F10" i="3"/>
  <c r="E10" i="3"/>
  <c r="D10" i="3"/>
  <c r="DH8" i="3"/>
  <c r="DG8" i="3"/>
  <c r="DG12" i="3" s="1"/>
  <c r="DG35" i="3" s="1"/>
  <c r="CF8" i="3"/>
  <c r="CD8" i="3"/>
  <c r="CC8" i="3"/>
  <c r="CB8" i="3"/>
  <c r="CA8" i="3"/>
  <c r="CA36" i="3" s="1"/>
  <c r="BY8" i="3"/>
  <c r="BX8" i="3"/>
  <c r="BW8" i="3"/>
  <c r="BV8" i="3"/>
  <c r="BV36" i="3" s="1"/>
  <c r="BT8" i="3"/>
  <c r="BT37" i="3" s="1"/>
  <c r="BS8" i="3"/>
  <c r="BR8" i="3"/>
  <c r="BQ8" i="3"/>
  <c r="BN8" i="3"/>
  <c r="BM8" i="3"/>
  <c r="BI8" i="3"/>
  <c r="BH8" i="3"/>
  <c r="BC8" i="3"/>
  <c r="AZ8" i="3"/>
  <c r="AY8" i="3"/>
  <c r="AY12" i="3" s="1"/>
  <c r="AY35" i="3" s="1"/>
  <c r="AX8" i="3"/>
  <c r="BC45" i="3" s="1"/>
  <c r="AW8" i="3"/>
  <c r="AU8" i="3"/>
  <c r="AT8" i="3"/>
  <c r="AT12" i="3" s="1"/>
  <c r="AR8" i="3"/>
  <c r="AW45" i="3" s="1"/>
  <c r="AP8" i="3"/>
  <c r="AO8" i="3"/>
  <c r="AN8" i="3"/>
  <c r="AM8" i="3"/>
  <c r="AM12" i="3" s="1"/>
  <c r="AM35" i="3" s="1"/>
  <c r="AK8" i="3"/>
  <c r="AJ8" i="3"/>
  <c r="AI8" i="3"/>
  <c r="AH8" i="3"/>
  <c r="AF8" i="3"/>
  <c r="AE8" i="3"/>
  <c r="AD8" i="3"/>
  <c r="AD37" i="3" s="1"/>
  <c r="AC8" i="3"/>
  <c r="AA8" i="3"/>
  <c r="Z8" i="3"/>
  <c r="Y8" i="3"/>
  <c r="Y37" i="3" s="1"/>
  <c r="V8" i="3"/>
  <c r="AA45" i="3" s="1"/>
  <c r="U8" i="3"/>
  <c r="T8" i="3"/>
  <c r="S8" i="3"/>
  <c r="Q8" i="3"/>
  <c r="P8" i="3"/>
  <c r="O8" i="3"/>
  <c r="N8" i="3"/>
  <c r="L8" i="3"/>
  <c r="K8" i="3"/>
  <c r="J8" i="3"/>
  <c r="I8" i="3"/>
  <c r="G8" i="3"/>
  <c r="F8" i="3"/>
  <c r="E8" i="3"/>
  <c r="D8" i="3"/>
  <c r="DC6" i="3"/>
  <c r="DD6" i="3" s="1"/>
  <c r="DE6" i="3" s="1"/>
  <c r="DF6" i="3" s="1"/>
  <c r="DG6" i="3" s="1"/>
  <c r="DH6" i="3" s="1"/>
  <c r="DI6" i="3" s="1"/>
  <c r="L6" i="3"/>
  <c r="Q6" i="3" s="1"/>
  <c r="V6" i="3" s="1"/>
  <c r="K6" i="3"/>
  <c r="P6" i="3" s="1"/>
  <c r="U6" i="3" s="1"/>
  <c r="J6" i="3"/>
  <c r="O6" i="3" s="1"/>
  <c r="T6" i="3" s="1"/>
  <c r="I6" i="3"/>
  <c r="N6" i="3" s="1"/>
  <c r="S6" i="3" s="1"/>
  <c r="BB5" i="3"/>
  <c r="AW5" i="3"/>
  <c r="AR5" i="3"/>
  <c r="AM5" i="3"/>
  <c r="AH5" i="3"/>
  <c r="S5" i="3"/>
  <c r="N5" i="3"/>
  <c r="I5" i="3"/>
  <c r="Q126" i="63"/>
  <c r="P126" i="63"/>
  <c r="O126" i="63"/>
  <c r="N126" i="63"/>
  <c r="M126" i="63"/>
  <c r="L126" i="63"/>
  <c r="K126" i="63"/>
  <c r="J126" i="63"/>
  <c r="I126" i="63"/>
  <c r="H126" i="63"/>
  <c r="G126" i="63"/>
  <c r="F126" i="63"/>
  <c r="E126" i="63"/>
  <c r="D126" i="63"/>
  <c r="C126" i="63"/>
  <c r="Q125" i="63"/>
  <c r="P125" i="63"/>
  <c r="M125" i="63"/>
  <c r="L125" i="63"/>
  <c r="K125" i="63"/>
  <c r="J125" i="63"/>
  <c r="I125" i="63"/>
  <c r="H125" i="63"/>
  <c r="G125" i="63"/>
  <c r="F125" i="63"/>
  <c r="E125" i="63"/>
  <c r="D125" i="63"/>
  <c r="C125" i="63"/>
  <c r="M36" i="63"/>
  <c r="M75" i="63" s="1"/>
  <c r="M168" i="63" s="1"/>
  <c r="L36" i="63"/>
  <c r="I36" i="63"/>
  <c r="I75" i="63" s="1"/>
  <c r="H36" i="63"/>
  <c r="G36" i="63"/>
  <c r="G75" i="63" s="1"/>
  <c r="L24" i="63"/>
  <c r="L148" i="63" s="1"/>
  <c r="L146" i="63" s="1"/>
  <c r="H24" i="63"/>
  <c r="H146" i="63" s="1"/>
  <c r="G24" i="63"/>
  <c r="G146" i="63"/>
  <c r="D24" i="63"/>
  <c r="D146" i="63" s="1"/>
  <c r="C18" i="63"/>
  <c r="D15" i="63"/>
  <c r="D96" i="63" s="1"/>
  <c r="C15" i="63"/>
  <c r="C54" i="63"/>
  <c r="D12" i="63"/>
  <c r="C12" i="63"/>
  <c r="D11" i="63"/>
  <c r="D133" i="63"/>
  <c r="C11" i="63"/>
  <c r="D8" i="63"/>
  <c r="D130" i="63" s="1"/>
  <c r="C8" i="63"/>
  <c r="C6" i="63"/>
  <c r="C45" i="63" s="1"/>
  <c r="DJ13" i="7"/>
  <c r="AS89" i="5"/>
  <c r="DJ12" i="7"/>
  <c r="DW13" i="7" s="1"/>
  <c r="AS93" i="5"/>
  <c r="DP27" i="3"/>
  <c r="DB27" i="3"/>
  <c r="E15" i="63"/>
  <c r="DD19" i="3"/>
  <c r="F47" i="3"/>
  <c r="E47" i="3"/>
  <c r="D47" i="3"/>
  <c r="DK10" i="3"/>
  <c r="BE76" i="5"/>
  <c r="AQ44" i="10"/>
  <c r="AU13" i="10"/>
  <c r="J21" i="12"/>
  <c r="R33" i="12"/>
  <c r="AH33" i="12"/>
  <c r="AK33" i="12"/>
  <c r="J46" i="12"/>
  <c r="AH48" i="12"/>
  <c r="P48" i="12"/>
  <c r="AF48" i="12"/>
  <c r="AD32" i="12"/>
  <c r="P46" i="12"/>
  <c r="P55" i="12"/>
  <c r="R18" i="12"/>
  <c r="P28" i="12"/>
  <c r="AK28" i="12"/>
  <c r="AD40" i="12"/>
  <c r="J39" i="12"/>
  <c r="AH55" i="12"/>
  <c r="R55" i="12"/>
  <c r="AH27" i="12"/>
  <c r="J27" i="12"/>
  <c r="AF42" i="12"/>
  <c r="J42" i="12"/>
  <c r="R49" i="12"/>
  <c r="R46" i="12"/>
  <c r="AH49" i="12"/>
  <c r="L56" i="12"/>
  <c r="N56" i="12"/>
  <c r="R56" i="12"/>
  <c r="L63" i="12"/>
  <c r="J60" i="12"/>
  <c r="L67" i="12"/>
  <c r="R67" i="12"/>
  <c r="H69" i="12"/>
  <c r="L75" i="12"/>
  <c r="N75" i="12"/>
  <c r="R75" i="12"/>
  <c r="H77" i="12"/>
  <c r="P77" i="12" s="1"/>
  <c r="J76" i="12"/>
  <c r="AB74" i="12"/>
  <c r="L83" i="12"/>
  <c r="AN89" i="12"/>
  <c r="AH88" i="12"/>
  <c r="J97" i="12"/>
  <c r="N96" i="12"/>
  <c r="J102" i="12"/>
  <c r="AP105" i="12"/>
  <c r="N104" i="12"/>
  <c r="L68" i="12"/>
  <c r="N68" i="12"/>
  <c r="R68" i="12"/>
  <c r="AH68" i="12"/>
  <c r="L76" i="12"/>
  <c r="N76" i="12"/>
  <c r="J77" i="12"/>
  <c r="D85" i="12"/>
  <c r="AN91" i="12"/>
  <c r="AQ91" i="12" s="1"/>
  <c r="L96" i="12"/>
  <c r="D99" i="12"/>
  <c r="H96" i="12"/>
  <c r="AN102" i="12"/>
  <c r="L103" i="12"/>
  <c r="R103" i="12"/>
  <c r="AN103" i="12"/>
  <c r="AP118" i="12"/>
  <c r="AP104" i="12"/>
  <c r="R102" i="12"/>
  <c r="AN112" i="12"/>
  <c r="AQ112" i="12" s="1"/>
  <c r="L69" i="12"/>
  <c r="L77" i="12"/>
  <c r="R77" i="12"/>
  <c r="AH77" i="12"/>
  <c r="L81" i="12"/>
  <c r="N81" i="12"/>
  <c r="R81" i="12"/>
  <c r="H81" i="12"/>
  <c r="AF81" i="12" s="1"/>
  <c r="N88" i="12"/>
  <c r="AN96" i="12"/>
  <c r="H97" i="12"/>
  <c r="AF97" i="12" s="1"/>
  <c r="H103" i="12"/>
  <c r="P103" i="12" s="1"/>
  <c r="H104" i="12"/>
  <c r="AN104" i="12"/>
  <c r="L49" i="12"/>
  <c r="N49" i="12"/>
  <c r="R62" i="12"/>
  <c r="L70" i="12"/>
  <c r="R70" i="12"/>
  <c r="L74" i="12"/>
  <c r="N74" i="12"/>
  <c r="L82" i="12"/>
  <c r="N82" i="12"/>
  <c r="R82" i="12"/>
  <c r="H82" i="12"/>
  <c r="AF82" i="12" s="1"/>
  <c r="L88" i="12"/>
  <c r="AN88" i="12"/>
  <c r="D92" i="12"/>
  <c r="H88" i="12"/>
  <c r="J88" i="12"/>
  <c r="AH96" i="12"/>
  <c r="AN98" i="12"/>
  <c r="AQ98" i="12" s="1"/>
  <c r="J98" i="12"/>
  <c r="AP98" i="12"/>
  <c r="R96" i="12"/>
  <c r="J95" i="12"/>
  <c r="N103" i="12"/>
  <c r="AH103" i="12"/>
  <c r="AN110" i="12"/>
  <c r="L89" i="12"/>
  <c r="N89" i="12"/>
  <c r="AH89" i="12"/>
  <c r="N97" i="12"/>
  <c r="AH97" i="12"/>
  <c r="N102" i="12"/>
  <c r="AH102" i="12"/>
  <c r="L110" i="12"/>
  <c r="N110" i="12"/>
  <c r="N118" i="12"/>
  <c r="R118" i="12"/>
  <c r="H125" i="12"/>
  <c r="L125" i="12"/>
  <c r="N126" i="12"/>
  <c r="R131" i="12"/>
  <c r="AB131" i="12"/>
  <c r="H132" i="12"/>
  <c r="P132" i="12" s="1"/>
  <c r="L132" i="12"/>
  <c r="AN132" i="12"/>
  <c r="AN145" i="12"/>
  <c r="N119" i="12"/>
  <c r="AN119" i="12"/>
  <c r="AQ119" i="12" s="1"/>
  <c r="H117" i="12"/>
  <c r="H126" i="12"/>
  <c r="L126" i="12"/>
  <c r="AB132" i="12"/>
  <c r="AH132" i="12"/>
  <c r="R132" i="12"/>
  <c r="L116" i="12"/>
  <c r="N123" i="12"/>
  <c r="V126" i="12"/>
  <c r="AH126" i="12"/>
  <c r="AP145" i="12"/>
  <c r="J131" i="12"/>
  <c r="R105" i="12"/>
  <c r="AH105" i="12"/>
  <c r="L109" i="12"/>
  <c r="L117" i="12"/>
  <c r="N117" i="12"/>
  <c r="AN117" i="12"/>
  <c r="H119" i="12"/>
  <c r="AF119" i="12" s="1"/>
  <c r="AN123" i="12"/>
  <c r="L123" i="12"/>
  <c r="N125" i="12"/>
  <c r="R126" i="12"/>
  <c r="AP139" i="12"/>
  <c r="J125" i="12"/>
  <c r="J139" i="12"/>
  <c r="H130" i="12"/>
  <c r="AF130" i="12" s="1"/>
  <c r="L124" i="12"/>
  <c r="N124" i="12"/>
  <c r="AN124" i="12"/>
  <c r="L130" i="12"/>
  <c r="N130" i="12"/>
  <c r="AN130" i="12"/>
  <c r="R138" i="12"/>
  <c r="AN140" i="12"/>
  <c r="AQ140" i="12" s="1"/>
  <c r="H138" i="12"/>
  <c r="J137" i="12"/>
  <c r="R144" i="12"/>
  <c r="AH145" i="12"/>
  <c r="L146" i="12"/>
  <c r="N146" i="12"/>
  <c r="AN146" i="12"/>
  <c r="AP152" i="12"/>
  <c r="L151" i="12"/>
  <c r="N151" i="12"/>
  <c r="V151" i="12"/>
  <c r="L137" i="12"/>
  <c r="N137" i="12"/>
  <c r="AN137" i="12"/>
  <c r="H139" i="12"/>
  <c r="AF139" i="12" s="1"/>
  <c r="J138" i="12"/>
  <c r="L147" i="12"/>
  <c r="N147" i="12"/>
  <c r="AN147" i="12"/>
  <c r="AQ147" i="12" s="1"/>
  <c r="H145" i="12"/>
  <c r="P145" i="12" s="1"/>
  <c r="AN151" i="12"/>
  <c r="AN138" i="12"/>
  <c r="AQ138" i="12" s="1"/>
  <c r="AB137" i="12"/>
  <c r="L144" i="12"/>
  <c r="N144" i="12"/>
  <c r="AN144" i="12"/>
  <c r="AQ144" i="12" s="1"/>
  <c r="AP151" i="12"/>
  <c r="L133" i="12"/>
  <c r="V139" i="12"/>
  <c r="AH144" i="12"/>
  <c r="N145" i="12"/>
  <c r="T36" i="21"/>
  <c r="Y36" i="21" s="1"/>
  <c r="X35" i="21"/>
  <c r="X41" i="21" s="1"/>
  <c r="AC11" i="21"/>
  <c r="AD30" i="21"/>
  <c r="AD24" i="21"/>
  <c r="U18" i="21"/>
  <c r="AW17" i="21"/>
  <c r="AK37" i="21"/>
  <c r="M13" i="21"/>
  <c r="AL35" i="21"/>
  <c r="AL29" i="21"/>
  <c r="AL23" i="21"/>
  <c r="AL17" i="21"/>
  <c r="AP23" i="21"/>
  <c r="AP37" i="21"/>
  <c r="AP19" i="21"/>
  <c r="AP31" i="21"/>
  <c r="AP25" i="21"/>
  <c r="BR37" i="21"/>
  <c r="M17" i="21"/>
  <c r="U17" i="21"/>
  <c r="Y17" i="21"/>
  <c r="AW19" i="21"/>
  <c r="I10" i="21"/>
  <c r="P35" i="21"/>
  <c r="V36" i="21"/>
  <c r="V30" i="21"/>
  <c r="V24" i="21"/>
  <c r="V18" i="21"/>
  <c r="X37" i="21"/>
  <c r="AC37" i="21" s="1"/>
  <c r="D36" i="21"/>
  <c r="BA17" i="21"/>
  <c r="BE16" i="21"/>
  <c r="AR36" i="21"/>
  <c r="AR42" i="21" s="1"/>
  <c r="AS18" i="21"/>
  <c r="Z37" i="21"/>
  <c r="BA19" i="21"/>
  <c r="BD35" i="21"/>
  <c r="BE17" i="21"/>
  <c r="BD37" i="21"/>
  <c r="BE19" i="21"/>
  <c r="BI19" i="21"/>
  <c r="BL35" i="21"/>
  <c r="BL37" i="21"/>
  <c r="BM19" i="21"/>
  <c r="BP35" i="21"/>
  <c r="BQ17" i="21"/>
  <c r="BP37" i="21"/>
  <c r="BQ19" i="21"/>
  <c r="BT35" i="21"/>
  <c r="BU17" i="21"/>
  <c r="BT37" i="21"/>
  <c r="BU19" i="21"/>
  <c r="D34" i="21"/>
  <c r="Y16" i="21"/>
  <c r="AN37" i="21"/>
  <c r="AW25" i="21"/>
  <c r="AC31" i="21"/>
  <c r="AG31" i="21"/>
  <c r="AK31" i="21"/>
  <c r="AO31" i="21"/>
  <c r="AS30" i="21"/>
  <c r="BI30" i="21"/>
  <c r="BQ30" i="21"/>
  <c r="BU31" i="21"/>
  <c r="AO18" i="21"/>
  <c r="AC29" i="21"/>
  <c r="AK29" i="21"/>
  <c r="AO29" i="21"/>
  <c r="AS29" i="21"/>
  <c r="D32" i="13"/>
  <c r="F32" i="13"/>
  <c r="J32" i="13"/>
  <c r="L32" i="13"/>
  <c r="N32" i="13"/>
  <c r="N56" i="13" s="1"/>
  <c r="P32" i="13"/>
  <c r="R32" i="13"/>
  <c r="R56" i="13" s="1"/>
  <c r="T32" i="13"/>
  <c r="X32" i="13"/>
  <c r="Z32" i="13"/>
  <c r="Z56" i="13" s="1"/>
  <c r="AB32" i="13"/>
  <c r="AD32" i="13"/>
  <c r="AD56" i="13" s="1"/>
  <c r="AF32" i="13"/>
  <c r="AH32" i="13"/>
  <c r="H46" i="13"/>
  <c r="J46" i="13"/>
  <c r="J52" i="13" s="1"/>
  <c r="N46" i="13"/>
  <c r="N52" i="13" s="1"/>
  <c r="P46" i="13"/>
  <c r="P52" i="13" s="1"/>
  <c r="R46" i="13"/>
  <c r="R52" i="13" s="1"/>
  <c r="T46" i="13"/>
  <c r="V46" i="13"/>
  <c r="V52" i="13" s="1"/>
  <c r="Z46" i="13"/>
  <c r="AB46" i="13"/>
  <c r="AF46" i="13"/>
  <c r="AH46" i="13"/>
  <c r="D33" i="13"/>
  <c r="F33" i="13"/>
  <c r="F57" i="13" s="1"/>
  <c r="H33" i="13"/>
  <c r="J33" i="13"/>
  <c r="N33" i="13"/>
  <c r="N57" i="13" s="1"/>
  <c r="P33" i="13"/>
  <c r="P57" i="13" s="1"/>
  <c r="R33" i="13"/>
  <c r="T33" i="13"/>
  <c r="T57" i="13" s="1"/>
  <c r="V33" i="13"/>
  <c r="X33" i="13"/>
  <c r="AB33" i="13"/>
  <c r="AB57" i="13" s="1"/>
  <c r="AD33" i="13"/>
  <c r="AF33" i="13"/>
  <c r="AF57" i="13"/>
  <c r="AH33" i="13"/>
  <c r="AJ44" i="13"/>
  <c r="F47" i="13"/>
  <c r="H47" i="13"/>
  <c r="H53" i="13" s="1"/>
  <c r="J47" i="13"/>
  <c r="L47" i="13"/>
  <c r="N47" i="13"/>
  <c r="N53" i="13" s="1"/>
  <c r="P47" i="13"/>
  <c r="R47" i="13"/>
  <c r="R53" i="13" s="1"/>
  <c r="T47" i="13"/>
  <c r="T53" i="13" s="1"/>
  <c r="V47" i="13"/>
  <c r="X47" i="13"/>
  <c r="Z47" i="13"/>
  <c r="Z53" i="13" s="1"/>
  <c r="AB47" i="13"/>
  <c r="AB53" i="13" s="1"/>
  <c r="AF47" i="13"/>
  <c r="AH47" i="13"/>
  <c r="AH53" i="13"/>
  <c r="AJ50" i="13"/>
  <c r="F53" i="13"/>
  <c r="J53" i="13"/>
  <c r="AW55" i="3" s="1"/>
  <c r="L53" i="13"/>
  <c r="V53" i="13"/>
  <c r="AE65" i="11"/>
  <c r="AG130" i="10"/>
  <c r="AE36" i="11"/>
  <c r="M89" i="11"/>
  <c r="M88" i="11"/>
  <c r="M72" i="11"/>
  <c r="M36" i="11"/>
  <c r="U36" i="11"/>
  <c r="AS54" i="10"/>
  <c r="AO79" i="11"/>
  <c r="AO85" i="11"/>
  <c r="AO18" i="11"/>
  <c r="K89" i="11"/>
  <c r="K72" i="11"/>
  <c r="K88" i="11"/>
  <c r="S36" i="11"/>
  <c r="G26" i="10"/>
  <c r="AC30" i="10"/>
  <c r="AA37" i="10"/>
  <c r="AA44" i="10" s="1"/>
  <c r="CK55" i="3"/>
  <c r="M96" i="10"/>
  <c r="M98" i="10" s="1"/>
  <c r="AU107" i="10"/>
  <c r="Y37" i="10"/>
  <c r="Y44" i="10" s="1"/>
  <c r="AX40" i="10"/>
  <c r="AY40" i="10" s="1"/>
  <c r="BA40" i="10" s="1"/>
  <c r="BC40" i="10" s="1"/>
  <c r="BE40" i="10" s="1"/>
  <c r="BG40" i="10" s="1"/>
  <c r="W85" i="10"/>
  <c r="Y88" i="10"/>
  <c r="AC113" i="10"/>
  <c r="Q16" i="9"/>
  <c r="W16" i="9"/>
  <c r="V16" i="9"/>
  <c r="S16" i="9"/>
  <c r="L63" i="63"/>
  <c r="L147" i="63" s="1"/>
  <c r="N16" i="9"/>
  <c r="M60" i="9"/>
  <c r="Q60" i="9"/>
  <c r="U60" i="9"/>
  <c r="R60" i="9"/>
  <c r="O60" i="9"/>
  <c r="G131" i="8"/>
  <c r="G32" i="8"/>
  <c r="M55" i="8"/>
  <c r="Q32" i="8"/>
  <c r="R32" i="8"/>
  <c r="E131" i="8"/>
  <c r="K32" i="8"/>
  <c r="K55" i="8"/>
  <c r="S32" i="8"/>
  <c r="V32" i="8"/>
  <c r="H35" i="8"/>
  <c r="DD60" i="3" s="1"/>
  <c r="CC14" i="7"/>
  <c r="CC54" i="7"/>
  <c r="H14" i="7"/>
  <c r="AP22" i="7"/>
  <c r="AT22" i="7"/>
  <c r="AX22" i="7"/>
  <c r="BR32" i="7"/>
  <c r="BQ32" i="7"/>
  <c r="BP37" i="7"/>
  <c r="BV32" i="7"/>
  <c r="BN13" i="3"/>
  <c r="AJ192" i="7"/>
  <c r="J71" i="9"/>
  <c r="AA28" i="3"/>
  <c r="L23" i="7"/>
  <c r="K73" i="7"/>
  <c r="AL35" i="7"/>
  <c r="AJ36" i="7"/>
  <c r="AL36" i="7" s="1"/>
  <c r="AZ93" i="7"/>
  <c r="BA113" i="7" s="1"/>
  <c r="BB73" i="7"/>
  <c r="BA73" i="7"/>
  <c r="AJ70" i="7"/>
  <c r="AK30" i="7"/>
  <c r="AJ15" i="7"/>
  <c r="AK35" i="7"/>
  <c r="AJ16" i="7"/>
  <c r="AK10" i="7"/>
  <c r="AD10" i="21" s="1"/>
  <c r="AZ71" i="7"/>
  <c r="BA81" i="7"/>
  <c r="BA21" i="7"/>
  <c r="BB21" i="7" s="1"/>
  <c r="BE11" i="7"/>
  <c r="AX11" i="21" s="1"/>
  <c r="BA11" i="7"/>
  <c r="AT11" i="21" s="1"/>
  <c r="BA31" i="7"/>
  <c r="AZ15" i="7"/>
  <c r="AZ14" i="7"/>
  <c r="R136" i="5"/>
  <c r="AS136" i="5" s="1"/>
  <c r="AS8" i="3"/>
  <c r="BA51" i="7"/>
  <c r="AZ16" i="7"/>
  <c r="BY55" i="7"/>
  <c r="DE27" i="3"/>
  <c r="T15" i="7"/>
  <c r="X15" i="7"/>
  <c r="T55" i="7"/>
  <c r="AW34" i="7"/>
  <c r="AF56" i="7"/>
  <c r="AG56" i="7" s="1"/>
  <c r="AG55" i="7"/>
  <c r="F8" i="63"/>
  <c r="BI81" i="7"/>
  <c r="BM80" i="7"/>
  <c r="BL16" i="7"/>
  <c r="BL15" i="7"/>
  <c r="BM82" i="7"/>
  <c r="BL14" i="7"/>
  <c r="BM44" i="7" s="1"/>
  <c r="BQ71" i="7"/>
  <c r="BQ81" i="7"/>
  <c r="BQ91" i="7"/>
  <c r="BU11" i="7"/>
  <c r="BN11" i="21" s="1"/>
  <c r="BQ83" i="7"/>
  <c r="BP73" i="7"/>
  <c r="BU13" i="7"/>
  <c r="BN13" i="21" s="1"/>
  <c r="P14" i="7"/>
  <c r="D21" i="7"/>
  <c r="G25" i="7"/>
  <c r="H20" i="7"/>
  <c r="G24" i="7"/>
  <c r="BB22" i="7"/>
  <c r="BF22" i="7"/>
  <c r="T25" i="7"/>
  <c r="AG24" i="7"/>
  <c r="AS26" i="7"/>
  <c r="BY25" i="7"/>
  <c r="G30" i="7"/>
  <c r="BM32" i="7"/>
  <c r="AS44" i="7"/>
  <c r="CC44" i="7"/>
  <c r="BM52" i="7"/>
  <c r="O90" i="7"/>
  <c r="P70" i="7"/>
  <c r="U70" i="7"/>
  <c r="D48" i="3" s="1"/>
  <c r="O76" i="7"/>
  <c r="O75" i="7"/>
  <c r="AF91" i="7"/>
  <c r="AG71" i="7"/>
  <c r="AL71" i="7"/>
  <c r="AF75" i="7"/>
  <c r="AN93" i="7"/>
  <c r="AO73" i="7"/>
  <c r="AP73" i="7"/>
  <c r="AT73" i="7"/>
  <c r="J24" i="63"/>
  <c r="J63" i="63" s="1"/>
  <c r="J105" i="63" s="1"/>
  <c r="BH70" i="7"/>
  <c r="BM83" i="7"/>
  <c r="BL73" i="7"/>
  <c r="BQ82" i="7"/>
  <c r="BP72" i="7"/>
  <c r="D152" i="12"/>
  <c r="CH15" i="7"/>
  <c r="D23" i="7"/>
  <c r="G32" i="7"/>
  <c r="G72" i="7" s="1"/>
  <c r="H22" i="7"/>
  <c r="K26" i="7"/>
  <c r="L26" i="7" s="1"/>
  <c r="BM23" i="7"/>
  <c r="C33" i="7"/>
  <c r="C73" i="7" s="1"/>
  <c r="BN31" i="7"/>
  <c r="BM31" i="7"/>
  <c r="BM33" i="7"/>
  <c r="BP34" i="7"/>
  <c r="R19" i="9"/>
  <c r="DP64" i="3"/>
  <c r="U35" i="7"/>
  <c r="T35" i="7"/>
  <c r="S36" i="7"/>
  <c r="AG34" i="7"/>
  <c r="CC34" i="7"/>
  <c r="BQ51" i="7"/>
  <c r="AS54" i="7"/>
  <c r="O92" i="7"/>
  <c r="P92" i="7" s="1"/>
  <c r="P72" i="7"/>
  <c r="BX84" i="7"/>
  <c r="T36" i="9"/>
  <c r="BY83" i="7"/>
  <c r="AG85" i="7"/>
  <c r="AK86" i="7"/>
  <c r="CB116" i="7"/>
  <c r="CB114" i="7"/>
  <c r="U42" i="9" s="1"/>
  <c r="BI12" i="7"/>
  <c r="BB12" i="21" s="1"/>
  <c r="BM11" i="7"/>
  <c r="BF11" i="21" s="1"/>
  <c r="BM13" i="7"/>
  <c r="BF13" i="21" s="1"/>
  <c r="BQ12" i="7"/>
  <c r="BJ12" i="21" s="1"/>
  <c r="BJ18" i="21" s="1"/>
  <c r="CG11" i="7"/>
  <c r="BZ11" i="21" s="1"/>
  <c r="BZ23" i="21" s="1"/>
  <c r="BU12" i="7"/>
  <c r="BN12" i="21" s="1"/>
  <c r="H16" i="7"/>
  <c r="P15" i="7"/>
  <c r="T16" i="7"/>
  <c r="AG15" i="7"/>
  <c r="AH15" i="7"/>
  <c r="AH16" i="7" s="1"/>
  <c r="AS15" i="7"/>
  <c r="AS55" i="7"/>
  <c r="AT15" i="7"/>
  <c r="AT16" i="7" s="1"/>
  <c r="AW15" i="7"/>
  <c r="BN15" i="7"/>
  <c r="BN16" i="7" s="1"/>
  <c r="K71" i="7"/>
  <c r="Q71" i="7" s="1"/>
  <c r="L21" i="7"/>
  <c r="BM21" i="7"/>
  <c r="BQ22" i="7"/>
  <c r="BV22" i="7" s="1"/>
  <c r="AS25" i="7"/>
  <c r="BJ30" i="7"/>
  <c r="BH35" i="7"/>
  <c r="BQ33" i="7"/>
  <c r="BY35" i="7"/>
  <c r="BB35" i="7"/>
  <c r="AZ36" i="7"/>
  <c r="BI51" i="7"/>
  <c r="BQ52" i="7"/>
  <c r="BT54" i="7"/>
  <c r="S28" i="9" s="1"/>
  <c r="K12" i="63" s="1"/>
  <c r="K51" i="63" s="1"/>
  <c r="W76" i="7"/>
  <c r="Y70" i="7"/>
  <c r="W75" i="7"/>
  <c r="W90" i="7"/>
  <c r="X70" i="7"/>
  <c r="CF84" i="7"/>
  <c r="V36" i="9" s="1"/>
  <c r="DT19" i="3" s="1"/>
  <c r="CF86" i="7"/>
  <c r="D20" i="7"/>
  <c r="D22" i="7"/>
  <c r="H21" i="7"/>
  <c r="H23" i="7"/>
  <c r="L20" i="7"/>
  <c r="L22" i="7"/>
  <c r="CH23" i="7"/>
  <c r="AX30" i="7"/>
  <c r="BJ33" i="7"/>
  <c r="BR31" i="7"/>
  <c r="Q35" i="7"/>
  <c r="BF35" i="7"/>
  <c r="U34" i="7"/>
  <c r="Y35" i="7"/>
  <c r="AP35" i="7"/>
  <c r="AR42" i="7"/>
  <c r="AV43" i="7"/>
  <c r="AP14" i="3" s="1"/>
  <c r="BH55" i="7"/>
  <c r="BP55" i="7"/>
  <c r="AW55" i="7"/>
  <c r="X73" i="7"/>
  <c r="W93" i="7"/>
  <c r="Y73" i="7"/>
  <c r="AR91" i="7"/>
  <c r="AT71" i="7"/>
  <c r="AV74" i="7"/>
  <c r="AZ74" i="7"/>
  <c r="AZ92" i="7"/>
  <c r="BA72" i="7"/>
  <c r="BB72" i="7"/>
  <c r="BX91" i="7"/>
  <c r="BY71" i="7"/>
  <c r="CG85" i="7"/>
  <c r="K84" i="7"/>
  <c r="D36" i="9" s="1"/>
  <c r="DA19" i="3" s="1"/>
  <c r="L83" i="7"/>
  <c r="P85" i="7"/>
  <c r="BH84" i="7"/>
  <c r="P36" i="9" s="1"/>
  <c r="T85" i="7"/>
  <c r="X86" i="7"/>
  <c r="AG84" i="7"/>
  <c r="AO86" i="7"/>
  <c r="AW86" i="7"/>
  <c r="BD84" i="7"/>
  <c r="BU85" i="7"/>
  <c r="BP35" i="7"/>
  <c r="BP36" i="7" s="1"/>
  <c r="C55" i="7"/>
  <c r="D55" i="7" s="1"/>
  <c r="BH54" i="7"/>
  <c r="BL55" i="7"/>
  <c r="BP54" i="7"/>
  <c r="R28" i="9" s="1"/>
  <c r="AC70" i="7"/>
  <c r="AB90" i="7"/>
  <c r="AD70" i="7"/>
  <c r="AF92" i="7"/>
  <c r="AN90" i="7"/>
  <c r="AN76" i="7"/>
  <c r="AO76" i="7" s="1"/>
  <c r="AN75" i="7"/>
  <c r="AN74" i="7"/>
  <c r="AV91" i="7"/>
  <c r="AW71" i="7"/>
  <c r="AX71" i="7"/>
  <c r="AV76" i="7"/>
  <c r="CD72" i="7"/>
  <c r="CC72" i="7"/>
  <c r="C85" i="7"/>
  <c r="D85" i="7"/>
  <c r="D80" i="7"/>
  <c r="BY85" i="7"/>
  <c r="H86" i="7"/>
  <c r="X84" i="7"/>
  <c r="AG86" i="7"/>
  <c r="AW84" i="7"/>
  <c r="BE86" i="7"/>
  <c r="S74" i="7"/>
  <c r="K24" i="7"/>
  <c r="L24" i="7" s="1"/>
  <c r="BP24" i="7"/>
  <c r="C30" i="7"/>
  <c r="BQ31" i="7"/>
  <c r="BT71" i="7"/>
  <c r="BT34" i="7"/>
  <c r="AR43" i="7"/>
  <c r="X55" i="7"/>
  <c r="BE55" i="7"/>
  <c r="CC55" i="7"/>
  <c r="O91" i="7"/>
  <c r="AG72" i="7"/>
  <c r="AJ92" i="7"/>
  <c r="AK72" i="7"/>
  <c r="AL72" i="7"/>
  <c r="AO70" i="7"/>
  <c r="AV92" i="7"/>
  <c r="AX72" i="7"/>
  <c r="BD90" i="7"/>
  <c r="BF70" i="7"/>
  <c r="BD75" i="7"/>
  <c r="BT90" i="7"/>
  <c r="BU70" i="7"/>
  <c r="CB74" i="7"/>
  <c r="C86" i="7"/>
  <c r="D86" i="7" s="1"/>
  <c r="O84" i="7"/>
  <c r="P83" i="7"/>
  <c r="BY86" i="7"/>
  <c r="X85" i="7"/>
  <c r="AC86" i="7"/>
  <c r="AO85" i="7"/>
  <c r="AW85" i="7"/>
  <c r="BU84" i="7"/>
  <c r="CC85" i="7"/>
  <c r="S93" i="7"/>
  <c r="T71" i="7"/>
  <c r="X72" i="7"/>
  <c r="AG70" i="7"/>
  <c r="AK71" i="7"/>
  <c r="AO72" i="7"/>
  <c r="AS73" i="7"/>
  <c r="AW70" i="7"/>
  <c r="BU72" i="7"/>
  <c r="BV73" i="7"/>
  <c r="BZ70" i="7"/>
  <c r="BX76" i="7"/>
  <c r="CC70" i="7"/>
  <c r="CD71" i="7"/>
  <c r="CG81" i="7"/>
  <c r="BP121" i="7"/>
  <c r="BQ111" i="7"/>
  <c r="O114" i="7"/>
  <c r="E42" i="9" s="1"/>
  <c r="DB22" i="3" s="1"/>
  <c r="BX120" i="7"/>
  <c r="BX149" i="7" s="1"/>
  <c r="BY110" i="7"/>
  <c r="CB75" i="7"/>
  <c r="AF90" i="7"/>
  <c r="AV90" i="7"/>
  <c r="CB90" i="7"/>
  <c r="BH114" i="7"/>
  <c r="P42" i="9" s="1"/>
  <c r="S75" i="7"/>
  <c r="BU73" i="7"/>
  <c r="BY70" i="7"/>
  <c r="CC71" i="7"/>
  <c r="AR84" i="7"/>
  <c r="AS84" i="7" s="1"/>
  <c r="BL115" i="7"/>
  <c r="BP114" i="7"/>
  <c r="R42" i="9" s="1"/>
  <c r="J18" i="63" s="1"/>
  <c r="BL114" i="7"/>
  <c r="Q42" i="9" s="1"/>
  <c r="BP115" i="7"/>
  <c r="AJ182" i="7"/>
  <c r="AR182" i="7"/>
  <c r="W201" i="7"/>
  <c r="W200" i="7"/>
  <c r="AF201" i="7"/>
  <c r="AF200" i="7"/>
  <c r="CF200" i="7"/>
  <c r="AR183" i="7"/>
  <c r="C183" i="7"/>
  <c r="AB200" i="7"/>
  <c r="AJ200" i="7"/>
  <c r="AV206" i="7"/>
  <c r="BA206" i="7" s="1"/>
  <c r="AW205" i="7"/>
  <c r="BA205" i="7"/>
  <c r="AR197" i="7"/>
  <c r="C181" i="7"/>
  <c r="B59" i="9" s="1"/>
  <c r="K182" i="7"/>
  <c r="K183" i="7"/>
  <c r="CC206" i="7"/>
  <c r="AF182" i="7"/>
  <c r="AB183" i="7"/>
  <c r="CF183" i="7"/>
  <c r="AR188" i="7"/>
  <c r="BT197" i="7"/>
  <c r="AW204" i="7"/>
  <c r="AZ207" i="7"/>
  <c r="BH207" i="7"/>
  <c r="BP207" i="7"/>
  <c r="CF182" i="7"/>
  <c r="BQ206" i="7"/>
  <c r="M52" i="5"/>
  <c r="AG59" i="5"/>
  <c r="AG58" i="5"/>
  <c r="AG74" i="5"/>
  <c r="M45" i="5"/>
  <c r="T46" i="5"/>
  <c r="V46" i="5" s="1"/>
  <c r="O52" i="5"/>
  <c r="M48" i="5"/>
  <c r="Z79" i="5"/>
  <c r="AQ114" i="5"/>
  <c r="AQ103" i="5"/>
  <c r="AQ102" i="5"/>
  <c r="AQ100" i="5"/>
  <c r="I122" i="5"/>
  <c r="T82" i="12" s="1"/>
  <c r="V82" i="12" s="1"/>
  <c r="Z142" i="5"/>
  <c r="Z138" i="5"/>
  <c r="T80" i="5"/>
  <c r="K151" i="5"/>
  <c r="K136" i="5"/>
  <c r="Z151" i="5"/>
  <c r="AB151" i="5" s="1"/>
  <c r="AM158" i="5"/>
  <c r="AM165" i="5" s="1"/>
  <c r="AM172" i="5" s="1"/>
  <c r="Z150" i="5"/>
  <c r="J151" i="5"/>
  <c r="R150" i="5"/>
  <c r="Z156" i="5"/>
  <c r="K165" i="5"/>
  <c r="K166" i="5"/>
  <c r="J165" i="5"/>
  <c r="AB171" i="5"/>
  <c r="Z192" i="5"/>
  <c r="AB192" i="5" s="1"/>
  <c r="M193" i="5"/>
  <c r="AI235" i="5"/>
  <c r="Z244" i="5"/>
  <c r="AI244" i="5" s="1"/>
  <c r="T264" i="5"/>
  <c r="AG266" i="5"/>
  <c r="T266" i="5"/>
  <c r="CD45" i="3"/>
  <c r="D134" i="63"/>
  <c r="H167" i="63"/>
  <c r="H117" i="63"/>
  <c r="H75" i="63"/>
  <c r="L117" i="63"/>
  <c r="L170" i="63" s="1"/>
  <c r="C130" i="63"/>
  <c r="C88" i="63"/>
  <c r="C47" i="63"/>
  <c r="G63" i="63"/>
  <c r="G105" i="63" s="1"/>
  <c r="D88" i="63"/>
  <c r="D47" i="63"/>
  <c r="C134" i="63"/>
  <c r="C51" i="63"/>
  <c r="C93" i="63"/>
  <c r="C137" i="63"/>
  <c r="C96" i="63"/>
  <c r="I167" i="63"/>
  <c r="I117" i="63"/>
  <c r="M169" i="63"/>
  <c r="M167" i="63"/>
  <c r="M117" i="63"/>
  <c r="M170" i="63" s="1"/>
  <c r="D63" i="63"/>
  <c r="D105" i="63" s="1"/>
  <c r="D91" i="63"/>
  <c r="G167" i="63"/>
  <c r="G117" i="63"/>
  <c r="AF145" i="12"/>
  <c r="P139" i="12"/>
  <c r="AF138" i="12"/>
  <c r="P88" i="12"/>
  <c r="P82" i="12"/>
  <c r="AF132" i="12"/>
  <c r="P97" i="12"/>
  <c r="AS36" i="21"/>
  <c r="BP43" i="21"/>
  <c r="BQ37" i="21"/>
  <c r="BE37" i="21"/>
  <c r="AZ43" i="21"/>
  <c r="AF53" i="13"/>
  <c r="X53" i="13"/>
  <c r="P53" i="13"/>
  <c r="AB52" i="13"/>
  <c r="T52" i="13"/>
  <c r="H52" i="13"/>
  <c r="AU45" i="11"/>
  <c r="AW54" i="10" s="1"/>
  <c r="AW127" i="10"/>
  <c r="AW107" i="10"/>
  <c r="AX24" i="10"/>
  <c r="AY24" i="10"/>
  <c r="BA24" i="10" s="1"/>
  <c r="AC37" i="10"/>
  <c r="AU100" i="10"/>
  <c r="AX9" i="10"/>
  <c r="W134" i="8"/>
  <c r="W31" i="8"/>
  <c r="W35" i="8"/>
  <c r="BD204" i="7"/>
  <c r="AV188" i="7"/>
  <c r="AZ188" i="7" s="1"/>
  <c r="AH28" i="3"/>
  <c r="AJ29" i="3"/>
  <c r="BP168" i="7"/>
  <c r="BP141" i="7"/>
  <c r="BP150" i="7"/>
  <c r="BY76" i="7"/>
  <c r="S123" i="7"/>
  <c r="T113" i="7"/>
  <c r="T93" i="7"/>
  <c r="AJ122" i="7"/>
  <c r="AJ151" i="7" s="1"/>
  <c r="BV34" i="7"/>
  <c r="AG92" i="7"/>
  <c r="AF122" i="7"/>
  <c r="AG112" i="7"/>
  <c r="BY111" i="7"/>
  <c r="BX121" i="7"/>
  <c r="BH36" i="7"/>
  <c r="O122" i="7"/>
  <c r="P112" i="7"/>
  <c r="M32" i="7"/>
  <c r="H32" i="7"/>
  <c r="CF35" i="7"/>
  <c r="AG75" i="7"/>
  <c r="AL15" i="7"/>
  <c r="AW206" i="7"/>
  <c r="AV207" i="7"/>
  <c r="X76" i="7"/>
  <c r="K91" i="7"/>
  <c r="L71" i="7"/>
  <c r="BY84" i="7"/>
  <c r="P75" i="7"/>
  <c r="O120" i="7"/>
  <c r="O95" i="7"/>
  <c r="P110" i="7"/>
  <c r="P90" i="7"/>
  <c r="O96" i="7"/>
  <c r="H24" i="7"/>
  <c r="AW160" i="5"/>
  <c r="AK16" i="7"/>
  <c r="CC110" i="7"/>
  <c r="CB120" i="7"/>
  <c r="CD90" i="7"/>
  <c r="CC90" i="7"/>
  <c r="BU110" i="7"/>
  <c r="BU90" i="7"/>
  <c r="BT120" i="7"/>
  <c r="BZ90" i="7"/>
  <c r="AO110" i="7"/>
  <c r="W123" i="7"/>
  <c r="BP56" i="7"/>
  <c r="X110" i="7"/>
  <c r="W120" i="7"/>
  <c r="X90" i="7"/>
  <c r="CF25" i="7"/>
  <c r="CG25" i="7" s="1"/>
  <c r="BI70" i="7"/>
  <c r="P76" i="7"/>
  <c r="BP93" i="7"/>
  <c r="BR73" i="7"/>
  <c r="BQ73" i="7"/>
  <c r="AZ75" i="7"/>
  <c r="AZ91" i="7"/>
  <c r="BA71" i="7"/>
  <c r="BF71" i="7"/>
  <c r="BB71" i="7"/>
  <c r="AZ76" i="7"/>
  <c r="BA76" i="7" s="1"/>
  <c r="AJ90" i="7"/>
  <c r="AJ76" i="7"/>
  <c r="AP76" i="7" s="1"/>
  <c r="K93" i="7"/>
  <c r="L73" i="7"/>
  <c r="BL204" i="7"/>
  <c r="BI207" i="7"/>
  <c r="AV208" i="7"/>
  <c r="M73" i="9" s="1"/>
  <c r="CC75" i="7"/>
  <c r="BE90" i="7"/>
  <c r="BE110" i="7"/>
  <c r="BD120" i="7"/>
  <c r="BD140" i="7" s="1"/>
  <c r="O121" i="7"/>
  <c r="P111" i="7"/>
  <c r="P91" i="7"/>
  <c r="AS43" i="7"/>
  <c r="AK14" i="3"/>
  <c r="AO75" i="7"/>
  <c r="AZ122" i="7"/>
  <c r="AZ151" i="7"/>
  <c r="AZ169" i="7" s="1"/>
  <c r="BA112" i="7"/>
  <c r="BA92" i="7"/>
  <c r="AS111" i="7"/>
  <c r="AS91" i="7"/>
  <c r="AR121" i="7"/>
  <c r="BH56" i="7"/>
  <c r="Y75" i="7"/>
  <c r="T36" i="7"/>
  <c r="CF55" i="7"/>
  <c r="CG55" i="7" s="1"/>
  <c r="CH51" i="7"/>
  <c r="BP92" i="7"/>
  <c r="BQ72" i="7"/>
  <c r="BV72" i="7"/>
  <c r="AO93" i="7"/>
  <c r="BA55" i="7"/>
  <c r="BA93" i="7"/>
  <c r="AZ123" i="7"/>
  <c r="DG28" i="3"/>
  <c r="BV37" i="7"/>
  <c r="R158" i="5"/>
  <c r="AG158" i="5" s="1"/>
  <c r="AI158" i="5" s="1"/>
  <c r="AG150" i="5"/>
  <c r="K123" i="5"/>
  <c r="AI69" i="3"/>
  <c r="AS150" i="5"/>
  <c r="Q168" i="63"/>
  <c r="Q170" i="63"/>
  <c r="AX33" i="10"/>
  <c r="AY33" i="10" s="1"/>
  <c r="BA33" i="10" s="1"/>
  <c r="BC33" i="10" s="1"/>
  <c r="BE33" i="10" s="1"/>
  <c r="BG33" i="10" s="1"/>
  <c r="AU54" i="10"/>
  <c r="AC44" i="10"/>
  <c r="AW100" i="10"/>
  <c r="AX20" i="10"/>
  <c r="AY20" i="10" s="1"/>
  <c r="AW119" i="10"/>
  <c r="AW113" i="10"/>
  <c r="AY9" i="10"/>
  <c r="BA9" i="10" s="1"/>
  <c r="BC9" i="10" s="1"/>
  <c r="BE9" i="10" s="1"/>
  <c r="BG9" i="10" s="1"/>
  <c r="W32" i="8"/>
  <c r="AR141" i="7"/>
  <c r="AR158" i="7"/>
  <c r="AR150" i="7"/>
  <c r="DP22" i="3"/>
  <c r="S152" i="7"/>
  <c r="S170" i="7"/>
  <c r="T170" i="7" s="1"/>
  <c r="G49" i="3" s="1"/>
  <c r="BP122" i="7"/>
  <c r="BQ112" i="7"/>
  <c r="BQ92" i="7"/>
  <c r="O168" i="7"/>
  <c r="O140" i="7" s="1"/>
  <c r="O150" i="7"/>
  <c r="L93" i="7"/>
  <c r="K123" i="7"/>
  <c r="L113" i="7"/>
  <c r="W170" i="7"/>
  <c r="X170" i="7" s="1"/>
  <c r="X123" i="7"/>
  <c r="P95" i="7"/>
  <c r="P115" i="7"/>
  <c r="CG35" i="7"/>
  <c r="CH35" i="7"/>
  <c r="AM28" i="3"/>
  <c r="AZ159" i="7"/>
  <c r="BD149" i="7"/>
  <c r="AK110" i="7"/>
  <c r="AZ121" i="7"/>
  <c r="BA111" i="7"/>
  <c r="BA91" i="7"/>
  <c r="DP13" i="3"/>
  <c r="J11" i="63"/>
  <c r="J50" i="63" s="1"/>
  <c r="BT167" i="7"/>
  <c r="BT140" i="7"/>
  <c r="BT149" i="7"/>
  <c r="P96" i="7"/>
  <c r="P116" i="7"/>
  <c r="O167" i="7"/>
  <c r="O126" i="7"/>
  <c r="O125" i="7"/>
  <c r="AW207" i="7"/>
  <c r="AZ204" i="7"/>
  <c r="AZ208" i="7" s="1"/>
  <c r="BA208" i="7" s="1"/>
  <c r="BX141" i="7"/>
  <c r="BX150" i="7"/>
  <c r="BX168" i="7"/>
  <c r="BA207" i="7"/>
  <c r="BA75" i="7"/>
  <c r="CB140" i="7"/>
  <c r="CG140" i="7" s="1"/>
  <c r="CB167" i="7"/>
  <c r="CB149" i="7"/>
  <c r="O169" i="7"/>
  <c r="O151" i="7"/>
  <c r="BD208" i="7"/>
  <c r="O73" i="9"/>
  <c r="AN152" i="12"/>
  <c r="N152" i="12"/>
  <c r="L152" i="12"/>
  <c r="H152" i="12"/>
  <c r="BD188" i="7"/>
  <c r="BH188" i="7" s="1"/>
  <c r="BL188" i="7" s="1"/>
  <c r="AR28" i="3"/>
  <c r="K152" i="7"/>
  <c r="AR168" i="7"/>
  <c r="BP151" i="7"/>
  <c r="BP169" i="7" s="1"/>
  <c r="BP142" i="7"/>
  <c r="P152" i="12"/>
  <c r="AF152" i="12"/>
  <c r="AW28" i="3"/>
  <c r="CK56" i="3"/>
  <c r="AW192" i="5"/>
  <c r="CG8" i="3"/>
  <c r="CG10" i="3"/>
  <c r="CG13" i="3"/>
  <c r="CG36" i="3" s="1"/>
  <c r="CG15" i="3"/>
  <c r="CH29" i="3"/>
  <c r="CF201" i="7"/>
  <c r="CH27" i="3"/>
  <c r="Z153" i="12"/>
  <c r="AB153" i="12" s="1"/>
  <c r="Z193" i="5"/>
  <c r="AB193" i="5" s="1"/>
  <c r="V59" i="9"/>
  <c r="AH151" i="12"/>
  <c r="R151" i="12"/>
  <c r="CF71" i="7"/>
  <c r="CH71" i="7" s="1"/>
  <c r="CI27" i="3"/>
  <c r="B153" i="12"/>
  <c r="CF56" i="7"/>
  <c r="CG82" i="7"/>
  <c r="AW193" i="5"/>
  <c r="CH8" i="3"/>
  <c r="CH45" i="3" s="1"/>
  <c r="CF26" i="7"/>
  <c r="CF16" i="7"/>
  <c r="CF91" i="7"/>
  <c r="CG111" i="7" s="1"/>
  <c r="D153" i="12"/>
  <c r="CH10" i="3"/>
  <c r="CH15" i="3"/>
  <c r="CF115" i="7"/>
  <c r="CG22" i="3"/>
  <c r="K45" i="3"/>
  <c r="BM12" i="3"/>
  <c r="CH13" i="3"/>
  <c r="CF72" i="7"/>
  <c r="CF36" i="7"/>
  <c r="R170" i="63"/>
  <c r="R169" i="63"/>
  <c r="R167" i="63" s="1"/>
  <c r="CF14" i="7"/>
  <c r="AG87" i="5"/>
  <c r="AW194" i="5"/>
  <c r="AS124" i="5"/>
  <c r="AR40" i="7"/>
  <c r="AX44" i="7"/>
  <c r="AS87" i="5"/>
  <c r="J20" i="12"/>
  <c r="J32" i="12"/>
  <c r="R47" i="12"/>
  <c r="J55" i="12"/>
  <c r="J69" i="12"/>
  <c r="J82" i="12"/>
  <c r="BZ35" i="21"/>
  <c r="CJ85" i="7"/>
  <c r="CJ207" i="7"/>
  <c r="CJ208" i="7" s="1"/>
  <c r="J18" i="12"/>
  <c r="AH35" i="12"/>
  <c r="J49" i="12"/>
  <c r="AH61" i="12"/>
  <c r="J70" i="12"/>
  <c r="AH82" i="12"/>
  <c r="J145" i="12"/>
  <c r="BZ29" i="21"/>
  <c r="CJ84" i="7"/>
  <c r="W36" i="9" s="1"/>
  <c r="CJ86" i="7"/>
  <c r="P60" i="9"/>
  <c r="J33" i="12"/>
  <c r="J54" i="12"/>
  <c r="AP90" i="12"/>
  <c r="AP95" i="12"/>
  <c r="J132" i="12"/>
  <c r="J151" i="12"/>
  <c r="Z121" i="5"/>
  <c r="AK48" i="12"/>
  <c r="Z77" i="12"/>
  <c r="AB77" i="12" s="1"/>
  <c r="Z96" i="5"/>
  <c r="BK96" i="5" s="1"/>
  <c r="Z119" i="12"/>
  <c r="AB119" i="12" s="1"/>
  <c r="AX42" i="7"/>
  <c r="D37" i="63"/>
  <c r="M31" i="21"/>
  <c r="H53" i="12"/>
  <c r="U25" i="21"/>
  <c r="I13" i="21"/>
  <c r="H37" i="21"/>
  <c r="U31" i="21"/>
  <c r="K14" i="10"/>
  <c r="K26" i="10" s="1"/>
  <c r="R152" i="12"/>
  <c r="AH152" i="12"/>
  <c r="P81" i="12"/>
  <c r="I12" i="21"/>
  <c r="R39" i="12"/>
  <c r="J40" i="12"/>
  <c r="J53" i="12"/>
  <c r="D78" i="12"/>
  <c r="AP102" i="12"/>
  <c r="AP88" i="12"/>
  <c r="AK40" i="12"/>
  <c r="J83" i="12"/>
  <c r="H98" i="12"/>
  <c r="P98" i="12" s="1"/>
  <c r="N131" i="12"/>
  <c r="L131" i="12"/>
  <c r="H131" i="12"/>
  <c r="P131" i="12" s="1"/>
  <c r="AH131" i="12"/>
  <c r="AN131" i="12"/>
  <c r="N132" i="12"/>
  <c r="H140" i="12"/>
  <c r="J47" i="12"/>
  <c r="AH56" i="12"/>
  <c r="R97" i="12"/>
  <c r="J152" i="12"/>
  <c r="AH39" i="12"/>
  <c r="J41" i="12"/>
  <c r="P42" i="12"/>
  <c r="AH41" i="12"/>
  <c r="J48" i="12"/>
  <c r="J56" i="12"/>
  <c r="J91" i="12"/>
  <c r="AP91" i="12"/>
  <c r="AH95" i="12"/>
  <c r="R95" i="12"/>
  <c r="AH137" i="12"/>
  <c r="J144" i="12"/>
  <c r="J147" i="12"/>
  <c r="R145" i="12"/>
  <c r="H56" i="12"/>
  <c r="AF56" i="12" s="1"/>
  <c r="N60" i="12"/>
  <c r="AH67" i="12"/>
  <c r="AH70" i="12"/>
  <c r="H75" i="12"/>
  <c r="AF75" i="12" s="1"/>
  <c r="J81" i="12"/>
  <c r="R98" i="12"/>
  <c r="H102" i="12"/>
  <c r="AF102" i="12" s="1"/>
  <c r="H144" i="12"/>
  <c r="AB152" i="12"/>
  <c r="N98" i="12"/>
  <c r="L104" i="12"/>
  <c r="H118" i="12"/>
  <c r="AF131" i="12"/>
  <c r="AF98" i="12"/>
  <c r="CL20" i="7"/>
  <c r="AV75" i="7"/>
  <c r="AW73" i="7"/>
  <c r="BL71" i="7"/>
  <c r="BP116" i="7"/>
  <c r="AG16" i="7"/>
  <c r="AO54" i="7"/>
  <c r="AD35" i="7"/>
  <c r="BU206" i="7"/>
  <c r="AH54" i="12"/>
  <c r="J63" i="12"/>
  <c r="B109" i="12"/>
  <c r="R149" i="5"/>
  <c r="AW149" i="5"/>
  <c r="BB8" i="3"/>
  <c r="BB45" i="3" s="1"/>
  <c r="B116" i="12"/>
  <c r="AW156" i="5"/>
  <c r="BG8" i="3"/>
  <c r="BG12" i="3" s="1"/>
  <c r="BG35" i="3" s="1"/>
  <c r="B119" i="12"/>
  <c r="AW159" i="5"/>
  <c r="BJ8" i="3"/>
  <c r="B126" i="12"/>
  <c r="J126" i="12" s="1"/>
  <c r="BO8" i="3"/>
  <c r="AC72" i="7"/>
  <c r="DH72" i="7" s="1"/>
  <c r="AR93" i="7"/>
  <c r="BD114" i="7"/>
  <c r="O42" i="9" s="1"/>
  <c r="AZ22" i="3"/>
  <c r="AW178" i="7"/>
  <c r="AA27" i="3"/>
  <c r="S192" i="7"/>
  <c r="F71" i="9" s="1"/>
  <c r="DC28" i="3" s="1"/>
  <c r="G28" i="3"/>
  <c r="W192" i="7"/>
  <c r="G71" i="9" s="1"/>
  <c r="DD28" i="3" s="1"/>
  <c r="L28" i="3"/>
  <c r="AN190" i="7"/>
  <c r="AD28" i="3"/>
  <c r="P29" i="3"/>
  <c r="R9" i="9"/>
  <c r="J36" i="63"/>
  <c r="DJ27" i="3"/>
  <c r="E24" i="63"/>
  <c r="E63" i="63" s="1"/>
  <c r="E105" i="63" s="1"/>
  <c r="DO27" i="3"/>
  <c r="I24" i="63"/>
  <c r="I146" i="63" s="1"/>
  <c r="M24" i="63"/>
  <c r="AW166" i="5"/>
  <c r="AC35" i="7"/>
  <c r="AC55" i="7"/>
  <c r="AO25" i="7"/>
  <c r="AP15" i="7"/>
  <c r="AP16" i="7" s="1"/>
  <c r="D111" i="12"/>
  <c r="BD10" i="3"/>
  <c r="D125" i="12"/>
  <c r="BN10" i="3"/>
  <c r="BZ22" i="7"/>
  <c r="BJ32" i="7"/>
  <c r="BD13" i="3"/>
  <c r="BI13" i="3"/>
  <c r="BN47" i="3" s="1"/>
  <c r="BE15" i="3"/>
  <c r="BJ15" i="3"/>
  <c r="BH115" i="7"/>
  <c r="BB22" i="3"/>
  <c r="BJ22" i="3"/>
  <c r="AW14" i="7"/>
  <c r="AW54" i="7"/>
  <c r="D27" i="12"/>
  <c r="K72" i="7"/>
  <c r="D21" i="12"/>
  <c r="G33" i="7"/>
  <c r="BX34" i="7"/>
  <c r="BZ34" i="7" s="1"/>
  <c r="BY33" i="7"/>
  <c r="BX37" i="7"/>
  <c r="CD33" i="7"/>
  <c r="BY13" i="3"/>
  <c r="L14" i="7"/>
  <c r="AS14" i="7"/>
  <c r="AS16" i="7"/>
  <c r="C32" i="7"/>
  <c r="BL54" i="7"/>
  <c r="BM54" i="7" s="1"/>
  <c r="U71" i="7"/>
  <c r="E48" i="3" s="1"/>
  <c r="Y71" i="7"/>
  <c r="AC73" i="7"/>
  <c r="L85" i="7"/>
  <c r="P35" i="7"/>
  <c r="AG54" i="7"/>
  <c r="AG26" i="7"/>
  <c r="AB182" i="7"/>
  <c r="BM206" i="7"/>
  <c r="T14" i="7"/>
  <c r="S91" i="7"/>
  <c r="AR189" i="7"/>
  <c r="CG16" i="7"/>
  <c r="CG36" i="7"/>
  <c r="AJ169" i="7"/>
  <c r="AJ142" i="7"/>
  <c r="BE75" i="7"/>
  <c r="BZ71" i="7"/>
  <c r="S94" i="7"/>
  <c r="AW111" i="7"/>
  <c r="AW91" i="7"/>
  <c r="AX91" i="7"/>
  <c r="AV121" i="7"/>
  <c r="BB91" i="7"/>
  <c r="AR201" i="7"/>
  <c r="E36" i="9"/>
  <c r="DB19" i="3" s="1"/>
  <c r="P84" i="7"/>
  <c r="AO90" i="7"/>
  <c r="AN120" i="7"/>
  <c r="X75" i="7"/>
  <c r="W152" i="7"/>
  <c r="W143" i="7"/>
  <c r="BT204" i="7"/>
  <c r="BU207" i="7"/>
  <c r="AW110" i="7"/>
  <c r="AV120" i="7"/>
  <c r="AV95" i="7"/>
  <c r="AW90" i="7"/>
  <c r="AK112" i="7"/>
  <c r="AK92" i="7"/>
  <c r="AL92" i="7"/>
  <c r="L84" i="7"/>
  <c r="BX95" i="7"/>
  <c r="BY91" i="7"/>
  <c r="L56" i="7"/>
  <c r="P16" i="7"/>
  <c r="AC16" i="7"/>
  <c r="AP23" i="7"/>
  <c r="P26" i="7"/>
  <c r="BE25" i="7"/>
  <c r="BR30" i="7"/>
  <c r="X34" i="7"/>
  <c r="BU37" i="7"/>
  <c r="BQ53" i="7"/>
  <c r="W91" i="7"/>
  <c r="W92" i="7"/>
  <c r="W122" i="7" s="1"/>
  <c r="W126" i="7" s="1"/>
  <c r="AO71" i="7"/>
  <c r="CB93" i="7"/>
  <c r="G181" i="7"/>
  <c r="C59" i="9" s="1"/>
  <c r="CZ27" i="3" s="1"/>
  <c r="AN182" i="7"/>
  <c r="AN201" i="7"/>
  <c r="H15" i="7"/>
  <c r="CD15" i="7"/>
  <c r="CD16" i="7" s="1"/>
  <c r="CD20" i="7"/>
  <c r="AC25" i="7"/>
  <c r="AO24" i="7"/>
  <c r="AW26" i="7"/>
  <c r="BD73" i="7"/>
  <c r="AB36" i="7"/>
  <c r="AC36" i="7" s="1"/>
  <c r="AW35" i="7"/>
  <c r="P53" i="7"/>
  <c r="AR92" i="7"/>
  <c r="BT92" i="7"/>
  <c r="J84" i="12"/>
  <c r="AX15" i="7"/>
  <c r="C25" i="7"/>
  <c r="D25" i="7" s="1"/>
  <c r="AP21" i="7"/>
  <c r="BF23" i="7"/>
  <c r="BZ21" i="7"/>
  <c r="CH20" i="7"/>
  <c r="T24" i="7"/>
  <c r="BN32" i="7"/>
  <c r="AP34" i="7"/>
  <c r="AZ41" i="7"/>
  <c r="BD41" i="7" s="1"/>
  <c r="C54" i="7"/>
  <c r="BM53" i="7"/>
  <c r="X71" i="7"/>
  <c r="CH70" i="7"/>
  <c r="O182" i="7"/>
  <c r="S201" i="7"/>
  <c r="L15" i="7"/>
  <c r="AW16" i="7"/>
  <c r="BV15" i="7"/>
  <c r="BV16" i="7" s="1"/>
  <c r="AT21" i="7"/>
  <c r="AX21" i="7"/>
  <c r="BL25" i="7"/>
  <c r="BM25" i="7" s="1"/>
  <c r="AO26" i="7"/>
  <c r="BE24" i="7"/>
  <c r="BU26" i="7"/>
  <c r="BH34" i="7"/>
  <c r="BN33" i="7"/>
  <c r="BR33" i="7"/>
  <c r="BV33" i="7"/>
  <c r="BV31" i="7"/>
  <c r="P33" i="7"/>
  <c r="BZ33" i="7"/>
  <c r="AD34" i="7"/>
  <c r="CC37" i="7"/>
  <c r="AW41" i="7"/>
  <c r="BP57" i="7"/>
  <c r="BQ57" i="7" s="1"/>
  <c r="CC56" i="7"/>
  <c r="W74" i="7"/>
  <c r="AH70" i="7"/>
  <c r="BB70" i="7"/>
  <c r="BF72" i="7"/>
  <c r="CD70" i="7"/>
  <c r="CG70" i="7"/>
  <c r="AJ183" i="7"/>
  <c r="AJ201" i="7"/>
  <c r="AR208" i="7"/>
  <c r="BY115" i="7"/>
  <c r="BY95" i="7"/>
  <c r="BA85" i="7"/>
  <c r="AT29" i="21"/>
  <c r="D127" i="12"/>
  <c r="R11" i="9"/>
  <c r="BA35" i="7"/>
  <c r="S55" i="8"/>
  <c r="D29" i="12"/>
  <c r="I80" i="10"/>
  <c r="D11" i="9"/>
  <c r="DA10" i="3"/>
  <c r="D22" i="12"/>
  <c r="G80" i="10"/>
  <c r="C11" i="9"/>
  <c r="CZ10" i="3" s="1"/>
  <c r="B120" i="12"/>
  <c r="Q7" i="9"/>
  <c r="AD16" i="21"/>
  <c r="BY34" i="7"/>
  <c r="CD34" i="7"/>
  <c r="K81" i="10"/>
  <c r="K87" i="10" s="1"/>
  <c r="E19" i="9"/>
  <c r="P34" i="7"/>
  <c r="BM10" i="7"/>
  <c r="BF10" i="21"/>
  <c r="BM12" i="7"/>
  <c r="BF12" i="21" s="1"/>
  <c r="BQ11" i="7"/>
  <c r="BJ11" i="21" s="1"/>
  <c r="G79" i="10"/>
  <c r="G85" i="10" s="1"/>
  <c r="B22" i="12"/>
  <c r="D7" i="8"/>
  <c r="I79" i="10"/>
  <c r="B29" i="12"/>
  <c r="E7" i="8"/>
  <c r="E9" i="8" s="1"/>
  <c r="D7" i="9" s="1"/>
  <c r="L16" i="7"/>
  <c r="B43" i="12"/>
  <c r="M79" i="10"/>
  <c r="G7" i="8"/>
  <c r="G40" i="8" s="1"/>
  <c r="X14" i="7"/>
  <c r="B92" i="12"/>
  <c r="M7" i="9"/>
  <c r="B134" i="12"/>
  <c r="S7" i="9"/>
  <c r="AD15" i="7"/>
  <c r="AD16" i="7" s="1"/>
  <c r="AG35" i="7"/>
  <c r="AX16" i="7"/>
  <c r="B15" i="12"/>
  <c r="E79" i="10"/>
  <c r="E84" i="10" s="1"/>
  <c r="C7" i="8"/>
  <c r="B7" i="9"/>
  <c r="AF18" i="12"/>
  <c r="R14" i="12"/>
  <c r="G26" i="7"/>
  <c r="H26" i="7" s="1"/>
  <c r="BH24" i="7"/>
  <c r="BI22" i="7"/>
  <c r="BJ22" i="7" s="1"/>
  <c r="BP25" i="7"/>
  <c r="CD22" i="7"/>
  <c r="O73" i="7"/>
  <c r="O24" i="7"/>
  <c r="BX73" i="7"/>
  <c r="D64" i="12"/>
  <c r="S80" i="10"/>
  <c r="I11" i="9"/>
  <c r="DF10" i="3" s="1"/>
  <c r="BL26" i="7"/>
  <c r="BM26" i="7" s="1"/>
  <c r="K34" i="7"/>
  <c r="Q34" i="7" s="1"/>
  <c r="BF33" i="7"/>
  <c r="BE35" i="7"/>
  <c r="AH35" i="7"/>
  <c r="AV36" i="7"/>
  <c r="BT35" i="7"/>
  <c r="BD42" i="7"/>
  <c r="AY14" i="3" s="1"/>
  <c r="BX57" i="7"/>
  <c r="BY57" i="7" s="1"/>
  <c r="M11" i="11"/>
  <c r="G28" i="9"/>
  <c r="S90" i="7"/>
  <c r="AL73" i="7"/>
  <c r="S79" i="10"/>
  <c r="B64" i="12"/>
  <c r="I7" i="9"/>
  <c r="B141" i="12"/>
  <c r="T7" i="9"/>
  <c r="BX24" i="7"/>
  <c r="M80" i="10"/>
  <c r="D43" i="12"/>
  <c r="F11" i="9"/>
  <c r="DC10" i="3" s="1"/>
  <c r="X24" i="7"/>
  <c r="X26" i="7"/>
  <c r="D71" i="12"/>
  <c r="U80" i="10"/>
  <c r="D106" i="12"/>
  <c r="O11" i="9"/>
  <c r="G8" i="63" s="1"/>
  <c r="BP26" i="7"/>
  <c r="CC25" i="7"/>
  <c r="BM30" i="7"/>
  <c r="BV30" i="7"/>
  <c r="L35" i="7"/>
  <c r="T34" i="7"/>
  <c r="O81" i="10"/>
  <c r="G19" i="9"/>
  <c r="DD13" i="3" s="1"/>
  <c r="AO35" i="7"/>
  <c r="BY44" i="7"/>
  <c r="BM50" i="7"/>
  <c r="L55" i="7"/>
  <c r="BX54" i="7"/>
  <c r="O11" i="11"/>
  <c r="H28" i="9"/>
  <c r="Q11" i="11"/>
  <c r="Q85" i="11" s="1"/>
  <c r="I28" i="9"/>
  <c r="AO55" i="7"/>
  <c r="BE85" i="7"/>
  <c r="BI11" i="7"/>
  <c r="BB11" i="21" s="1"/>
  <c r="K79" i="10"/>
  <c r="B36" i="12"/>
  <c r="F7" i="8"/>
  <c r="F9" i="8" s="1"/>
  <c r="AG14" i="7"/>
  <c r="B85" i="12"/>
  <c r="L7" i="9"/>
  <c r="B106" i="12"/>
  <c r="O7" i="9"/>
  <c r="O12" i="9" s="1"/>
  <c r="B148" i="12"/>
  <c r="J148" i="12" s="1"/>
  <c r="U7" i="9"/>
  <c r="U21" i="9" s="1"/>
  <c r="BY16" i="7"/>
  <c r="CC16" i="7"/>
  <c r="G31" i="7"/>
  <c r="BQ21" i="7"/>
  <c r="BQ23" i="7"/>
  <c r="P23" i="7"/>
  <c r="O80" i="10"/>
  <c r="D50" i="12"/>
  <c r="G11" i="9"/>
  <c r="AC26" i="7"/>
  <c r="AW24" i="7"/>
  <c r="D134" i="12"/>
  <c r="S11" i="9"/>
  <c r="BE26" i="7"/>
  <c r="C31" i="7"/>
  <c r="BI31" i="7"/>
  <c r="BU31" i="7"/>
  <c r="Q33" i="7"/>
  <c r="BD34" i="7"/>
  <c r="M81" i="10"/>
  <c r="M87" i="10" s="1"/>
  <c r="F19" i="9"/>
  <c r="Y34" i="7"/>
  <c r="Q81" i="10"/>
  <c r="Q88" i="10" s="1"/>
  <c r="H19" i="9"/>
  <c r="S81" i="10"/>
  <c r="S88" i="10" s="1"/>
  <c r="I19" i="9"/>
  <c r="I20" i="9" s="1"/>
  <c r="AO34" i="7"/>
  <c r="BI50" i="7"/>
  <c r="L53" i="7"/>
  <c r="BY53" i="7"/>
  <c r="T70" i="7"/>
  <c r="AG73" i="7"/>
  <c r="BH16" i="7"/>
  <c r="AP124" i="12"/>
  <c r="AQ123" i="12" s="1"/>
  <c r="BQ13" i="7"/>
  <c r="B50" i="12"/>
  <c r="J50" i="12" s="1"/>
  <c r="O79" i="10"/>
  <c r="G7" i="9"/>
  <c r="DD8" i="3" s="1"/>
  <c r="BY14" i="7"/>
  <c r="AC15" i="7"/>
  <c r="AF19" i="12"/>
  <c r="AH18" i="12"/>
  <c r="K25" i="7"/>
  <c r="L25" i="7" s="1"/>
  <c r="BM20" i="7"/>
  <c r="BY23" i="7"/>
  <c r="X25" i="7"/>
  <c r="D57" i="12"/>
  <c r="Q80" i="10"/>
  <c r="H11" i="9"/>
  <c r="DE10" i="3" s="1"/>
  <c r="AS24" i="7"/>
  <c r="AX24" i="7" s="1"/>
  <c r="D148" i="12"/>
  <c r="U11" i="9"/>
  <c r="AW44" i="7"/>
  <c r="BU44" i="7"/>
  <c r="T54" i="7"/>
  <c r="K70" i="7"/>
  <c r="AH73" i="7"/>
  <c r="BU86" i="7"/>
  <c r="AT72" i="7"/>
  <c r="BE71" i="7"/>
  <c r="BY72" i="7"/>
  <c r="BE82" i="7"/>
  <c r="BH85" i="7"/>
  <c r="AR85" i="7"/>
  <c r="AS85" i="7" s="1"/>
  <c r="CB86" i="7"/>
  <c r="CC86" i="7" s="1"/>
  <c r="AJ93" i="7"/>
  <c r="AK113" i="7" s="1"/>
  <c r="CF90" i="7"/>
  <c r="BL207" i="7"/>
  <c r="H36" i="9"/>
  <c r="BZ24" i="21"/>
  <c r="BZ36" i="21"/>
  <c r="AS80" i="7"/>
  <c r="AZ90" i="7"/>
  <c r="BF90" i="7" s="1"/>
  <c r="BT115" i="7"/>
  <c r="AP71" i="7"/>
  <c r="AX73" i="7"/>
  <c r="BX75" i="7"/>
  <c r="CB84" i="7"/>
  <c r="CC84" i="7" s="1"/>
  <c r="AN183" i="7"/>
  <c r="BE206" i="7"/>
  <c r="AP138" i="12"/>
  <c r="AQ137" i="12" s="1"/>
  <c r="CK206" i="7"/>
  <c r="CL46" i="3"/>
  <c r="CM46" i="3"/>
  <c r="CG83" i="7"/>
  <c r="CG13" i="7"/>
  <c r="E5" i="74" s="1"/>
  <c r="BZ13" i="21"/>
  <c r="CI8" i="3"/>
  <c r="B154" i="12"/>
  <c r="Z194" i="5"/>
  <c r="Z154" i="12"/>
  <c r="AB154" i="12" s="1"/>
  <c r="L153" i="12"/>
  <c r="V153" i="12"/>
  <c r="AN153" i="12"/>
  <c r="N153" i="12"/>
  <c r="H153" i="12"/>
  <c r="CI29" i="3"/>
  <c r="CK27" i="3"/>
  <c r="CG86" i="7"/>
  <c r="CG44" i="7"/>
  <c r="CH52" i="7"/>
  <c r="W43" i="8"/>
  <c r="AW75" i="7"/>
  <c r="T111" i="7"/>
  <c r="R110" i="12"/>
  <c r="AH110" i="12"/>
  <c r="AE28" i="3"/>
  <c r="AP140" i="12"/>
  <c r="J133" i="12"/>
  <c r="I32" i="7"/>
  <c r="CD37" i="7"/>
  <c r="K92" i="7"/>
  <c r="Q72" i="7"/>
  <c r="L72" i="7"/>
  <c r="AP116" i="12"/>
  <c r="AP109" i="12"/>
  <c r="J109" i="12"/>
  <c r="AI28" i="3"/>
  <c r="AV189" i="7"/>
  <c r="AN28" i="3" s="1"/>
  <c r="Q28" i="9"/>
  <c r="AH124" i="12"/>
  <c r="AF125" i="12"/>
  <c r="R124" i="12"/>
  <c r="P125" i="12"/>
  <c r="I63" i="63"/>
  <c r="I105" i="63" s="1"/>
  <c r="AS93" i="7"/>
  <c r="AT93" i="7"/>
  <c r="J36" i="12"/>
  <c r="X152" i="7"/>
  <c r="CM57" i="7"/>
  <c r="BD93" i="7"/>
  <c r="BE73" i="7"/>
  <c r="AN140" i="7"/>
  <c r="BA121" i="7"/>
  <c r="L73" i="9"/>
  <c r="AW208" i="7"/>
  <c r="BU112" i="7"/>
  <c r="W95" i="7"/>
  <c r="BY204" i="7"/>
  <c r="BT208" i="7"/>
  <c r="AV125" i="7"/>
  <c r="AV167" i="7"/>
  <c r="P19" i="9"/>
  <c r="AS92" i="7"/>
  <c r="AS112" i="7"/>
  <c r="AR122" i="7"/>
  <c r="CC113" i="7"/>
  <c r="CG90" i="7"/>
  <c r="CG110" i="7"/>
  <c r="CH90" i="7"/>
  <c r="CF120" i="7"/>
  <c r="BI16" i="7"/>
  <c r="DE13" i="3"/>
  <c r="O80" i="9"/>
  <c r="O81" i="9" s="1"/>
  <c r="D36" i="12"/>
  <c r="K80" i="10"/>
  <c r="E11" i="9"/>
  <c r="DB10" i="3" s="1"/>
  <c r="P24" i="7"/>
  <c r="G9" i="8"/>
  <c r="G10" i="8" s="1"/>
  <c r="K88" i="10"/>
  <c r="CF73" i="7"/>
  <c r="CH73" i="7" s="1"/>
  <c r="U36" i="9"/>
  <c r="BA110" i="7"/>
  <c r="AZ157" i="7" s="1"/>
  <c r="AZ120" i="7"/>
  <c r="BA90" i="7"/>
  <c r="AZ96" i="7"/>
  <c r="BA116" i="7" s="1"/>
  <c r="AZ95" i="7"/>
  <c r="BA95" i="7" s="1"/>
  <c r="AA20" i="3"/>
  <c r="AA40" i="3" s="1"/>
  <c r="AJ123" i="7"/>
  <c r="AK93" i="7"/>
  <c r="K90" i="7"/>
  <c r="K95" i="7" s="1"/>
  <c r="K75" i="7"/>
  <c r="L75" i="7" s="1"/>
  <c r="O84" i="10"/>
  <c r="O85" i="10"/>
  <c r="BJ13" i="21"/>
  <c r="BJ19" i="21" s="1"/>
  <c r="BE34" i="7"/>
  <c r="BJ34" i="7"/>
  <c r="BV21" i="7"/>
  <c r="BR21" i="7"/>
  <c r="F112" i="8"/>
  <c r="E14" i="9" s="1"/>
  <c r="DE15" i="3"/>
  <c r="D141" i="12"/>
  <c r="T11" i="9"/>
  <c r="L8" i="63" s="1"/>
  <c r="BY24" i="7"/>
  <c r="BT36" i="7"/>
  <c r="BZ36" i="7" s="1"/>
  <c r="O93" i="7"/>
  <c r="B14" i="9"/>
  <c r="AA119" i="10"/>
  <c r="M37" i="9"/>
  <c r="M85" i="10"/>
  <c r="M84" i="10"/>
  <c r="G84" i="10"/>
  <c r="AQ80" i="10"/>
  <c r="DS10" i="3"/>
  <c r="M8" i="63"/>
  <c r="M88" i="63" s="1"/>
  <c r="D31" i="7"/>
  <c r="C71" i="7"/>
  <c r="C34" i="7"/>
  <c r="H31" i="7"/>
  <c r="U12" i="9"/>
  <c r="U15" i="9"/>
  <c r="D6" i="63"/>
  <c r="D10" i="63" s="1"/>
  <c r="D29" i="63" s="1"/>
  <c r="L12" i="9"/>
  <c r="Y119" i="10"/>
  <c r="T110" i="7"/>
  <c r="BE42" i="7"/>
  <c r="I81" i="10"/>
  <c r="I88" i="10" s="1"/>
  <c r="D19" i="9"/>
  <c r="DA13" i="3" s="1"/>
  <c r="BE69" i="5"/>
  <c r="L34" i="7"/>
  <c r="C9" i="8"/>
  <c r="C31" i="8" s="1"/>
  <c r="C32" i="8" s="1"/>
  <c r="C112" i="8"/>
  <c r="J92" i="12"/>
  <c r="BY75" i="7"/>
  <c r="CD75" i="7"/>
  <c r="S87" i="10"/>
  <c r="BB23" i="21"/>
  <c r="DF15" i="3"/>
  <c r="T28" i="9"/>
  <c r="BY54" i="7"/>
  <c r="CD54" i="7"/>
  <c r="BZ54" i="7"/>
  <c r="DR8" i="3"/>
  <c r="DD15" i="3"/>
  <c r="BX93" i="7"/>
  <c r="BY73" i="7"/>
  <c r="BX74" i="7"/>
  <c r="BZ73" i="7"/>
  <c r="CD73" i="7"/>
  <c r="E85" i="10"/>
  <c r="K6" i="63"/>
  <c r="K45" i="63" s="1"/>
  <c r="D112" i="8"/>
  <c r="C14" i="9" s="1"/>
  <c r="D9" i="8"/>
  <c r="C7" i="9" s="1"/>
  <c r="DO8" i="3"/>
  <c r="AP154" i="12"/>
  <c r="AQ153" i="12" s="1"/>
  <c r="J154" i="12"/>
  <c r="CF24" i="7"/>
  <c r="D154" i="12"/>
  <c r="CI10" i="3"/>
  <c r="CH53" i="7"/>
  <c r="CI15" i="3"/>
  <c r="CF57" i="7"/>
  <c r="CG57" i="7" s="1"/>
  <c r="CK29" i="3"/>
  <c r="CH22" i="3"/>
  <c r="CF116" i="7"/>
  <c r="L92" i="7"/>
  <c r="L112" i="7"/>
  <c r="AG81" i="10"/>
  <c r="H11" i="63"/>
  <c r="H91" i="63" s="1"/>
  <c r="Q55" i="8"/>
  <c r="DM64" i="3" s="1"/>
  <c r="DM13" i="3"/>
  <c r="BE93" i="7"/>
  <c r="AR159" i="7"/>
  <c r="AR142" i="7"/>
  <c r="AR151" i="7"/>
  <c r="AR169" i="7" s="1"/>
  <c r="S73" i="9"/>
  <c r="BY208" i="7"/>
  <c r="X115" i="7"/>
  <c r="BA115" i="7"/>
  <c r="AZ140" i="7"/>
  <c r="BE140" i="7" s="1"/>
  <c r="AZ167" i="7"/>
  <c r="BA120" i="7"/>
  <c r="AZ149" i="7"/>
  <c r="BE120" i="7"/>
  <c r="L90" i="7"/>
  <c r="BA96" i="7"/>
  <c r="AJ152" i="7"/>
  <c r="CF149" i="7"/>
  <c r="CG149" i="7" s="1"/>
  <c r="CF140" i="7"/>
  <c r="CG120" i="7"/>
  <c r="CF167" i="7"/>
  <c r="D71" i="7"/>
  <c r="C91" i="7"/>
  <c r="D91" i="7" s="1"/>
  <c r="BZ24" i="7"/>
  <c r="V28" i="9"/>
  <c r="CH54" i="7"/>
  <c r="CG54" i="7"/>
  <c r="D155" i="12"/>
  <c r="DT15" i="3"/>
  <c r="N12" i="63"/>
  <c r="AQ79" i="11"/>
  <c r="AQ85" i="11"/>
  <c r="AQ83" i="11" s="1"/>
  <c r="AQ84" i="11" s="1"/>
  <c r="AQ33" i="11"/>
  <c r="AS78" i="10"/>
  <c r="N154" i="12"/>
  <c r="AN154" i="12"/>
  <c r="AQ154" i="12" s="1"/>
  <c r="L154" i="12"/>
  <c r="H154" i="12"/>
  <c r="AW22" i="10"/>
  <c r="AX22" i="10" s="1"/>
  <c r="AU127" i="10"/>
  <c r="AX12" i="10"/>
  <c r="AY12" i="10" s="1"/>
  <c r="CL27" i="3"/>
  <c r="CJ182" i="7"/>
  <c r="DT27" i="3"/>
  <c r="N24" i="63"/>
  <c r="N148" i="63" s="1"/>
  <c r="N146" i="63" s="1"/>
  <c r="V60" i="9"/>
  <c r="N36" i="63"/>
  <c r="DT46" i="3"/>
  <c r="V9" i="9"/>
  <c r="AU27" i="11"/>
  <c r="CI22" i="3"/>
  <c r="CF114" i="7"/>
  <c r="V42" i="9"/>
  <c r="DT22" i="3" s="1"/>
  <c r="AS37" i="10"/>
  <c r="CL55" i="3"/>
  <c r="AS44" i="10"/>
  <c r="CH33" i="7"/>
  <c r="CI13" i="3"/>
  <c r="CF37" i="7"/>
  <c r="CG37" i="7" s="1"/>
  <c r="CF34" i="7"/>
  <c r="CG34" i="7" s="1"/>
  <c r="U20" i="9"/>
  <c r="J39" i="9"/>
  <c r="K134" i="63"/>
  <c r="F7" i="9"/>
  <c r="G112" i="8"/>
  <c r="G67" i="8"/>
  <c r="BJ36" i="21"/>
  <c r="BJ25" i="21"/>
  <c r="BN31" i="21"/>
  <c r="BF24" i="21"/>
  <c r="BJ30" i="21"/>
  <c r="BF29" i="21"/>
  <c r="J103" i="12"/>
  <c r="J96" i="12"/>
  <c r="AP96" i="12"/>
  <c r="AH123" i="12"/>
  <c r="R123" i="12"/>
  <c r="BU93" i="7"/>
  <c r="BU113" i="7"/>
  <c r="DC22" i="3"/>
  <c r="DH27" i="3"/>
  <c r="K60" i="9"/>
  <c r="C24" i="63"/>
  <c r="C63" i="63" s="1"/>
  <c r="C105" i="63" s="1"/>
  <c r="AF40" i="21"/>
  <c r="AG34" i="21"/>
  <c r="CH37" i="7"/>
  <c r="AF154" i="12"/>
  <c r="E112" i="8"/>
  <c r="D14" i="9" s="1"/>
  <c r="Q92" i="7"/>
  <c r="K122" i="7"/>
  <c r="BZ31" i="21"/>
  <c r="CD23" i="7"/>
  <c r="BZ23" i="7"/>
  <c r="M31" i="7"/>
  <c r="G71" i="7"/>
  <c r="I31" i="7"/>
  <c r="P73" i="7"/>
  <c r="U73" i="7"/>
  <c r="G48" i="3" s="1"/>
  <c r="Q73" i="7"/>
  <c r="DB13" i="3"/>
  <c r="DB47" i="3" s="1"/>
  <c r="DP10" i="3"/>
  <c r="J8" i="63"/>
  <c r="J88" i="63" s="1"/>
  <c r="AK80" i="10"/>
  <c r="AN191" i="7"/>
  <c r="AR190" i="7"/>
  <c r="AJ28" i="3" s="1"/>
  <c r="AR123" i="7"/>
  <c r="AS113" i="7"/>
  <c r="BA20" i="10"/>
  <c r="AY100" i="10"/>
  <c r="AY102" i="10" s="1"/>
  <c r="AT17" i="21"/>
  <c r="AB264" i="5"/>
  <c r="AB257" i="5"/>
  <c r="AI257" i="5"/>
  <c r="AK257" i="5"/>
  <c r="AP117" i="12"/>
  <c r="J124" i="12"/>
  <c r="AP131" i="12"/>
  <c r="AQ130" i="12" s="1"/>
  <c r="J117" i="12"/>
  <c r="AD35" i="21"/>
  <c r="AD29" i="21"/>
  <c r="AD17" i="21"/>
  <c r="AD23" i="21"/>
  <c r="AL22" i="21"/>
  <c r="AL28" i="21"/>
  <c r="AL16" i="21"/>
  <c r="AL34" i="21"/>
  <c r="AT24" i="21"/>
  <c r="AX19" i="21"/>
  <c r="AX37" i="21"/>
  <c r="AX31" i="21"/>
  <c r="AX25" i="21"/>
  <c r="BV16" i="21"/>
  <c r="BV34" i="21"/>
  <c r="BV28" i="21"/>
  <c r="BV22" i="21"/>
  <c r="AH119" i="12"/>
  <c r="R119" i="12"/>
  <c r="L36" i="7"/>
  <c r="DL15" i="3"/>
  <c r="G12" i="63"/>
  <c r="O29" i="9"/>
  <c r="DG27" i="3"/>
  <c r="C148" i="8"/>
  <c r="C118" i="8"/>
  <c r="AM37" i="10"/>
  <c r="AM44" i="10"/>
  <c r="CD55" i="3"/>
  <c r="AK130" i="10"/>
  <c r="AI65" i="11"/>
  <c r="AI36" i="11"/>
  <c r="AK74" i="12"/>
  <c r="AF74" i="12"/>
  <c r="P74" i="12"/>
  <c r="AY22" i="10"/>
  <c r="R17" i="21"/>
  <c r="Z36" i="21"/>
  <c r="Z18" i="21"/>
  <c r="Z30" i="21"/>
  <c r="Z24" i="21"/>
  <c r="BV29" i="21"/>
  <c r="BV17" i="21"/>
  <c r="BV35" i="21"/>
  <c r="BV23" i="21"/>
  <c r="R84" i="9"/>
  <c r="J15" i="63"/>
  <c r="F18" i="63"/>
  <c r="F140" i="63" s="1"/>
  <c r="DK22" i="3"/>
  <c r="BY34" i="21"/>
  <c r="BX40" i="21"/>
  <c r="P154" i="12"/>
  <c r="DR15" i="3"/>
  <c r="L12" i="63"/>
  <c r="DC13" i="3"/>
  <c r="F23" i="9"/>
  <c r="BF17" i="21"/>
  <c r="AK56" i="12"/>
  <c r="AD22" i="21"/>
  <c r="R30" i="21"/>
  <c r="R36" i="21"/>
  <c r="AH24" i="21"/>
  <c r="AH31" i="21"/>
  <c r="AX22" i="21"/>
  <c r="AX16" i="21"/>
  <c r="AX34" i="21"/>
  <c r="AX28" i="21"/>
  <c r="BV24" i="21"/>
  <c r="BV36" i="21"/>
  <c r="BV30" i="21"/>
  <c r="BV18" i="21"/>
  <c r="AA11" i="11"/>
  <c r="DK15" i="3"/>
  <c r="AB123" i="7"/>
  <c r="AC113" i="7"/>
  <c r="AC93" i="7"/>
  <c r="AD93" i="7"/>
  <c r="DA22" i="3"/>
  <c r="T42" i="9"/>
  <c r="L18" i="63" s="1"/>
  <c r="DF22" i="3"/>
  <c r="E18" i="63"/>
  <c r="DJ22" i="3"/>
  <c r="H60" i="9"/>
  <c r="I61" i="5"/>
  <c r="G90" i="10" s="1"/>
  <c r="G91" i="10" s="1"/>
  <c r="D37" i="8"/>
  <c r="CZ54" i="3"/>
  <c r="E12" i="8"/>
  <c r="E19" i="8" s="1"/>
  <c r="D20" i="8"/>
  <c r="AK139" i="12"/>
  <c r="AO119" i="10"/>
  <c r="G36" i="11"/>
  <c r="G65" i="11"/>
  <c r="AF43" i="21"/>
  <c r="AG37" i="21"/>
  <c r="AS34" i="21"/>
  <c r="N75" i="63"/>
  <c r="N168" i="63" s="1"/>
  <c r="BY74" i="7"/>
  <c r="S120" i="7"/>
  <c r="Y90" i="7"/>
  <c r="U90" i="7"/>
  <c r="T90" i="7"/>
  <c r="J141" i="12"/>
  <c r="J29" i="12"/>
  <c r="J22" i="12"/>
  <c r="W94" i="7"/>
  <c r="W96" i="7"/>
  <c r="X116" i="7" s="1"/>
  <c r="BM71" i="7"/>
  <c r="BA204" i="7"/>
  <c r="V22" i="21"/>
  <c r="V28" i="21"/>
  <c r="V34" i="21"/>
  <c r="V16" i="21"/>
  <c r="AP16" i="21"/>
  <c r="AP34" i="21"/>
  <c r="AP22" i="21"/>
  <c r="AP28" i="21"/>
  <c r="DS13" i="3"/>
  <c r="M11" i="63"/>
  <c r="DC15" i="3"/>
  <c r="AT92" i="7"/>
  <c r="AO92" i="7"/>
  <c r="AN122" i="7"/>
  <c r="AO112" i="7"/>
  <c r="AP92" i="7"/>
  <c r="BY112" i="7"/>
  <c r="BX96" i="7"/>
  <c r="BZ92" i="7"/>
  <c r="BX122" i="7"/>
  <c r="BY92" i="7"/>
  <c r="S113" i="10"/>
  <c r="Q113" i="10"/>
  <c r="J50" i="13"/>
  <c r="J56" i="13"/>
  <c r="R50" i="13"/>
  <c r="AR43" i="21"/>
  <c r="AS37" i="21"/>
  <c r="AV43" i="21"/>
  <c r="AW37" i="21"/>
  <c r="AQ65" i="11"/>
  <c r="Q75" i="7"/>
  <c r="E146" i="63"/>
  <c r="CJ200" i="7"/>
  <c r="AO66" i="11"/>
  <c r="AQ119" i="10"/>
  <c r="U8" i="9"/>
  <c r="DS8" i="3"/>
  <c r="M6" i="63"/>
  <c r="AQ79" i="10"/>
  <c r="AQ85" i="10" s="1"/>
  <c r="L37" i="9"/>
  <c r="L29" i="9"/>
  <c r="DI8" i="3"/>
  <c r="W66" i="11"/>
  <c r="M8" i="9"/>
  <c r="L33" i="9"/>
  <c r="L80" i="9"/>
  <c r="L81" i="9" s="1"/>
  <c r="L86" i="9" s="1"/>
  <c r="L20" i="9"/>
  <c r="L8" i="9"/>
  <c r="Y66" i="11"/>
  <c r="L15" i="9"/>
  <c r="Y79" i="10"/>
  <c r="BB35" i="21"/>
  <c r="S79" i="11"/>
  <c r="BB95" i="7"/>
  <c r="AS56" i="10"/>
  <c r="AQ81" i="10"/>
  <c r="AQ88" i="10" s="1"/>
  <c r="N15" i="63"/>
  <c r="N54" i="63" s="1"/>
  <c r="C89" i="5"/>
  <c r="G89" i="5" s="1"/>
  <c r="AG89" i="5"/>
  <c r="AI236" i="5"/>
  <c r="R37" i="21"/>
  <c r="R25" i="21"/>
  <c r="R31" i="21"/>
  <c r="R19" i="21"/>
  <c r="AL30" i="21"/>
  <c r="AL19" i="21"/>
  <c r="AL24" i="21"/>
  <c r="AL18" i="21"/>
  <c r="AL37" i="21"/>
  <c r="AL31" i="21"/>
  <c r="AL36" i="21"/>
  <c r="AL25" i="21"/>
  <c r="D28" i="9"/>
  <c r="DA15" i="3" s="1"/>
  <c r="L54" i="7"/>
  <c r="K74" i="7"/>
  <c r="AV123" i="7"/>
  <c r="BB93" i="7"/>
  <c r="AW93" i="7"/>
  <c r="AW113" i="7"/>
  <c r="AX93" i="7"/>
  <c r="F60" i="9"/>
  <c r="AK145" i="12"/>
  <c r="AK144" i="12"/>
  <c r="I112" i="10"/>
  <c r="AA65" i="11"/>
  <c r="AA36" i="11"/>
  <c r="AG65" i="11"/>
  <c r="AG36" i="11"/>
  <c r="AG39" i="11" s="1"/>
  <c r="AI130" i="10"/>
  <c r="Z50" i="13"/>
  <c r="N59" i="13"/>
  <c r="AH52" i="13"/>
  <c r="D50" i="63"/>
  <c r="T47" i="5"/>
  <c r="T45" i="5"/>
  <c r="AI52" i="5"/>
  <c r="AK52" i="5" s="1"/>
  <c r="AQ86" i="5"/>
  <c r="AS95" i="5"/>
  <c r="J136" i="5"/>
  <c r="K144" i="5"/>
  <c r="AM157" i="5"/>
  <c r="Z149" i="5"/>
  <c r="J166" i="5"/>
  <c r="K39" i="9"/>
  <c r="AK37" i="10"/>
  <c r="AK44" i="10" s="1"/>
  <c r="Y65" i="11"/>
  <c r="Y67" i="11" s="1"/>
  <c r="AQ51" i="11"/>
  <c r="Y83" i="11"/>
  <c r="Y84" i="11" s="1"/>
  <c r="AI83" i="11"/>
  <c r="AI84" i="11" s="1"/>
  <c r="N50" i="13"/>
  <c r="AD50" i="13"/>
  <c r="AG17" i="21"/>
  <c r="BD34" i="21"/>
  <c r="BU18" i="21"/>
  <c r="AF35" i="21"/>
  <c r="AB36" i="21"/>
  <c r="AG28" i="21"/>
  <c r="AG30" i="21"/>
  <c r="X26" i="12"/>
  <c r="H49" i="12"/>
  <c r="AF49" i="12" s="1"/>
  <c r="Z60" i="12"/>
  <c r="AB60" i="12" s="1"/>
  <c r="P61" i="12"/>
  <c r="AB67" i="12"/>
  <c r="R74" i="12"/>
  <c r="H110" i="12"/>
  <c r="AJ52" i="13"/>
  <c r="M24" i="5"/>
  <c r="T41" i="5"/>
  <c r="AQ93" i="5"/>
  <c r="Z157" i="5"/>
  <c r="AB157" i="5" s="1"/>
  <c r="AB249" i="5"/>
  <c r="J8" i="8"/>
  <c r="J113" i="8" s="1"/>
  <c r="BE18" i="21"/>
  <c r="Q28" i="21"/>
  <c r="Q30" i="21"/>
  <c r="BE28" i="21"/>
  <c r="BQ31" i="21"/>
  <c r="BU29" i="21"/>
  <c r="T104" i="12"/>
  <c r="V104" i="12" s="1"/>
  <c r="Z112" i="12"/>
  <c r="C94" i="5"/>
  <c r="K164" i="5"/>
  <c r="AB178" i="5"/>
  <c r="D117" i="8"/>
  <c r="F131" i="8"/>
  <c r="F132" i="8" s="1"/>
  <c r="H44" i="13"/>
  <c r="H50" i="13"/>
  <c r="P44" i="13"/>
  <c r="P56" i="13"/>
  <c r="X44" i="13"/>
  <c r="AF44" i="13"/>
  <c r="AF50" i="13" s="1"/>
  <c r="T124" i="12"/>
  <c r="V124" i="12" s="1"/>
  <c r="AJ33" i="13"/>
  <c r="AJ57" i="13" s="1"/>
  <c r="AJ34" i="13"/>
  <c r="AJ58" i="13" s="1"/>
  <c r="AJ35" i="13"/>
  <c r="AJ59" i="13" s="1"/>
  <c r="BX37" i="21"/>
  <c r="CC37" i="21" s="1"/>
  <c r="AS96" i="5"/>
  <c r="J137" i="5"/>
  <c r="AP72" i="7"/>
  <c r="X36" i="21"/>
  <c r="X42" i="21" s="1"/>
  <c r="R53" i="12"/>
  <c r="H76" i="12"/>
  <c r="P76" i="12" s="1"/>
  <c r="J45" i="9"/>
  <c r="BE208" i="7"/>
  <c r="N73" i="9"/>
  <c r="AF56" i="13"/>
  <c r="G132" i="8"/>
  <c r="AB42" i="21"/>
  <c r="AB149" i="5"/>
  <c r="X96" i="7"/>
  <c r="X114" i="7"/>
  <c r="X35" i="8"/>
  <c r="X134" i="8"/>
  <c r="M45" i="63"/>
  <c r="BX151" i="7"/>
  <c r="BX169" i="7" s="1"/>
  <c r="BX142" i="7"/>
  <c r="BX126" i="7"/>
  <c r="AN142" i="7"/>
  <c r="AS142" i="7" s="1"/>
  <c r="AN169" i="7"/>
  <c r="AO169" i="7" s="1"/>
  <c r="AS122" i="7"/>
  <c r="K65" i="5"/>
  <c r="J130" i="63"/>
  <c r="AC36" i="21"/>
  <c r="K45" i="9"/>
  <c r="K40" i="9"/>
  <c r="K43" i="9"/>
  <c r="AX180" i="7"/>
  <c r="BY116" i="7"/>
  <c r="M50" i="63"/>
  <c r="E57" i="63"/>
  <c r="L51" i="63"/>
  <c r="AF28" i="3"/>
  <c r="AN192" i="7"/>
  <c r="K71" i="9" s="1"/>
  <c r="AR191" i="7"/>
  <c r="AR192" i="7" s="1"/>
  <c r="BI34" i="21"/>
  <c r="Y84" i="10"/>
  <c r="Y85" i="10"/>
  <c r="T120" i="7"/>
  <c r="S167" i="7"/>
  <c r="S149" i="7"/>
  <c r="D38" i="8"/>
  <c r="CZ61" i="3"/>
  <c r="AR152" i="7"/>
  <c r="AR160" i="7"/>
  <c r="AR143" i="7"/>
  <c r="AK35" i="21"/>
  <c r="AG35" i="21"/>
  <c r="AJ41" i="21"/>
  <c r="AW123" i="7"/>
  <c r="AV160" i="7"/>
  <c r="AW160" i="7" s="1"/>
  <c r="CL29" i="3"/>
  <c r="E20" i="8"/>
  <c r="H56" i="13"/>
  <c r="J96" i="63"/>
  <c r="AV190" i="7"/>
  <c r="AO28" i="3" s="1"/>
  <c r="I71" i="7"/>
  <c r="W82" i="10"/>
  <c r="K46" i="9"/>
  <c r="K50" i="9"/>
  <c r="U10" i="11"/>
  <c r="AR170" i="7"/>
  <c r="K88" i="9"/>
  <c r="K89" i="9" s="1"/>
  <c r="K91" i="9" s="1"/>
  <c r="K93" i="9" s="1"/>
  <c r="K25" i="9"/>
  <c r="AY56" i="3"/>
  <c r="U18" i="11"/>
  <c r="K51" i="9"/>
  <c r="K56" i="9"/>
  <c r="K53" i="9"/>
  <c r="K26" i="9"/>
  <c r="AN44" i="7"/>
  <c r="AN43" i="7" s="1"/>
  <c r="DH14" i="3"/>
  <c r="W73" i="10"/>
  <c r="Z198" i="5"/>
  <c r="L158" i="12"/>
  <c r="N158" i="12"/>
  <c r="V158" i="12"/>
  <c r="X158" i="12" s="1"/>
  <c r="AN158" i="12"/>
  <c r="H158" i="12"/>
  <c r="Z199" i="5"/>
  <c r="Z159" i="12" s="1"/>
  <c r="AB159" i="12" s="1"/>
  <c r="CM27" i="3"/>
  <c r="Z200" i="5"/>
  <c r="Z160" i="12" s="1"/>
  <c r="AB160" i="12" s="1"/>
  <c r="V159" i="12"/>
  <c r="N159" i="12"/>
  <c r="AN159" i="12"/>
  <c r="L159" i="12"/>
  <c r="H159" i="12"/>
  <c r="CK10" i="7"/>
  <c r="F5" i="74" s="1"/>
  <c r="AW198" i="5"/>
  <c r="CK80" i="7"/>
  <c r="B158" i="12"/>
  <c r="CK8" i="3"/>
  <c r="CK45" i="3" s="1"/>
  <c r="CJ70" i="7"/>
  <c r="CL50" i="7"/>
  <c r="CK15" i="3"/>
  <c r="D158" i="12"/>
  <c r="CK10" i="3"/>
  <c r="CL30" i="7"/>
  <c r="CK13" i="3"/>
  <c r="CK22" i="3"/>
  <c r="CK46" i="3"/>
  <c r="E198" i="5"/>
  <c r="AG96" i="5"/>
  <c r="T34" i="5"/>
  <c r="V41" i="5" s="1"/>
  <c r="M34" i="5"/>
  <c r="O34" i="5" s="1"/>
  <c r="K42" i="5"/>
  <c r="T38" i="5"/>
  <c r="V45" i="5" s="1"/>
  <c r="M66" i="5"/>
  <c r="M39" i="5"/>
  <c r="O39" i="5" s="1"/>
  <c r="K35" i="5"/>
  <c r="T32" i="5"/>
  <c r="K56" i="5"/>
  <c r="M55" i="5"/>
  <c r="O55" i="5" s="1"/>
  <c r="AB53" i="5"/>
  <c r="BG81" i="5"/>
  <c r="AG103" i="5"/>
  <c r="AQ109" i="5"/>
  <c r="K122" i="5"/>
  <c r="T39" i="5"/>
  <c r="V39" i="5" s="1"/>
  <c r="AQ149" i="5"/>
  <c r="DN10" i="7"/>
  <c r="DR10" i="7" s="1"/>
  <c r="AG100" i="5"/>
  <c r="AS100" i="5"/>
  <c r="AG88" i="5"/>
  <c r="AS88" i="5"/>
  <c r="AS94" i="5"/>
  <c r="AG94" i="5"/>
  <c r="AI94" i="5" s="1"/>
  <c r="J69" i="3"/>
  <c r="I88" i="5"/>
  <c r="AX88" i="5" s="1"/>
  <c r="K87" i="5"/>
  <c r="M87" i="5" s="1"/>
  <c r="AS122" i="5"/>
  <c r="H143" i="8"/>
  <c r="DD46" i="3" s="1"/>
  <c r="G9" i="9"/>
  <c r="AQ90" i="5"/>
  <c r="AQ89" i="5"/>
  <c r="AQ104" i="5"/>
  <c r="AQ101" i="5"/>
  <c r="AG110" i="5"/>
  <c r="AS108" i="5"/>
  <c r="T87" i="5"/>
  <c r="V87" i="5" s="1"/>
  <c r="CJ15" i="7"/>
  <c r="AW199" i="5"/>
  <c r="B159" i="12"/>
  <c r="J159" i="12" s="1"/>
  <c r="CK81" i="7"/>
  <c r="CL8" i="3"/>
  <c r="CK11" i="7"/>
  <c r="D159" i="12"/>
  <c r="P159" i="12" s="1"/>
  <c r="CJ25" i="7"/>
  <c r="CL10" i="3"/>
  <c r="CL15" i="3"/>
  <c r="CL51" i="7"/>
  <c r="CJ55" i="7"/>
  <c r="CJ56" i="7" s="1"/>
  <c r="E135" i="8"/>
  <c r="U135" i="8"/>
  <c r="O131" i="8"/>
  <c r="CZ59" i="3"/>
  <c r="CZ69" i="3" s="1"/>
  <c r="T135" i="8"/>
  <c r="M135" i="8"/>
  <c r="Q135" i="8"/>
  <c r="D41" i="8"/>
  <c r="E41" i="8"/>
  <c r="X31" i="8"/>
  <c r="AF31" i="8" s="1"/>
  <c r="X131" i="8"/>
  <c r="DU59" i="3"/>
  <c r="AB200" i="5"/>
  <c r="V51" i="13"/>
  <c r="V57" i="13"/>
  <c r="X57" i="13"/>
  <c r="X51" i="13"/>
  <c r="Z51" i="13"/>
  <c r="AH51" i="13"/>
  <c r="AH57" i="13"/>
  <c r="H51" i="13"/>
  <c r="H57" i="13"/>
  <c r="L50" i="13"/>
  <c r="L56" i="13"/>
  <c r="J51" i="13"/>
  <c r="J57" i="13"/>
  <c r="P50" i="13"/>
  <c r="Z52" i="13"/>
  <c r="AL32" i="13"/>
  <c r="AL44" i="13"/>
  <c r="AL50" i="13" s="1"/>
  <c r="T50" i="13"/>
  <c r="D44" i="13"/>
  <c r="CK207" i="7"/>
  <c r="CJ201" i="7"/>
  <c r="CJ183" i="7"/>
  <c r="AH158" i="12"/>
  <c r="R158" i="12"/>
  <c r="CL13" i="3"/>
  <c r="CJ35" i="7"/>
  <c r="CL35" i="7" s="1"/>
  <c r="CJ71" i="7"/>
  <c r="CK71" i="7"/>
  <c r="CL31" i="7"/>
  <c r="CK82" i="7"/>
  <c r="CM8" i="3"/>
  <c r="AW200" i="5"/>
  <c r="B160" i="12"/>
  <c r="AP160" i="12" s="1"/>
  <c r="AQ159" i="12" s="1"/>
  <c r="CJ16" i="7"/>
  <c r="CK12" i="7"/>
  <c r="W59" i="9"/>
  <c r="CN27" i="3"/>
  <c r="CJ36" i="7"/>
  <c r="CM10" i="3"/>
  <c r="D160" i="12"/>
  <c r="AH159" i="12" s="1"/>
  <c r="CM13" i="3"/>
  <c r="CJ72" i="7"/>
  <c r="CL52" i="7"/>
  <c r="CM15" i="3"/>
  <c r="CK72" i="7"/>
  <c r="CJ92" i="7"/>
  <c r="CK112" i="7"/>
  <c r="CL22" i="3"/>
  <c r="CJ115" i="7"/>
  <c r="BM70" i="3"/>
  <c r="L160" i="12"/>
  <c r="N160" i="12"/>
  <c r="H160" i="12"/>
  <c r="V160" i="12"/>
  <c r="X160" i="12" s="1"/>
  <c r="AN160" i="12"/>
  <c r="CM29" i="3"/>
  <c r="CK92" i="7"/>
  <c r="CJ116" i="7"/>
  <c r="CJ122" i="7"/>
  <c r="CJ142" i="7" s="1"/>
  <c r="CM22" i="3"/>
  <c r="BT43" i="21"/>
  <c r="BX43" i="21"/>
  <c r="BU37" i="21"/>
  <c r="BY37" i="21"/>
  <c r="CN86" i="7"/>
  <c r="CN84" i="7"/>
  <c r="CP22" i="7"/>
  <c r="E9" i="9"/>
  <c r="Z159" i="5"/>
  <c r="AT44" i="7"/>
  <c r="J137" i="63"/>
  <c r="J54" i="63"/>
  <c r="AG67" i="5"/>
  <c r="T67" i="5"/>
  <c r="BS36" i="3"/>
  <c r="BS45" i="3"/>
  <c r="P47" i="3"/>
  <c r="AG68" i="5"/>
  <c r="CO204" i="7"/>
  <c r="P47" i="12"/>
  <c r="Z201" i="5"/>
  <c r="Z161" i="12" s="1"/>
  <c r="P60" i="12"/>
  <c r="AK60" i="12"/>
  <c r="AD151" i="12"/>
  <c r="T13" i="21"/>
  <c r="AB125" i="12"/>
  <c r="AQ116" i="12"/>
  <c r="H109" i="12"/>
  <c r="H151" i="12"/>
  <c r="AF151" i="12" s="1"/>
  <c r="AN109" i="12"/>
  <c r="AB140" i="12"/>
  <c r="P41" i="21"/>
  <c r="U35" i="21"/>
  <c r="AH81" i="12"/>
  <c r="AH130" i="12"/>
  <c r="AB146" i="12"/>
  <c r="AH83" i="12"/>
  <c r="R89" i="12"/>
  <c r="AN118" i="12"/>
  <c r="R130" i="12"/>
  <c r="H83" i="12"/>
  <c r="AK83" i="12" s="1"/>
  <c r="H89" i="12"/>
  <c r="P89" i="12" s="1"/>
  <c r="R104" i="12"/>
  <c r="H137" i="12"/>
  <c r="AM45" i="3"/>
  <c r="J47" i="3"/>
  <c r="CA47" i="3"/>
  <c r="AX12" i="3"/>
  <c r="BN36" i="3"/>
  <c r="BQ47" i="3"/>
  <c r="BQ70" i="3"/>
  <c r="DI12" i="3"/>
  <c r="DO69" i="3"/>
  <c r="DS69" i="3"/>
  <c r="AJ45" i="3"/>
  <c r="AF47" i="3"/>
  <c r="AA12" i="3"/>
  <c r="AR47" i="3"/>
  <c r="F37" i="3"/>
  <c r="AF12" i="3"/>
  <c r="AF45" i="3"/>
  <c r="CB37" i="3"/>
  <c r="U37" i="3"/>
  <c r="AE47" i="3"/>
  <c r="AZ45" i="3"/>
  <c r="V47" i="3"/>
  <c r="DK69" i="3"/>
  <c r="DP60" i="3"/>
  <c r="BT12" i="3"/>
  <c r="BO12" i="3"/>
  <c r="Z45" i="3"/>
  <c r="CC12" i="3"/>
  <c r="CC35" i="3" s="1"/>
  <c r="CB12" i="3"/>
  <c r="CB17" i="3" s="1"/>
  <c r="CB20" i="3" s="1"/>
  <c r="CB40" i="3" s="1"/>
  <c r="AD47" i="3"/>
  <c r="U45" i="3"/>
  <c r="AO45" i="3"/>
  <c r="L45" i="3"/>
  <c r="T47" i="3"/>
  <c r="AX47" i="3"/>
  <c r="P151" i="12"/>
  <c r="P83" i="12"/>
  <c r="AF137" i="12"/>
  <c r="AK137" i="12"/>
  <c r="P137" i="12"/>
  <c r="AK89" i="12"/>
  <c r="AF89" i="12"/>
  <c r="Y13" i="21"/>
  <c r="W87" i="10"/>
  <c r="W88" i="10"/>
  <c r="M88" i="10"/>
  <c r="L98" i="12"/>
  <c r="N95" i="12"/>
  <c r="H91" i="12"/>
  <c r="P91" i="12" s="1"/>
  <c r="H95" i="12"/>
  <c r="AF95" i="12" s="1"/>
  <c r="N91" i="12"/>
  <c r="AN105" i="12"/>
  <c r="AQ105" i="12"/>
  <c r="L91" i="12"/>
  <c r="AH91" i="12"/>
  <c r="AG87" i="10"/>
  <c r="AG88" i="10"/>
  <c r="AK88" i="12"/>
  <c r="AF88" i="12"/>
  <c r="R91" i="12"/>
  <c r="AF77" i="12"/>
  <c r="AK77" i="12"/>
  <c r="M25" i="21"/>
  <c r="I25" i="21"/>
  <c r="AH84" i="12"/>
  <c r="H84" i="12"/>
  <c r="P84" i="12" s="1"/>
  <c r="L84" i="12"/>
  <c r="R84" i="12"/>
  <c r="AM17" i="10"/>
  <c r="AO17" i="10" s="1"/>
  <c r="AQ17" i="10" s="1"/>
  <c r="AK16" i="10"/>
  <c r="DH59" i="3"/>
  <c r="DH69" i="3" s="1"/>
  <c r="L131" i="8"/>
  <c r="H118" i="8"/>
  <c r="DG59" i="3"/>
  <c r="DG69" i="3" s="1"/>
  <c r="DB59" i="3"/>
  <c r="DB69" i="3" s="1"/>
  <c r="T118" i="8"/>
  <c r="H91" i="8"/>
  <c r="I230" i="5"/>
  <c r="I234" i="5" s="1"/>
  <c r="H79" i="8"/>
  <c r="F17" i="9"/>
  <c r="DR55" i="3"/>
  <c r="E7" i="9"/>
  <c r="DB8" i="3" s="1"/>
  <c r="T21" i="9"/>
  <c r="AO44" i="7"/>
  <c r="AM16" i="10"/>
  <c r="M111" i="10"/>
  <c r="BA130" i="10"/>
  <c r="H82" i="8"/>
  <c r="DS55" i="3"/>
  <c r="DT55" i="3" s="1"/>
  <c r="DU55" i="3" s="1"/>
  <c r="DV55" i="3" s="1"/>
  <c r="DW55" i="3" s="1"/>
  <c r="DX55" i="3" s="1"/>
  <c r="DY55" i="3" s="1"/>
  <c r="DZ55" i="3" s="1"/>
  <c r="CH34" i="7"/>
  <c r="V19" i="9"/>
  <c r="DT64" i="3" s="1"/>
  <c r="AY30" i="10"/>
  <c r="C30" i="73" s="1"/>
  <c r="AY107" i="10"/>
  <c r="AY113" i="10" s="1"/>
  <c r="Z205" i="5"/>
  <c r="AF34" i="8"/>
  <c r="CO205" i="7"/>
  <c r="DU27" i="3"/>
  <c r="W60" i="9"/>
  <c r="AT59" i="10"/>
  <c r="CN29" i="3"/>
  <c r="O15" i="63"/>
  <c r="DU19" i="3"/>
  <c r="W55" i="8"/>
  <c r="AS81" i="10"/>
  <c r="AS88" i="10" s="1"/>
  <c r="Z165" i="12"/>
  <c r="AB165" i="12" s="1"/>
  <c r="AU56" i="10"/>
  <c r="AS51" i="11"/>
  <c r="AS87" i="10"/>
  <c r="H161" i="12"/>
  <c r="L161" i="12"/>
  <c r="N161" i="12"/>
  <c r="AB161" i="12"/>
  <c r="AN161" i="12"/>
  <c r="AQ161" i="12"/>
  <c r="E201" i="5"/>
  <c r="CN46" i="3"/>
  <c r="CK13" i="7"/>
  <c r="CJ14" i="7"/>
  <c r="CK14" i="7" s="1"/>
  <c r="CJ24" i="7"/>
  <c r="W11" i="9" s="1"/>
  <c r="DU10" i="3" s="1"/>
  <c r="CJ37" i="7"/>
  <c r="CL37" i="7" s="1"/>
  <c r="CL53" i="7"/>
  <c r="CJ54" i="7"/>
  <c r="CL54" i="7" s="1"/>
  <c r="CJ57" i="7"/>
  <c r="CK57" i="7" s="1"/>
  <c r="CJ73" i="7"/>
  <c r="CL73" i="7" s="1"/>
  <c r="CK83" i="7"/>
  <c r="AW201" i="5"/>
  <c r="AW202" i="5"/>
  <c r="CN8" i="3"/>
  <c r="CN10" i="3"/>
  <c r="CN13" i="3"/>
  <c r="CN15" i="3"/>
  <c r="B161" i="12"/>
  <c r="D161" i="12"/>
  <c r="B162" i="12"/>
  <c r="W7" i="9"/>
  <c r="DU8" i="3" s="1"/>
  <c r="CK84" i="7"/>
  <c r="CK24" i="7"/>
  <c r="CK54" i="7"/>
  <c r="CK73" i="7"/>
  <c r="CJ93" i="7"/>
  <c r="CJ34" i="7"/>
  <c r="CK34" i="7" s="1"/>
  <c r="X43" i="8"/>
  <c r="DU46" i="3" s="1"/>
  <c r="CJ123" i="7"/>
  <c r="CJ143" i="7" s="1"/>
  <c r="AS85" i="11"/>
  <c r="AS79" i="11"/>
  <c r="CJ152" i="7"/>
  <c r="CJ170" i="7" s="1"/>
  <c r="CJ114" i="7"/>
  <c r="W42" i="9" s="1"/>
  <c r="CN22" i="3"/>
  <c r="AU99" i="10"/>
  <c r="AS33" i="11"/>
  <c r="AS36" i="11" s="1"/>
  <c r="AS39" i="11" s="1"/>
  <c r="AS93" i="11" s="1"/>
  <c r="AS94" i="11" s="1"/>
  <c r="AU97" i="10"/>
  <c r="AU37" i="10"/>
  <c r="AS18" i="11"/>
  <c r="AU44" i="10"/>
  <c r="AK125" i="12"/>
  <c r="AK151" i="12"/>
  <c r="AK152" i="12"/>
  <c r="AK159" i="12"/>
  <c r="AS65" i="11"/>
  <c r="AU130" i="10"/>
  <c r="B166" i="12"/>
  <c r="J166" i="12" s="1"/>
  <c r="CO10" i="7"/>
  <c r="AP165" i="12"/>
  <c r="CO80" i="7"/>
  <c r="CP50" i="7"/>
  <c r="P113" i="7"/>
  <c r="U93" i="7"/>
  <c r="O123" i="7"/>
  <c r="O152" i="7"/>
  <c r="P93" i="7"/>
  <c r="Q93" i="7"/>
  <c r="N11" i="63"/>
  <c r="J158" i="12"/>
  <c r="AP158" i="12"/>
  <c r="AW206" i="5"/>
  <c r="BY93" i="7"/>
  <c r="BZ93" i="7"/>
  <c r="BX94" i="7"/>
  <c r="BY113" i="7"/>
  <c r="CD93" i="7"/>
  <c r="BX123" i="7"/>
  <c r="G18" i="63"/>
  <c r="G140" i="63" s="1"/>
  <c r="DL22" i="3"/>
  <c r="J19" i="21"/>
  <c r="J25" i="21"/>
  <c r="J37" i="21"/>
  <c r="J31" i="21"/>
  <c r="DQ19" i="3"/>
  <c r="S84" i="9"/>
  <c r="K15" i="63"/>
  <c r="K54" i="63" s="1"/>
  <c r="S37" i="9"/>
  <c r="CO11" i="7"/>
  <c r="K5" i="74" s="1"/>
  <c r="K6" i="74" s="1"/>
  <c r="P161" i="12"/>
  <c r="DT13" i="3"/>
  <c r="DT47" i="3" s="1"/>
  <c r="BB24" i="21"/>
  <c r="BB36" i="21"/>
  <c r="BB18" i="21"/>
  <c r="BB30" i="21"/>
  <c r="CK37" i="7"/>
  <c r="V23" i="9"/>
  <c r="AB152" i="7"/>
  <c r="AC152" i="7" s="1"/>
  <c r="AC123" i="7"/>
  <c r="AB143" i="7"/>
  <c r="CL71" i="7"/>
  <c r="CJ91" i="7"/>
  <c r="CL91" i="7" s="1"/>
  <c r="CJ75" i="7"/>
  <c r="CK75" i="7" s="1"/>
  <c r="CK35" i="7"/>
  <c r="N137" i="63"/>
  <c r="N96" i="63"/>
  <c r="L39" i="9"/>
  <c r="L40" i="9" s="1"/>
  <c r="L34" i="9"/>
  <c r="L83" i="9" s="1"/>
  <c r="M147" i="8"/>
  <c r="E140" i="63"/>
  <c r="E99" i="63"/>
  <c r="AV152" i="7"/>
  <c r="AV143" i="7"/>
  <c r="M91" i="63"/>
  <c r="AK154" i="12"/>
  <c r="AH153" i="12"/>
  <c r="R153" i="12"/>
  <c r="G91" i="7"/>
  <c r="H71" i="7"/>
  <c r="M71" i="7"/>
  <c r="DO22" i="3"/>
  <c r="I18" i="63"/>
  <c r="P84" i="9"/>
  <c r="H15" i="63"/>
  <c r="H96" i="63" s="1"/>
  <c r="DM19" i="3"/>
  <c r="L15" i="63"/>
  <c r="DR19" i="3"/>
  <c r="N35" i="21"/>
  <c r="R19" i="12"/>
  <c r="P20" i="12"/>
  <c r="AH19" i="12"/>
  <c r="N18" i="63"/>
  <c r="N57" i="63" s="1"/>
  <c r="BF25" i="21"/>
  <c r="J30" i="21"/>
  <c r="J24" i="21"/>
  <c r="N19" i="21"/>
  <c r="N25" i="21"/>
  <c r="N37" i="21"/>
  <c r="N31" i="21"/>
  <c r="DP15" i="3"/>
  <c r="J12" i="63"/>
  <c r="J134" i="63" s="1"/>
  <c r="AX17" i="21"/>
  <c r="AX35" i="21"/>
  <c r="AX29" i="21"/>
  <c r="AX23" i="21"/>
  <c r="T37" i="9"/>
  <c r="P56" i="7"/>
  <c r="BB23" i="7"/>
  <c r="T56" i="7"/>
  <c r="BY56" i="7"/>
  <c r="CG56" i="7"/>
  <c r="AX23" i="7"/>
  <c r="H56" i="7"/>
  <c r="AC56" i="7"/>
  <c r="AK56" i="7"/>
  <c r="BE56" i="7"/>
  <c r="AH46" i="12"/>
  <c r="AD73" i="7"/>
  <c r="J34" i="12"/>
  <c r="AP89" i="12"/>
  <c r="AE11" i="9"/>
  <c r="O8" i="63"/>
  <c r="CO81" i="7"/>
  <c r="CN15" i="7"/>
  <c r="CK85" i="7"/>
  <c r="CL15" i="7"/>
  <c r="CK12" i="3"/>
  <c r="CK35" i="3" s="1"/>
  <c r="BO35" i="3"/>
  <c r="CK55" i="7"/>
  <c r="AP159" i="12"/>
  <c r="AQ158" i="12" s="1"/>
  <c r="J45" i="3"/>
  <c r="J22" i="21"/>
  <c r="J16" i="21"/>
  <c r="J28" i="21"/>
  <c r="J34" i="21"/>
  <c r="Z16" i="21"/>
  <c r="Z28" i="21"/>
  <c r="Z34" i="21"/>
  <c r="Z22" i="21"/>
  <c r="BR35" i="21"/>
  <c r="BR23" i="21"/>
  <c r="BR17" i="21"/>
  <c r="BR29" i="21"/>
  <c r="J85" i="12"/>
  <c r="BY36" i="7"/>
  <c r="M23" i="9"/>
  <c r="AA81" i="10"/>
  <c r="AA88" i="10" s="1"/>
  <c r="E11" i="63"/>
  <c r="M33" i="9"/>
  <c r="M39" i="9" s="1"/>
  <c r="DJ13" i="3"/>
  <c r="M20" i="9"/>
  <c r="N55" i="8"/>
  <c r="DJ64" i="3" s="1"/>
  <c r="N84" i="9"/>
  <c r="DE22" i="3"/>
  <c r="D18" i="63"/>
  <c r="D57" i="63" s="1"/>
  <c r="DI22" i="3"/>
  <c r="L45" i="9"/>
  <c r="CJ121" i="7"/>
  <c r="CK15" i="7"/>
  <c r="R20" i="12"/>
  <c r="AH20" i="12"/>
  <c r="P21" i="12"/>
  <c r="BT45" i="3"/>
  <c r="CJ90" i="7"/>
  <c r="AA79" i="11"/>
  <c r="T123" i="7"/>
  <c r="P123" i="7"/>
  <c r="O170" i="7"/>
  <c r="O142" i="7" s="1"/>
  <c r="CF93" i="7"/>
  <c r="CL93" i="7" s="1"/>
  <c r="CG73" i="7"/>
  <c r="N93" i="63"/>
  <c r="N134" i="63"/>
  <c r="N51" i="63"/>
  <c r="Q23" i="11"/>
  <c r="I15" i="9"/>
  <c r="DJ8" i="3"/>
  <c r="M80" i="9"/>
  <c r="M81" i="9" s="1"/>
  <c r="M29" i="9"/>
  <c r="E6" i="63"/>
  <c r="AA79" i="10"/>
  <c r="Q29" i="9"/>
  <c r="CF121" i="7"/>
  <c r="CF95" i="7"/>
  <c r="CG91" i="7"/>
  <c r="E81" i="10"/>
  <c r="CC93" i="7"/>
  <c r="CB123" i="7"/>
  <c r="CG84" i="7"/>
  <c r="AW195" i="5"/>
  <c r="V7" i="9"/>
  <c r="CG14" i="7"/>
  <c r="B155" i="12"/>
  <c r="X111" i="7"/>
  <c r="Y91" i="7"/>
  <c r="W121" i="7"/>
  <c r="X91" i="7"/>
  <c r="AG110" i="7"/>
  <c r="AH90" i="7"/>
  <c r="AG90" i="7"/>
  <c r="AF120" i="7"/>
  <c r="AF96" i="7"/>
  <c r="AL90" i="7"/>
  <c r="BX167" i="7"/>
  <c r="BX140" i="7"/>
  <c r="CC120" i="7"/>
  <c r="BY120" i="7"/>
  <c r="BX125" i="7"/>
  <c r="BF75" i="7"/>
  <c r="AW76" i="7"/>
  <c r="BB76" i="7"/>
  <c r="AO74" i="7"/>
  <c r="BT122" i="7"/>
  <c r="BU92" i="7"/>
  <c r="BV92" i="7"/>
  <c r="AN167" i="7"/>
  <c r="AN157" i="7"/>
  <c r="AN149" i="7"/>
  <c r="CF75" i="7"/>
  <c r="AZ142" i="7"/>
  <c r="BU54" i="7"/>
  <c r="P28" i="9"/>
  <c r="O36" i="9"/>
  <c r="BE84" i="7"/>
  <c r="L169" i="63"/>
  <c r="L167" i="63" s="1"/>
  <c r="L75" i="63"/>
  <c r="L168" i="63" s="1"/>
  <c r="BU34" i="7"/>
  <c r="S19" i="9"/>
  <c r="X93" i="7"/>
  <c r="Y93" i="7"/>
  <c r="X113" i="7"/>
  <c r="BE15" i="7"/>
  <c r="BA25" i="7"/>
  <c r="BB15" i="7"/>
  <c r="BB16" i="7" s="1"/>
  <c r="BA15" i="7"/>
  <c r="CG71" i="7"/>
  <c r="AW74" i="7"/>
  <c r="BB74" i="7"/>
  <c r="AO113" i="7"/>
  <c r="AN123" i="7"/>
  <c r="AK160" i="12"/>
  <c r="AK81" i="10"/>
  <c r="DS64" i="3"/>
  <c r="V55" i="8"/>
  <c r="M84" i="9"/>
  <c r="DJ19" i="3"/>
  <c r="R61" i="12"/>
  <c r="J75" i="12"/>
  <c r="CM157" i="7"/>
  <c r="CM159" i="7" s="1"/>
  <c r="CU156" i="7"/>
  <c r="CU158" i="7" s="1"/>
  <c r="CN207" i="7"/>
  <c r="CO206" i="7"/>
  <c r="CN208" i="7"/>
  <c r="CO208" i="7" s="1"/>
  <c r="AN165" i="12"/>
  <c r="L165" i="12"/>
  <c r="H165" i="12"/>
  <c r="V165" i="12"/>
  <c r="N165" i="12"/>
  <c r="CN182" i="7"/>
  <c r="CN200" i="7"/>
  <c r="CN183" i="7"/>
  <c r="CP27" i="3" a="1"/>
  <c r="CN70" i="7"/>
  <c r="CK91" i="7"/>
  <c r="BY94" i="7"/>
  <c r="N37" i="63"/>
  <c r="N91" i="63"/>
  <c r="N118" i="63" s="1"/>
  <c r="N50" i="63"/>
  <c r="CK111" i="7"/>
  <c r="L43" i="9"/>
  <c r="L88" i="9" s="1"/>
  <c r="L89" i="9" s="1"/>
  <c r="L91" i="9" s="1"/>
  <c r="L93" i="9" s="1"/>
  <c r="I57" i="63"/>
  <c r="I140" i="63"/>
  <c r="I99" i="63"/>
  <c r="G99" i="63"/>
  <c r="M91" i="7"/>
  <c r="I91" i="7"/>
  <c r="G111" i="7"/>
  <c r="H91" i="7"/>
  <c r="AN152" i="7"/>
  <c r="AS123" i="7"/>
  <c r="AK87" i="10"/>
  <c r="AK88" i="10"/>
  <c r="H12" i="63"/>
  <c r="H51" i="63" s="1"/>
  <c r="CG75" i="7"/>
  <c r="CH75" i="7"/>
  <c r="CL75" i="7"/>
  <c r="AS79" i="10"/>
  <c r="AS84" i="10" s="1"/>
  <c r="AQ66" i="11"/>
  <c r="AQ67" i="11" s="1"/>
  <c r="V37" i="9"/>
  <c r="V20" i="9"/>
  <c r="AS66" i="11"/>
  <c r="AA84" i="10"/>
  <c r="AA85" i="10"/>
  <c r="CK110" i="7"/>
  <c r="CL90" i="7"/>
  <c r="CJ95" i="7"/>
  <c r="CJ120" i="7"/>
  <c r="CJ96" i="7"/>
  <c r="CK90" i="7"/>
  <c r="CK121" i="7"/>
  <c r="CJ150" i="7"/>
  <c r="CJ141" i="7"/>
  <c r="CJ168" i="7"/>
  <c r="P152" i="7"/>
  <c r="T152" i="7"/>
  <c r="DQ64" i="3"/>
  <c r="DQ13" i="3"/>
  <c r="DQ47" i="3" s="1"/>
  <c r="S23" i="9"/>
  <c r="AM81" i="10"/>
  <c r="AM87" i="10" s="1"/>
  <c r="K11" i="63"/>
  <c r="K37" i="63" s="1"/>
  <c r="T55" i="8"/>
  <c r="S20" i="9"/>
  <c r="W141" i="7"/>
  <c r="W168" i="7"/>
  <c r="W150" i="7"/>
  <c r="L46" i="9"/>
  <c r="AG116" i="7"/>
  <c r="AG96" i="7"/>
  <c r="BT142" i="7"/>
  <c r="BU122" i="7"/>
  <c r="BY122" i="7"/>
  <c r="BT151" i="7"/>
  <c r="BY151" i="7" s="1"/>
  <c r="AF140" i="7"/>
  <c r="AF149" i="7"/>
  <c r="AF167" i="7"/>
  <c r="CF141" i="7"/>
  <c r="CF150" i="7"/>
  <c r="CF125" i="7"/>
  <c r="CF168" i="7"/>
  <c r="CF172" i="7" s="1"/>
  <c r="CH93" i="7"/>
  <c r="CF123" i="7"/>
  <c r="CF152" i="7" s="1"/>
  <c r="CG113" i="7"/>
  <c r="CG93" i="7"/>
  <c r="DJ36" i="3"/>
  <c r="O47" i="63"/>
  <c r="O88" i="63"/>
  <c r="CN90" i="7"/>
  <c r="CP70" i="7"/>
  <c r="CO70" i="7"/>
  <c r="AF165" i="12"/>
  <c r="P165" i="12"/>
  <c r="CN120" i="7"/>
  <c r="H111" i="7"/>
  <c r="G121" i="7"/>
  <c r="CO110" i="7"/>
  <c r="BU151" i="7"/>
  <c r="BT169" i="7"/>
  <c r="CK150" i="7"/>
  <c r="AM88" i="10"/>
  <c r="CJ140" i="7"/>
  <c r="CJ167" i="7"/>
  <c r="CK167" i="7" s="1"/>
  <c r="CJ125" i="7"/>
  <c r="CK125" i="7" s="1"/>
  <c r="CK120" i="7"/>
  <c r="CJ149" i="7"/>
  <c r="CK149" i="7" s="1"/>
  <c r="CJ126" i="7"/>
  <c r="H93" i="63"/>
  <c r="CK95" i="7"/>
  <c r="CK115" i="7"/>
  <c r="AS85" i="10"/>
  <c r="AO152" i="7"/>
  <c r="AS152" i="7"/>
  <c r="CP90" i="7"/>
  <c r="CO90" i="7"/>
  <c r="CN149" i="7"/>
  <c r="CN167" i="7"/>
  <c r="CO120" i="7"/>
  <c r="CN140" i="7"/>
  <c r="CO140" i="7" s="1"/>
  <c r="BU169" i="7"/>
  <c r="BY169" i="7"/>
  <c r="C44" i="73"/>
  <c r="K91" i="63"/>
  <c r="K50" i="63"/>
  <c r="K69" i="63" s="1"/>
  <c r="L137" i="63"/>
  <c r="L54" i="63"/>
  <c r="O54" i="63"/>
  <c r="O96" i="63"/>
  <c r="C146" i="63"/>
  <c r="L93" i="63"/>
  <c r="L134" i="63"/>
  <c r="O137" i="63"/>
  <c r="M63" i="63"/>
  <c r="M148" i="63"/>
  <c r="M146" i="63" s="1"/>
  <c r="J75" i="63"/>
  <c r="J167" i="63"/>
  <c r="J117" i="63"/>
  <c r="L96" i="63"/>
  <c r="M69" i="63"/>
  <c r="M159" i="63" s="1"/>
  <c r="N99" i="63"/>
  <c r="J57" i="63"/>
  <c r="J140" i="63"/>
  <c r="J99" i="63"/>
  <c r="D54" i="63"/>
  <c r="D137" i="63"/>
  <c r="N76" i="63"/>
  <c r="J93" i="63"/>
  <c r="J133" i="63"/>
  <c r="C133" i="63"/>
  <c r="C140" i="63"/>
  <c r="C57" i="63"/>
  <c r="M86" i="63"/>
  <c r="M111" i="63" s="1"/>
  <c r="M161" i="63" s="1"/>
  <c r="M30" i="63"/>
  <c r="M160" i="63" s="1"/>
  <c r="M158" i="63" s="1"/>
  <c r="N169" i="63"/>
  <c r="N167" i="63" s="1"/>
  <c r="N117" i="63"/>
  <c r="N170" i="63" s="1"/>
  <c r="D86" i="63"/>
  <c r="D90" i="63" s="1"/>
  <c r="D110" i="63" s="1"/>
  <c r="C99" i="63"/>
  <c r="E128" i="63"/>
  <c r="E86" i="63"/>
  <c r="E45" i="63"/>
  <c r="K86" i="63"/>
  <c r="K128" i="63"/>
  <c r="E134" i="63"/>
  <c r="E93" i="63"/>
  <c r="E54" i="63"/>
  <c r="E96" i="63"/>
  <c r="E137" i="63"/>
  <c r="Q73" i="10"/>
  <c r="O141" i="7"/>
  <c r="Z206" i="5"/>
  <c r="V166" i="12"/>
  <c r="N166" i="12"/>
  <c r="L166" i="12"/>
  <c r="H166" i="12"/>
  <c r="AP166" i="12"/>
  <c r="AQ165" i="12" s="1"/>
  <c r="CH11" i="21"/>
  <c r="CH23" i="21" s="1"/>
  <c r="CP51" i="7"/>
  <c r="CN55" i="7"/>
  <c r="CN25" i="7"/>
  <c r="CN71" i="7"/>
  <c r="CP71" i="7" s="1"/>
  <c r="D166" i="12"/>
  <c r="CN35" i="7"/>
  <c r="CO35" i="7" s="1"/>
  <c r="CP31" i="7"/>
  <c r="M147" i="63"/>
  <c r="M105" i="63"/>
  <c r="M149" i="63" s="1"/>
  <c r="Z207" i="5"/>
  <c r="Z167" i="12" s="1"/>
  <c r="CO55" i="7"/>
  <c r="CN115" i="7"/>
  <c r="S142" i="7" l="1"/>
  <c r="T142" i="7" s="1"/>
  <c r="BX172" i="7"/>
  <c r="BX173" i="7" s="1"/>
  <c r="BY167" i="7"/>
  <c r="CK168" i="7"/>
  <c r="AW143" i="7"/>
  <c r="CC167" i="7"/>
  <c r="CO167" i="7"/>
  <c r="AC143" i="7"/>
  <c r="CJ172" i="7"/>
  <c r="CK172" i="7" s="1"/>
  <c r="CK141" i="7"/>
  <c r="CG167" i="7"/>
  <c r="O172" i="7"/>
  <c r="O173" i="7" s="1"/>
  <c r="AO142" i="7"/>
  <c r="CJ144" i="7"/>
  <c r="E72" i="10"/>
  <c r="BA107" i="10"/>
  <c r="BA119" i="10" s="1"/>
  <c r="BC24" i="10"/>
  <c r="AB205" i="5"/>
  <c r="AV46" i="7"/>
  <c r="AW46" i="7" s="1"/>
  <c r="AZ158" i="7"/>
  <c r="BA41" i="7"/>
  <c r="BB41" i="7"/>
  <c r="J70" i="3"/>
  <c r="O70" i="3"/>
  <c r="V70" i="3"/>
  <c r="AY70" i="3"/>
  <c r="BC70" i="3"/>
  <c r="CQ71" i="3"/>
  <c r="BO70" i="3"/>
  <c r="P70" i="3"/>
  <c r="AH70" i="3"/>
  <c r="AZ70" i="3"/>
  <c r="BG70" i="3"/>
  <c r="AM70" i="3"/>
  <c r="AK103" i="12"/>
  <c r="AB43" i="21"/>
  <c r="Y10" i="21"/>
  <c r="Q12" i="21"/>
  <c r="AQ88" i="12"/>
  <c r="AK76" i="12"/>
  <c r="Y12" i="21"/>
  <c r="AK98" i="12"/>
  <c r="AQ117" i="12"/>
  <c r="P19" i="12"/>
  <c r="X25" i="12"/>
  <c r="AF62" i="12"/>
  <c r="AK21" i="12"/>
  <c r="AF20" i="12"/>
  <c r="Z82" i="5"/>
  <c r="AI82" i="5" s="1"/>
  <c r="AK82" i="12"/>
  <c r="AD47" i="12"/>
  <c r="AK18" i="12"/>
  <c r="Q34" i="21"/>
  <c r="AF76" i="12"/>
  <c r="Y35" i="21"/>
  <c r="AK75" i="12"/>
  <c r="AF103" i="12"/>
  <c r="AK97" i="12"/>
  <c r="U11" i="21"/>
  <c r="X21" i="12"/>
  <c r="U10" i="21"/>
  <c r="M10" i="21"/>
  <c r="AF40" i="12"/>
  <c r="Q11" i="21"/>
  <c r="Q10" i="21"/>
  <c r="P75" i="12"/>
  <c r="AK119" i="12"/>
  <c r="Y11" i="21"/>
  <c r="AD26" i="12"/>
  <c r="AD46" i="12"/>
  <c r="P49" i="12"/>
  <c r="P56" i="12"/>
  <c r="AQ89" i="12"/>
  <c r="AK81" i="12"/>
  <c r="Z61" i="5"/>
  <c r="X27" i="12"/>
  <c r="AD25" i="12"/>
  <c r="AD39" i="12"/>
  <c r="AD41" i="12"/>
  <c r="P33" i="12"/>
  <c r="S24" i="72"/>
  <c r="T21" i="72" s="1"/>
  <c r="T24" i="72" s="1"/>
  <c r="M35" i="72"/>
  <c r="M37" i="72"/>
  <c r="M39" i="72" s="1"/>
  <c r="V155" i="72"/>
  <c r="U171" i="72"/>
  <c r="U23" i="72" s="1"/>
  <c r="U12" i="72" s="1"/>
  <c r="U13" i="72" s="1"/>
  <c r="N30" i="72"/>
  <c r="N15" i="72" s="1"/>
  <c r="AZ45" i="7"/>
  <c r="AZ46" i="7" s="1"/>
  <c r="BH42" i="7"/>
  <c r="BJ42" i="7" s="1"/>
  <c r="AD36" i="7"/>
  <c r="BF42" i="7"/>
  <c r="BB36" i="7"/>
  <c r="AT14" i="3"/>
  <c r="AX43" i="7"/>
  <c r="BA40" i="7"/>
  <c r="AR14" i="3"/>
  <c r="BD40" i="7"/>
  <c r="BF41" i="7"/>
  <c r="AX14" i="3"/>
  <c r="BH41" i="7"/>
  <c r="BE41" i="7"/>
  <c r="AW36" i="7"/>
  <c r="BB45" i="7"/>
  <c r="BD45" i="7"/>
  <c r="BD46" i="7" s="1"/>
  <c r="BE46" i="7" s="1"/>
  <c r="AS14" i="3"/>
  <c r="AW43" i="7"/>
  <c r="AW14" i="3"/>
  <c r="BA42" i="7"/>
  <c r="AZ43" i="7"/>
  <c r="BI36" i="7"/>
  <c r="CS46" i="3"/>
  <c r="C37" i="59" s="1"/>
  <c r="AB207" i="5"/>
  <c r="E20" i="9"/>
  <c r="K117" i="10"/>
  <c r="G114" i="8"/>
  <c r="G140" i="8" s="1"/>
  <c r="E60" i="3" s="1"/>
  <c r="CH16" i="7"/>
  <c r="AQ118" i="5"/>
  <c r="T47" i="12"/>
  <c r="V47" i="12" s="1"/>
  <c r="X47" i="12" s="1"/>
  <c r="C101" i="5"/>
  <c r="G101" i="5" s="1"/>
  <c r="T35" i="5"/>
  <c r="AB164" i="5"/>
  <c r="C96" i="5"/>
  <c r="G96" i="5" s="1"/>
  <c r="AO97" i="5"/>
  <c r="AI150" i="5"/>
  <c r="AB137" i="5"/>
  <c r="AI54" i="5"/>
  <c r="AK54" i="5" s="1"/>
  <c r="M67" i="5"/>
  <c r="AB129" i="5"/>
  <c r="AB165" i="5"/>
  <c r="V38" i="5"/>
  <c r="X111" i="12"/>
  <c r="M32" i="5"/>
  <c r="O32" i="5" s="1"/>
  <c r="M38" i="5"/>
  <c r="O38" i="5" s="1"/>
  <c r="M27" i="5"/>
  <c r="O27" i="5" s="1"/>
  <c r="H8" i="8"/>
  <c r="H113" i="8" s="1"/>
  <c r="AQ87" i="5"/>
  <c r="T136" i="5"/>
  <c r="T13" i="5"/>
  <c r="M73" i="5"/>
  <c r="AP30" i="21"/>
  <c r="AP24" i="21"/>
  <c r="AP18" i="21"/>
  <c r="AP36" i="21"/>
  <c r="M18" i="63"/>
  <c r="DS22" i="3"/>
  <c r="J29" i="21"/>
  <c r="J35" i="21"/>
  <c r="J23" i="21"/>
  <c r="J17" i="21"/>
  <c r="R16" i="21"/>
  <c r="R34" i="21"/>
  <c r="R28" i="21"/>
  <c r="R22" i="21"/>
  <c r="AD19" i="21"/>
  <c r="AD37" i="21"/>
  <c r="AD31" i="21"/>
  <c r="AD25" i="21"/>
  <c r="BR24" i="21"/>
  <c r="BR36" i="21"/>
  <c r="BR18" i="21"/>
  <c r="BR30" i="21"/>
  <c r="AF25" i="12"/>
  <c r="AK25" i="12"/>
  <c r="P25" i="12"/>
  <c r="AH21" i="12"/>
  <c r="R21" i="12"/>
  <c r="P117" i="12"/>
  <c r="R116" i="12"/>
  <c r="AH116" i="12"/>
  <c r="AF117" i="12"/>
  <c r="AK117" i="12"/>
  <c r="BF36" i="7"/>
  <c r="BJ36" i="7"/>
  <c r="BE36" i="7"/>
  <c r="BE91" i="7"/>
  <c r="BD95" i="7"/>
  <c r="BD121" i="7"/>
  <c r="BE111" i="7"/>
  <c r="BF91" i="7"/>
  <c r="AO36" i="21"/>
  <c r="AN42" i="21"/>
  <c r="AF123" i="12"/>
  <c r="P123" i="12"/>
  <c r="AK123" i="12"/>
  <c r="CF170" i="7"/>
  <c r="CK152" i="7"/>
  <c r="N28" i="21"/>
  <c r="N34" i="21"/>
  <c r="N22" i="21"/>
  <c r="N16" i="21"/>
  <c r="AH34" i="12"/>
  <c r="AF35" i="12"/>
  <c r="P35" i="12"/>
  <c r="AK35" i="12"/>
  <c r="R34" i="12"/>
  <c r="BN29" i="21"/>
  <c r="BN35" i="21"/>
  <c r="BN23" i="21"/>
  <c r="BN17" i="21"/>
  <c r="AD242" i="5"/>
  <c r="Z23" i="21"/>
  <c r="Z29" i="21"/>
  <c r="Z17" i="21"/>
  <c r="Z35" i="21"/>
  <c r="BR16" i="21"/>
  <c r="BR34" i="21"/>
  <c r="R25" i="12"/>
  <c r="AF26" i="12"/>
  <c r="AH25" i="12"/>
  <c r="AK26" i="12"/>
  <c r="P26" i="12"/>
  <c r="U36" i="7"/>
  <c r="Q36" i="7"/>
  <c r="P36" i="7"/>
  <c r="AI14" i="3"/>
  <c r="AX41" i="7"/>
  <c r="AS41" i="7"/>
  <c r="AR45" i="7"/>
  <c r="AS45" i="7" s="1"/>
  <c r="P147" i="12"/>
  <c r="AK147" i="12"/>
  <c r="H155" i="12"/>
  <c r="AK155" i="12" s="1"/>
  <c r="AF147" i="12"/>
  <c r="CT21" i="7"/>
  <c r="CP21" i="7"/>
  <c r="BA12" i="10"/>
  <c r="BC12" i="10" s="1"/>
  <c r="AW27" i="11"/>
  <c r="AK126" i="12"/>
  <c r="P126" i="12"/>
  <c r="R125" i="12"/>
  <c r="AH125" i="12"/>
  <c r="H127" i="12"/>
  <c r="P127" i="12" s="1"/>
  <c r="CC53" i="3" s="1"/>
  <c r="P124" i="12"/>
  <c r="AF124" i="12"/>
  <c r="AK124" i="12"/>
  <c r="G92" i="7"/>
  <c r="H72" i="7"/>
  <c r="M72" i="7"/>
  <c r="BZ18" i="21"/>
  <c r="BZ22" i="21"/>
  <c r="BZ28" i="21"/>
  <c r="BZ17" i="21"/>
  <c r="BZ19" i="21"/>
  <c r="BZ16" i="21"/>
  <c r="BZ34" i="21"/>
  <c r="V25" i="21"/>
  <c r="V19" i="21"/>
  <c r="V31" i="21"/>
  <c r="V37" i="21"/>
  <c r="AT28" i="21"/>
  <c r="AT22" i="21"/>
  <c r="AT16" i="21"/>
  <c r="AT34" i="21"/>
  <c r="AH139" i="12"/>
  <c r="R139" i="12"/>
  <c r="O74" i="7"/>
  <c r="P74" i="7" s="1"/>
  <c r="P54" i="7"/>
  <c r="E28" i="9"/>
  <c r="DB15" i="3" s="1"/>
  <c r="AN95" i="7"/>
  <c r="AN121" i="7"/>
  <c r="AO111" i="7"/>
  <c r="AT91" i="7"/>
  <c r="AN94" i="7"/>
  <c r="AO91" i="7"/>
  <c r="AN96" i="7"/>
  <c r="CB121" i="7"/>
  <c r="CC111" i="7"/>
  <c r="CC91" i="7"/>
  <c r="CH91" i="7"/>
  <c r="CD91" i="7"/>
  <c r="CB95" i="7"/>
  <c r="DF19" i="3"/>
  <c r="DF27" i="3"/>
  <c r="J60" i="9"/>
  <c r="R57" i="13"/>
  <c r="R51" i="13"/>
  <c r="BG87" i="5"/>
  <c r="F6" i="74"/>
  <c r="V20" i="5"/>
  <c r="I37" i="9"/>
  <c r="AB156" i="5"/>
  <c r="BB113" i="7"/>
  <c r="H58" i="13"/>
  <c r="O45" i="5"/>
  <c r="K49" i="5"/>
  <c r="M56" i="5" s="1"/>
  <c r="O56" i="5" s="1"/>
  <c r="BK94" i="5"/>
  <c r="AD243" i="5"/>
  <c r="M264" i="5"/>
  <c r="AQ131" i="12"/>
  <c r="E15" i="7"/>
  <c r="E16" i="7" s="1"/>
  <c r="X54" i="7"/>
  <c r="AW56" i="7"/>
  <c r="AO84" i="7"/>
  <c r="U118" i="8"/>
  <c r="Q51" i="11"/>
  <c r="AK51" i="11"/>
  <c r="T59" i="13"/>
  <c r="AH58" i="13"/>
  <c r="P36" i="21"/>
  <c r="AJ34" i="21"/>
  <c r="BQ18" i="21"/>
  <c r="U30" i="21"/>
  <c r="AS28" i="21"/>
  <c r="AD33" i="12"/>
  <c r="AB118" i="12"/>
  <c r="AD118" i="12" s="1"/>
  <c r="AB123" i="12"/>
  <c r="AD123" i="12" s="1"/>
  <c r="V137" i="12"/>
  <c r="CK44" i="7"/>
  <c r="CC29" i="21"/>
  <c r="BM29" i="21"/>
  <c r="M206" i="5"/>
  <c r="AN56" i="13"/>
  <c r="CP35" i="7"/>
  <c r="CK170" i="7"/>
  <c r="BA30" i="10"/>
  <c r="P95" i="12"/>
  <c r="R99" i="12"/>
  <c r="CJ151" i="7"/>
  <c r="CJ169" i="7" s="1"/>
  <c r="AY86" i="10"/>
  <c r="BA86" i="10" s="1"/>
  <c r="BC86" i="10" s="1"/>
  <c r="BE86" i="10" s="1"/>
  <c r="BG86" i="10" s="1"/>
  <c r="CN54" i="3"/>
  <c r="C111" i="7"/>
  <c r="AS169" i="7"/>
  <c r="AX178" i="7"/>
  <c r="F56" i="13"/>
  <c r="AI53" i="5"/>
  <c r="AK53" i="5" s="1"/>
  <c r="T60" i="5"/>
  <c r="AB179" i="5"/>
  <c r="AB186" i="5"/>
  <c r="G266" i="5"/>
  <c r="P25" i="7"/>
  <c r="CC24" i="7"/>
  <c r="CD24" i="7" s="1"/>
  <c r="P86" i="7"/>
  <c r="F118" i="8"/>
  <c r="J118" i="8"/>
  <c r="K112" i="10"/>
  <c r="AY70" i="11"/>
  <c r="BC70" i="11" s="1"/>
  <c r="AW70" i="11"/>
  <c r="BA70" i="11" s="1"/>
  <c r="BE70" i="11" s="1"/>
  <c r="J58" i="13"/>
  <c r="AB58" i="13"/>
  <c r="L59" i="13"/>
  <c r="Q16" i="21"/>
  <c r="AO16" i="21"/>
  <c r="M28" i="21"/>
  <c r="U28" i="21"/>
  <c r="Y30" i="21"/>
  <c r="BE31" i="21"/>
  <c r="AD27" i="12"/>
  <c r="X34" i="12"/>
  <c r="AD55" i="12"/>
  <c r="P62" i="12"/>
  <c r="H68" i="12"/>
  <c r="AB102" i="12"/>
  <c r="V146" i="12"/>
  <c r="X153" i="12" s="1"/>
  <c r="AP144" i="12"/>
  <c r="AO33" i="11"/>
  <c r="AQ130" i="10" s="1"/>
  <c r="AJ53" i="13"/>
  <c r="AC118" i="8"/>
  <c r="CO71" i="7"/>
  <c r="CK140" i="7"/>
  <c r="CF143" i="7"/>
  <c r="CG143" i="7" s="1"/>
  <c r="CO207" i="7"/>
  <c r="CG123" i="7"/>
  <c r="W9" i="9"/>
  <c r="CK143" i="7"/>
  <c r="AK95" i="12"/>
  <c r="AB201" i="5"/>
  <c r="X36" i="9"/>
  <c r="X32" i="8"/>
  <c r="CK25" i="7"/>
  <c r="M42" i="5"/>
  <c r="E6" i="74"/>
  <c r="BB75" i="7"/>
  <c r="C49" i="63"/>
  <c r="C68" i="63" s="1"/>
  <c r="AR70" i="3"/>
  <c r="G35" i="5"/>
  <c r="M40" i="5"/>
  <c r="T74" i="5"/>
  <c r="BG74" i="5"/>
  <c r="BI81" i="5" s="1"/>
  <c r="M186" i="5"/>
  <c r="AK242" i="5"/>
  <c r="AB256" i="5"/>
  <c r="AG76" i="7"/>
  <c r="AS86" i="7"/>
  <c r="O118" i="8"/>
  <c r="S118" i="8"/>
  <c r="W118" i="8"/>
  <c r="AA118" i="8"/>
  <c r="I69" i="11"/>
  <c r="I73" i="11" s="1"/>
  <c r="I75" i="11" s="1"/>
  <c r="I76" i="11" s="1"/>
  <c r="AA113" i="10"/>
  <c r="S51" i="11"/>
  <c r="AC84" i="11"/>
  <c r="R59" i="13"/>
  <c r="T56" i="13"/>
  <c r="Z34" i="13"/>
  <c r="Z58" i="13" s="1"/>
  <c r="U16" i="21"/>
  <c r="BM16" i="21"/>
  <c r="AO19" i="21"/>
  <c r="M29" i="21"/>
  <c r="Q29" i="21"/>
  <c r="U29" i="21"/>
  <c r="AW29" i="21"/>
  <c r="BI28" i="21"/>
  <c r="H22" i="12"/>
  <c r="AK22" i="12" s="1"/>
  <c r="X32" i="12"/>
  <c r="AD34" i="12"/>
  <c r="AB68" i="12"/>
  <c r="AD68" i="12" s="1"/>
  <c r="AB103" i="12"/>
  <c r="AD110" i="12" s="1"/>
  <c r="V123" i="12"/>
  <c r="CC28" i="21"/>
  <c r="CB34" i="21"/>
  <c r="CC34" i="21" s="1"/>
  <c r="M207" i="5"/>
  <c r="CC31" i="21"/>
  <c r="CG28" i="21"/>
  <c r="O36" i="63"/>
  <c r="W28" i="9"/>
  <c r="AY27" i="11"/>
  <c r="V55" i="5"/>
  <c r="BA167" i="7"/>
  <c r="AF126" i="12"/>
  <c r="BW45" i="3"/>
  <c r="CG45" i="3"/>
  <c r="P12" i="3"/>
  <c r="AE12" i="3"/>
  <c r="AE35" i="3" s="1"/>
  <c r="AJ12" i="3"/>
  <c r="AJ35" i="3" s="1"/>
  <c r="O47" i="3"/>
  <c r="T37" i="3"/>
  <c r="Y47" i="3"/>
  <c r="AP47" i="3"/>
  <c r="BD47" i="3"/>
  <c r="BS37" i="3"/>
  <c r="BX36" i="3"/>
  <c r="AI47" i="3"/>
  <c r="AS70" i="3"/>
  <c r="O24" i="5"/>
  <c r="O41" i="5"/>
  <c r="M54" i="5"/>
  <c r="O54" i="5" s="1"/>
  <c r="T54" i="5"/>
  <c r="V54" i="5" s="1"/>
  <c r="AD54" i="5" s="1"/>
  <c r="BG67" i="5"/>
  <c r="AU165" i="5"/>
  <c r="AI243" i="5"/>
  <c r="AK243" i="5" s="1"/>
  <c r="AD250" i="5"/>
  <c r="AI249" i="5"/>
  <c r="AG259" i="5"/>
  <c r="AT23" i="7"/>
  <c r="BU51" i="7"/>
  <c r="AC85" i="7"/>
  <c r="B19" i="8"/>
  <c r="D118" i="8"/>
  <c r="D124" i="8" s="1"/>
  <c r="CZ53" i="3" s="1"/>
  <c r="CZ70" i="3" s="1"/>
  <c r="L118" i="8"/>
  <c r="P118" i="8"/>
  <c r="X118" i="8"/>
  <c r="T58" i="13"/>
  <c r="F50" i="13"/>
  <c r="H35" i="13"/>
  <c r="L51" i="13"/>
  <c r="P59" i="13"/>
  <c r="V32" i="13"/>
  <c r="Z35" i="13"/>
  <c r="BI18" i="21"/>
  <c r="BT36" i="21"/>
  <c r="BY36" i="21" s="1"/>
  <c r="Y18" i="21"/>
  <c r="D35" i="21"/>
  <c r="M30" i="21"/>
  <c r="AW30" i="21"/>
  <c r="BE29" i="21"/>
  <c r="AF36" i="21"/>
  <c r="AD53" i="12"/>
  <c r="AB69" i="12"/>
  <c r="AD69" i="12" s="1"/>
  <c r="AH74" i="12"/>
  <c r="R88" i="12"/>
  <c r="AB97" i="12"/>
  <c r="AB104" i="12"/>
  <c r="V132" i="12"/>
  <c r="X132" i="12" s="1"/>
  <c r="H146" i="12"/>
  <c r="V144" i="12"/>
  <c r="AB145" i="12"/>
  <c r="AD152" i="12" s="1"/>
  <c r="J146" i="12"/>
  <c r="CL71" i="3"/>
  <c r="CG16" i="21"/>
  <c r="K118" i="8"/>
  <c r="W131" i="8"/>
  <c r="W132" i="8" s="1"/>
  <c r="T132" i="8"/>
  <c r="Z251" i="5"/>
  <c r="W135" i="8"/>
  <c r="P135" i="8"/>
  <c r="S135" i="8"/>
  <c r="R135" i="8"/>
  <c r="DT59" i="3"/>
  <c r="DT69" i="3" s="1"/>
  <c r="N131" i="8"/>
  <c r="N132" i="8" s="1"/>
  <c r="G118" i="8"/>
  <c r="K69" i="11" s="1"/>
  <c r="K73" i="11" s="1"/>
  <c r="K75" i="11" s="1"/>
  <c r="K76" i="11" s="1"/>
  <c r="O135" i="8"/>
  <c r="I73" i="8"/>
  <c r="I78" i="8" s="1"/>
  <c r="J135" i="8"/>
  <c r="N135" i="8"/>
  <c r="AF134" i="8"/>
  <c r="K86" i="8"/>
  <c r="I118" i="8"/>
  <c r="M118" i="8"/>
  <c r="Q118" i="8"/>
  <c r="K131" i="8"/>
  <c r="K132" i="8" s="1"/>
  <c r="R131" i="8"/>
  <c r="S132" i="8" s="1"/>
  <c r="E57" i="3"/>
  <c r="X135" i="8"/>
  <c r="DF59" i="3"/>
  <c r="DF69" i="3" s="1"/>
  <c r="J86" i="8"/>
  <c r="E118" i="8"/>
  <c r="G69" i="11" s="1"/>
  <c r="G73" i="11" s="1"/>
  <c r="G75" i="11" s="1"/>
  <c r="G76" i="11" s="1"/>
  <c r="N118" i="8"/>
  <c r="V135" i="8"/>
  <c r="D37" i="9"/>
  <c r="DA8" i="3"/>
  <c r="DA12" i="3" s="1"/>
  <c r="DA35" i="3" s="1"/>
  <c r="D31" i="8"/>
  <c r="E114" i="8"/>
  <c r="E140" i="8" s="1"/>
  <c r="F10" i="8"/>
  <c r="CZ8" i="3"/>
  <c r="CZ12" i="3" s="1"/>
  <c r="CZ35" i="3" s="1"/>
  <c r="C12" i="9"/>
  <c r="I70" i="3"/>
  <c r="Q70" i="3"/>
  <c r="AA70" i="3"/>
  <c r="AE70" i="3"/>
  <c r="AU70" i="3"/>
  <c r="BD70" i="3"/>
  <c r="CG70" i="3"/>
  <c r="K70" i="3"/>
  <c r="U70" i="3"/>
  <c r="AX70" i="3"/>
  <c r="BW70" i="3"/>
  <c r="P35" i="3"/>
  <c r="P17" i="3"/>
  <c r="P31" i="3" s="1"/>
  <c r="P42" i="3" s="1"/>
  <c r="BX47" i="3"/>
  <c r="BW12" i="3"/>
  <c r="CH37" i="3"/>
  <c r="F12" i="3"/>
  <c r="F35" i="3" s="1"/>
  <c r="U12" i="3"/>
  <c r="U35" i="3" s="1"/>
  <c r="CB45" i="3"/>
  <c r="CI47" i="3"/>
  <c r="AS45" i="3"/>
  <c r="Q45" i="3"/>
  <c r="AH45" i="3"/>
  <c r="AJ37" i="3"/>
  <c r="AP37" i="3"/>
  <c r="BH47" i="3"/>
  <c r="BR37" i="3"/>
  <c r="BW47" i="3"/>
  <c r="CH47" i="3"/>
  <c r="DH47" i="3"/>
  <c r="G37" i="3"/>
  <c r="AT45" i="3"/>
  <c r="BB12" i="3"/>
  <c r="BB35" i="3" s="1"/>
  <c r="CD47" i="3"/>
  <c r="Z12" i="3"/>
  <c r="Z35" i="3" s="1"/>
  <c r="DH36" i="3"/>
  <c r="BC47" i="3"/>
  <c r="BR47" i="3"/>
  <c r="DG36" i="3"/>
  <c r="V45" i="3"/>
  <c r="CC17" i="3"/>
  <c r="CC31" i="3" s="1"/>
  <c r="CC42" i="3" s="1"/>
  <c r="BI37" i="3"/>
  <c r="CB35" i="3"/>
  <c r="BR36" i="3"/>
  <c r="BM47" i="3"/>
  <c r="DI36" i="3"/>
  <c r="D114" i="8"/>
  <c r="DB36" i="3"/>
  <c r="E37" i="9"/>
  <c r="F14" i="9"/>
  <c r="K118" i="10"/>
  <c r="F114" i="8"/>
  <c r="F140" i="8" s="1"/>
  <c r="G141" i="8" s="1"/>
  <c r="E17" i="9"/>
  <c r="C114" i="8"/>
  <c r="L57" i="63"/>
  <c r="L99" i="63"/>
  <c r="M40" i="9"/>
  <c r="M43" i="9"/>
  <c r="M45" i="9"/>
  <c r="M46" i="9" s="1"/>
  <c r="AO43" i="7"/>
  <c r="AT43" i="7"/>
  <c r="AF14" i="3"/>
  <c r="Q86" i="11"/>
  <c r="Q84" i="11"/>
  <c r="G130" i="63"/>
  <c r="G47" i="63"/>
  <c r="D30" i="63"/>
  <c r="E35" i="63"/>
  <c r="H63" i="63"/>
  <c r="H105" i="63" s="1"/>
  <c r="D128" i="63"/>
  <c r="M10" i="63"/>
  <c r="M29" i="63" s="1"/>
  <c r="M156" i="63" s="1"/>
  <c r="M154" i="63" s="1"/>
  <c r="K133" i="63"/>
  <c r="N147" i="8"/>
  <c r="H137" i="63"/>
  <c r="J91" i="63"/>
  <c r="K118" i="63" s="1"/>
  <c r="I12" i="9"/>
  <c r="J8" i="9"/>
  <c r="S66" i="11"/>
  <c r="S67" i="11" s="1"/>
  <c r="AQ84" i="10"/>
  <c r="DR22" i="3"/>
  <c r="D20" i="9"/>
  <c r="D29" i="9"/>
  <c r="W29" i="9"/>
  <c r="DB12" i="3"/>
  <c r="DB35" i="3" s="1"/>
  <c r="E33" i="9"/>
  <c r="AN40" i="7"/>
  <c r="AC14" i="3" s="1"/>
  <c r="AN42" i="7"/>
  <c r="AT42" i="7" s="1"/>
  <c r="M59" i="10"/>
  <c r="G23" i="9"/>
  <c r="DF8" i="3"/>
  <c r="DF12" i="3" s="1"/>
  <c r="DF35" i="3" s="1"/>
  <c r="K93" i="63"/>
  <c r="N63" i="63"/>
  <c r="J23" i="9"/>
  <c r="H23" i="9"/>
  <c r="I60" i="9"/>
  <c r="C86" i="63"/>
  <c r="C90" i="63" s="1"/>
  <c r="C110" i="63" s="1"/>
  <c r="S72" i="9"/>
  <c r="DQ29" i="3" s="1"/>
  <c r="DQ27" i="3"/>
  <c r="D45" i="63"/>
  <c r="D74" i="63" s="1"/>
  <c r="C30" i="63"/>
  <c r="J51" i="63"/>
  <c r="D99" i="63"/>
  <c r="K30" i="63"/>
  <c r="M34" i="9"/>
  <c r="M83" i="9" s="1"/>
  <c r="D140" i="63"/>
  <c r="H54" i="63"/>
  <c r="G57" i="63"/>
  <c r="I29" i="9"/>
  <c r="S119" i="10"/>
  <c r="E8" i="9"/>
  <c r="DB45" i="3" s="1"/>
  <c r="D33" i="9"/>
  <c r="I117" i="10"/>
  <c r="E29" i="9"/>
  <c r="AN41" i="7"/>
  <c r="F99" i="63"/>
  <c r="J47" i="63"/>
  <c r="DC27" i="3"/>
  <c r="G20" i="9"/>
  <c r="DQ15" i="3"/>
  <c r="DR10" i="3"/>
  <c r="DR12" i="3" s="1"/>
  <c r="DR35" i="3" s="1"/>
  <c r="O119" i="10"/>
  <c r="J146" i="63"/>
  <c r="C10" i="63"/>
  <c r="C29" i="63" s="1"/>
  <c r="C128" i="63"/>
  <c r="C132" i="63" s="1"/>
  <c r="C154" i="63" s="1"/>
  <c r="F24" i="63"/>
  <c r="K24" i="63"/>
  <c r="T60" i="9"/>
  <c r="E166" i="63"/>
  <c r="D35" i="63"/>
  <c r="M47" i="63"/>
  <c r="M49" i="63" s="1"/>
  <c r="M68" i="63" s="1"/>
  <c r="M155" i="63" s="1"/>
  <c r="S33" i="9"/>
  <c r="E10" i="63"/>
  <c r="M12" i="9"/>
  <c r="I33" i="9"/>
  <c r="D12" i="9"/>
  <c r="D15" i="9" s="1"/>
  <c r="I66" i="11"/>
  <c r="I118" i="10"/>
  <c r="E12" i="9"/>
  <c r="E15" i="9" s="1"/>
  <c r="F57" i="63"/>
  <c r="M60" i="10"/>
  <c r="AO80" i="10"/>
  <c r="S60" i="9"/>
  <c r="AI65" i="5"/>
  <c r="AA87" i="10"/>
  <c r="AF84" i="12"/>
  <c r="AQ87" i="10"/>
  <c r="AK49" i="12"/>
  <c r="I87" i="10"/>
  <c r="AK84" i="12"/>
  <c r="U19" i="21"/>
  <c r="I19" i="21"/>
  <c r="L37" i="21"/>
  <c r="Q37" i="21" s="1"/>
  <c r="Q87" i="10"/>
  <c r="U39" i="11"/>
  <c r="M37" i="21"/>
  <c r="AQ16" i="10"/>
  <c r="AS17" i="10"/>
  <c r="AS16" i="10" s="1"/>
  <c r="AW45" i="11"/>
  <c r="U13" i="21"/>
  <c r="H67" i="12"/>
  <c r="P130" i="12"/>
  <c r="AH63" i="12"/>
  <c r="AW17" i="10"/>
  <c r="AY17" i="10" s="1"/>
  <c r="G72" i="10"/>
  <c r="N67" i="12"/>
  <c r="N63" i="12"/>
  <c r="AB63" i="12"/>
  <c r="H63" i="12"/>
  <c r="Y19" i="21"/>
  <c r="T37" i="21"/>
  <c r="X43" i="21" s="1"/>
  <c r="K33" i="11"/>
  <c r="Q25" i="21"/>
  <c r="D37" i="21"/>
  <c r="X40" i="12"/>
  <c r="X33" i="12"/>
  <c r="X144" i="12"/>
  <c r="X152" i="12"/>
  <c r="R69" i="5"/>
  <c r="AD132" i="12"/>
  <c r="Z72" i="5"/>
  <c r="AI72" i="5" s="1"/>
  <c r="C73" i="5"/>
  <c r="G73" i="5" s="1"/>
  <c r="X166" i="12"/>
  <c r="T53" i="5"/>
  <c r="V53" i="5" s="1"/>
  <c r="AG66" i="5"/>
  <c r="AG69" i="5" s="1"/>
  <c r="C65" i="5"/>
  <c r="G65" i="5" s="1"/>
  <c r="AK68" i="3"/>
  <c r="I15" i="7"/>
  <c r="I16" i="7" s="1"/>
  <c r="X165" i="12"/>
  <c r="C67" i="5"/>
  <c r="G67" i="5" s="1"/>
  <c r="O67" i="5" s="1"/>
  <c r="G94" i="5"/>
  <c r="C95" i="5"/>
  <c r="G95" i="5" s="1"/>
  <c r="AG117" i="5"/>
  <c r="AG60" i="5"/>
  <c r="BK65" i="5"/>
  <c r="C86" i="5"/>
  <c r="G86" i="5" s="1"/>
  <c r="C88" i="5"/>
  <c r="G88" i="5" s="1"/>
  <c r="C109" i="5"/>
  <c r="G109" i="5" s="1"/>
  <c r="AD109" i="5" s="1"/>
  <c r="X39" i="12"/>
  <c r="AB81" i="12"/>
  <c r="AD81" i="12" s="1"/>
  <c r="AD130" i="12"/>
  <c r="AD137" i="12"/>
  <c r="X159" i="12"/>
  <c r="AI117" i="5"/>
  <c r="AD161" i="12"/>
  <c r="K230" i="5"/>
  <c r="T230" i="5" s="1"/>
  <c r="T231" i="5" s="1"/>
  <c r="H94" i="8"/>
  <c r="AI255" i="5"/>
  <c r="AK262" i="5" s="1"/>
  <c r="C115" i="5"/>
  <c r="G115" i="5" s="1"/>
  <c r="AI56" i="5"/>
  <c r="AK56" i="5" s="1"/>
  <c r="C72" i="5"/>
  <c r="G72" i="5" s="1"/>
  <c r="T123" i="5"/>
  <c r="C117" i="5"/>
  <c r="G117" i="5" s="1"/>
  <c r="Z107" i="5"/>
  <c r="C80" i="5"/>
  <c r="G80" i="5" s="1"/>
  <c r="AU68" i="3"/>
  <c r="X151" i="12"/>
  <c r="AB155" i="12"/>
  <c r="Z60" i="5"/>
  <c r="AB60" i="5" s="1"/>
  <c r="BK79" i="5"/>
  <c r="R104" i="5"/>
  <c r="E104" i="5" s="1"/>
  <c r="J43" i="8" s="1"/>
  <c r="I9" i="9" s="1"/>
  <c r="AG56" i="5"/>
  <c r="AX86" i="5"/>
  <c r="K235" i="5"/>
  <c r="T235" i="5" s="1"/>
  <c r="K234" i="5"/>
  <c r="T234" i="5" s="1"/>
  <c r="AI61" i="5"/>
  <c r="Z135" i="5"/>
  <c r="Z139" i="5" s="1"/>
  <c r="R125" i="5"/>
  <c r="K61" i="5"/>
  <c r="T61" i="5" s="1"/>
  <c r="V61" i="5" s="1"/>
  <c r="Z191" i="5"/>
  <c r="Z195" i="5" s="1"/>
  <c r="AB72" i="5"/>
  <c r="AD72" i="5" s="1"/>
  <c r="AG136" i="5"/>
  <c r="Z166" i="5"/>
  <c r="AB173" i="5" s="1"/>
  <c r="AI96" i="5"/>
  <c r="R97" i="5"/>
  <c r="I7" i="8" s="1"/>
  <c r="AX61" i="5"/>
  <c r="Z231" i="5"/>
  <c r="C68" i="5"/>
  <c r="G68" i="5" s="1"/>
  <c r="BK72" i="5"/>
  <c r="BM72" i="5" s="1"/>
  <c r="C66" i="5"/>
  <c r="G66" i="5" s="1"/>
  <c r="V68" i="3"/>
  <c r="BO68" i="3"/>
  <c r="V74" i="5"/>
  <c r="C74" i="5"/>
  <c r="G74" i="5" s="1"/>
  <c r="O74" i="5" s="1"/>
  <c r="R90" i="5"/>
  <c r="BB234" i="5" s="1"/>
  <c r="T66" i="5"/>
  <c r="AD159" i="12"/>
  <c r="Z170" i="5"/>
  <c r="AB170" i="5" s="1"/>
  <c r="AS86" i="5"/>
  <c r="Z103" i="5"/>
  <c r="AI103" i="5" s="1"/>
  <c r="Z187" i="5"/>
  <c r="AG121" i="5"/>
  <c r="C81" i="5"/>
  <c r="G81" i="5" s="1"/>
  <c r="C79" i="5"/>
  <c r="G79" i="5" s="1"/>
  <c r="Q15" i="7"/>
  <c r="Q16" i="7" s="1"/>
  <c r="E238" i="5"/>
  <c r="T59" i="5"/>
  <c r="V59" i="5" s="1"/>
  <c r="DP14" i="7"/>
  <c r="H9" i="9"/>
  <c r="I143" i="8"/>
  <c r="DE46" i="3" s="1"/>
  <c r="AB163" i="5"/>
  <c r="AI258" i="5"/>
  <c r="AK265" i="5" s="1"/>
  <c r="AB258" i="5"/>
  <c r="AB265" i="5"/>
  <c r="Z259" i="5"/>
  <c r="X139" i="12"/>
  <c r="AD98" i="12"/>
  <c r="AD126" i="12"/>
  <c r="AB127" i="12"/>
  <c r="C9" i="9"/>
  <c r="CZ46" i="3"/>
  <c r="D143" i="8"/>
  <c r="DX13" i="7"/>
  <c r="DX12" i="7"/>
  <c r="DL13" i="7"/>
  <c r="DK13" i="7" s="1"/>
  <c r="DX11" i="7"/>
  <c r="Z252" i="5"/>
  <c r="AB255" i="5"/>
  <c r="X103" i="12"/>
  <c r="AD131" i="12"/>
  <c r="Z75" i="5"/>
  <c r="AI75" i="5" s="1"/>
  <c r="AI79" i="5"/>
  <c r="AB103" i="5"/>
  <c r="Z59" i="5"/>
  <c r="AB145" i="5"/>
  <c r="G259" i="5"/>
  <c r="AD153" i="12"/>
  <c r="Z68" i="5"/>
  <c r="AH32" i="12"/>
  <c r="R32" i="12"/>
  <c r="Y10" i="11"/>
  <c r="Y18" i="11" s="1"/>
  <c r="Y39" i="11" s="1"/>
  <c r="Y55" i="11" s="1"/>
  <c r="AU45" i="3"/>
  <c r="G12" i="3"/>
  <c r="G35" i="3" s="1"/>
  <c r="M86" i="9"/>
  <c r="M90" i="63"/>
  <c r="M110" i="63" s="1"/>
  <c r="M157" i="63" s="1"/>
  <c r="H41" i="8"/>
  <c r="G41" i="8"/>
  <c r="V67" i="5"/>
  <c r="V60" i="5"/>
  <c r="D9" i="9"/>
  <c r="DA46" i="3"/>
  <c r="E143" i="8"/>
  <c r="AQ151" i="12"/>
  <c r="M50" i="9"/>
  <c r="AA82" i="10"/>
  <c r="AA73" i="10" s="1"/>
  <c r="C143" i="8"/>
  <c r="B9" i="9"/>
  <c r="C36" i="63"/>
  <c r="K9" i="9"/>
  <c r="E30" i="63"/>
  <c r="R159" i="12"/>
  <c r="BI47" i="3"/>
  <c r="BO45" i="3"/>
  <c r="L105" i="63"/>
  <c r="L149" i="63" s="1"/>
  <c r="L12" i="3"/>
  <c r="Q12" i="3"/>
  <c r="Q17" i="3" s="1"/>
  <c r="V12" i="3"/>
  <c r="V35" i="3" s="1"/>
  <c r="AP12" i="3"/>
  <c r="AP35" i="3" s="1"/>
  <c r="C87" i="5"/>
  <c r="G87" i="5" s="1"/>
  <c r="O87" i="5" s="1"/>
  <c r="CH35" i="21"/>
  <c r="CH29" i="21"/>
  <c r="G29" i="9"/>
  <c r="D111" i="63"/>
  <c r="C52" i="8"/>
  <c r="AD53" i="5"/>
  <c r="J43" i="12"/>
  <c r="C60" i="9"/>
  <c r="AQ103" i="12"/>
  <c r="O73" i="5"/>
  <c r="R76" i="5"/>
  <c r="C76" i="5" s="1"/>
  <c r="G76" i="5" s="1"/>
  <c r="J35" i="12"/>
  <c r="AP146" i="12"/>
  <c r="AQ145" i="12" s="1"/>
  <c r="K158" i="63"/>
  <c r="AF160" i="12"/>
  <c r="J160" i="12"/>
  <c r="AF159" i="12"/>
  <c r="AF33" i="12"/>
  <c r="J105" i="12"/>
  <c r="BX45" i="3"/>
  <c r="AZ12" i="3"/>
  <c r="AC12" i="3"/>
  <c r="AH12" i="3"/>
  <c r="AH35" i="3" s="1"/>
  <c r="AW12" i="3"/>
  <c r="V37" i="3"/>
  <c r="CG12" i="3"/>
  <c r="CG17" i="3" s="1"/>
  <c r="AR45" i="3"/>
  <c r="AX45" i="3"/>
  <c r="N37" i="3"/>
  <c r="AU47" i="3"/>
  <c r="CM37" i="3"/>
  <c r="CM36" i="3"/>
  <c r="BM35" i="3"/>
  <c r="BM17" i="3"/>
  <c r="BM31" i="3" s="1"/>
  <c r="BM42" i="3" s="1"/>
  <c r="O45" i="3"/>
  <c r="T45" i="3"/>
  <c r="CN12" i="3"/>
  <c r="CN35" i="3" s="1"/>
  <c r="DE47" i="3"/>
  <c r="BS47" i="3"/>
  <c r="BN37" i="3"/>
  <c r="P45" i="3"/>
  <c r="AK45" i="3"/>
  <c r="BY45" i="3"/>
  <c r="BY36" i="3"/>
  <c r="CD37" i="3"/>
  <c r="CD12" i="3"/>
  <c r="CD35" i="3" s="1"/>
  <c r="CD36" i="3"/>
  <c r="L47" i="3"/>
  <c r="L37" i="3"/>
  <c r="Q37" i="3"/>
  <c r="Q47" i="3"/>
  <c r="AA37" i="3"/>
  <c r="AA47" i="3"/>
  <c r="AF37" i="3"/>
  <c r="AK47" i="3"/>
  <c r="BO36" i="3"/>
  <c r="BO37" i="3"/>
  <c r="BQ36" i="3"/>
  <c r="BV47" i="3"/>
  <c r="CB36" i="3"/>
  <c r="CG62" i="3" s="1"/>
  <c r="CB47" i="3"/>
  <c r="BM45" i="3"/>
  <c r="BH12" i="3"/>
  <c r="BH35" i="3" s="1"/>
  <c r="CA45" i="3"/>
  <c r="AO47" i="3"/>
  <c r="AX37" i="3"/>
  <c r="BW36" i="3"/>
  <c r="BW37" i="3"/>
  <c r="DQ69" i="3"/>
  <c r="DQ60" i="3"/>
  <c r="CM47" i="3"/>
  <c r="CM12" i="3"/>
  <c r="CM35" i="3" s="1"/>
  <c r="CM45" i="3"/>
  <c r="CL36" i="3"/>
  <c r="CL62" i="3" s="1"/>
  <c r="CK17" i="3"/>
  <c r="CK31" i="3" s="1"/>
  <c r="CK42" i="3" s="1"/>
  <c r="BY12" i="3"/>
  <c r="AN12" i="3"/>
  <c r="AY37" i="3"/>
  <c r="AY45" i="3"/>
  <c r="BR45" i="3"/>
  <c r="BR12" i="3"/>
  <c r="CG47" i="3"/>
  <c r="AP45" i="3"/>
  <c r="DM60" i="3"/>
  <c r="DU12" i="3"/>
  <c r="DU35" i="3" s="1"/>
  <c r="AA39" i="3"/>
  <c r="CI45" i="3"/>
  <c r="D12" i="3"/>
  <c r="I45" i="3"/>
  <c r="N12" i="3"/>
  <c r="N35" i="3" s="1"/>
  <c r="S45" i="3"/>
  <c r="AN45" i="3"/>
  <c r="BH45" i="3"/>
  <c r="BN12" i="3"/>
  <c r="BN17" i="3" s="1"/>
  <c r="BN38" i="3" s="1"/>
  <c r="CC36" i="3"/>
  <c r="AK12" i="3"/>
  <c r="AK17" i="3" s="1"/>
  <c r="AU12" i="3"/>
  <c r="AU35" i="3" s="1"/>
  <c r="F17" i="3"/>
  <c r="F38" i="3" s="1"/>
  <c r="K47" i="3"/>
  <c r="P37" i="3"/>
  <c r="U47" i="3"/>
  <c r="Z37" i="3"/>
  <c r="AE37" i="3"/>
  <c r="AJ17" i="3"/>
  <c r="AM37" i="3"/>
  <c r="AS37" i="3"/>
  <c r="AU37" i="3"/>
  <c r="AZ37" i="3"/>
  <c r="BB37" i="3"/>
  <c r="BJ37" i="3"/>
  <c r="BT47" i="3"/>
  <c r="BV37" i="3"/>
  <c r="CF47" i="3"/>
  <c r="DI37" i="3"/>
  <c r="DG17" i="3"/>
  <c r="E37" i="3"/>
  <c r="J37" i="3"/>
  <c r="O37" i="3"/>
  <c r="AI37" i="3"/>
  <c r="AY17" i="3"/>
  <c r="AY38" i="3" s="1"/>
  <c r="BT17" i="3"/>
  <c r="BT35" i="3"/>
  <c r="CS27" i="3"/>
  <c r="C23" i="59" s="1"/>
  <c r="CQ27" i="3"/>
  <c r="CR27" i="3"/>
  <c r="CN36" i="3"/>
  <c r="CN37" i="3"/>
  <c r="AF17" i="3"/>
  <c r="AF31" i="3" s="1"/>
  <c r="AF35" i="3"/>
  <c r="AA35" i="3"/>
  <c r="AA17" i="3"/>
  <c r="CN47" i="3"/>
  <c r="CP27" i="3"/>
  <c r="DA37" i="3"/>
  <c r="DA36" i="3"/>
  <c r="L35" i="3"/>
  <c r="L17" i="3"/>
  <c r="L38" i="3" s="1"/>
  <c r="Q35" i="3"/>
  <c r="DJ47" i="3"/>
  <c r="CL37" i="3"/>
  <c r="CN45" i="3"/>
  <c r="CF37" i="3"/>
  <c r="DI47" i="3"/>
  <c r="BM36" i="3"/>
  <c r="DK60" i="3"/>
  <c r="BY37" i="3"/>
  <c r="DR60" i="3"/>
  <c r="BM37" i="3"/>
  <c r="AR12" i="3"/>
  <c r="AR35" i="3" s="1"/>
  <c r="U17" i="3"/>
  <c r="U38" i="3" s="1"/>
  <c r="AI45" i="3"/>
  <c r="AZ47" i="3"/>
  <c r="CC37" i="3"/>
  <c r="BX12" i="3"/>
  <c r="DI45" i="3"/>
  <c r="CI36" i="3"/>
  <c r="BG45" i="3"/>
  <c r="CA37" i="3"/>
  <c r="AJ47" i="3"/>
  <c r="BO47" i="3"/>
  <c r="Z47" i="3"/>
  <c r="BJ47" i="3"/>
  <c r="DH37" i="3"/>
  <c r="BX37" i="3"/>
  <c r="DH12" i="3"/>
  <c r="BO17" i="3"/>
  <c r="BY47" i="3"/>
  <c r="DR69" i="3"/>
  <c r="BN45" i="3"/>
  <c r="K37" i="3"/>
  <c r="DO60" i="3"/>
  <c r="CC45" i="3"/>
  <c r="AD45" i="3"/>
  <c r="DD36" i="3"/>
  <c r="BS12" i="3"/>
  <c r="DG37" i="3"/>
  <c r="DM69" i="3"/>
  <c r="CL12" i="3"/>
  <c r="Z17" i="3"/>
  <c r="BT36" i="3"/>
  <c r="Y45" i="3"/>
  <c r="DH45" i="3"/>
  <c r="CG37" i="3"/>
  <c r="CC47" i="3"/>
  <c r="K12" i="3"/>
  <c r="AO12" i="3"/>
  <c r="AO35" i="3" s="1"/>
  <c r="DD37" i="3"/>
  <c r="CI12" i="3"/>
  <c r="CI35" i="3" s="1"/>
  <c r="CI61" i="3" s="1"/>
  <c r="I12" i="3"/>
  <c r="I35" i="3" s="1"/>
  <c r="S12" i="3"/>
  <c r="S35" i="3" s="1"/>
  <c r="CL45" i="3"/>
  <c r="CH36" i="3"/>
  <c r="CH62" i="3" s="1"/>
  <c r="E12" i="3"/>
  <c r="E35" i="3" s="1"/>
  <c r="O12" i="3"/>
  <c r="O17" i="3" s="1"/>
  <c r="T12" i="3"/>
  <c r="Y12" i="3"/>
  <c r="AD12" i="3"/>
  <c r="AI12" i="3"/>
  <c r="AS12" i="3"/>
  <c r="BC12" i="3"/>
  <c r="BJ12" i="3"/>
  <c r="BV12" i="3"/>
  <c r="D37" i="3"/>
  <c r="AK37" i="3"/>
  <c r="AR37" i="3"/>
  <c r="BB47" i="3"/>
  <c r="BC37" i="3"/>
  <c r="DL60" i="3"/>
  <c r="N45" i="3"/>
  <c r="CF92" i="7"/>
  <c r="CF76" i="7"/>
  <c r="CG72" i="7"/>
  <c r="CH72" i="7"/>
  <c r="CL72" i="7"/>
  <c r="CF74" i="7"/>
  <c r="AF169" i="7"/>
  <c r="AF151" i="7"/>
  <c r="AK122" i="7"/>
  <c r="AF142" i="7"/>
  <c r="CG95" i="7"/>
  <c r="CG115" i="7"/>
  <c r="CH95" i="7"/>
  <c r="CL95" i="7"/>
  <c r="Z166" i="12"/>
  <c r="AB166" i="12" s="1"/>
  <c r="AD166" i="12" s="1"/>
  <c r="AB206" i="5"/>
  <c r="E88" i="10"/>
  <c r="E87" i="10"/>
  <c r="DJ45" i="3"/>
  <c r="DJ37" i="3"/>
  <c r="CN201" i="7"/>
  <c r="AH167" i="7"/>
  <c r="CO15" i="7"/>
  <c r="CP15" i="7"/>
  <c r="CO85" i="7"/>
  <c r="CO25" i="7"/>
  <c r="BG28" i="3"/>
  <c r="BP188" i="7"/>
  <c r="CC140" i="7"/>
  <c r="M118" i="10"/>
  <c r="F12" i="9"/>
  <c r="M66" i="11"/>
  <c r="M67" i="11" s="1"/>
  <c r="F20" i="9"/>
  <c r="F33" i="9"/>
  <c r="DC8" i="3"/>
  <c r="DC37" i="3" s="1"/>
  <c r="K66" i="11"/>
  <c r="M119" i="10"/>
  <c r="G8" i="9"/>
  <c r="F29" i="9"/>
  <c r="M117" i="10"/>
  <c r="F8" i="9"/>
  <c r="K111" i="63"/>
  <c r="K171" i="63"/>
  <c r="AH165" i="12"/>
  <c r="R165" i="12"/>
  <c r="P166" i="12"/>
  <c r="BY140" i="7"/>
  <c r="O84" i="9"/>
  <c r="O86" i="9" s="1"/>
  <c r="G15" i="63"/>
  <c r="DL19" i="3"/>
  <c r="O37" i="9"/>
  <c r="G168" i="7"/>
  <c r="G140" i="7" s="1"/>
  <c r="G150" i="7"/>
  <c r="BU142" i="7"/>
  <c r="BY142" i="7"/>
  <c r="D171" i="63"/>
  <c r="D158" i="63"/>
  <c r="CO149" i="7"/>
  <c r="AF166" i="12"/>
  <c r="CK116" i="7"/>
  <c r="CK96" i="7"/>
  <c r="DE19" i="3"/>
  <c r="O85" i="11"/>
  <c r="O79" i="11"/>
  <c r="Q79" i="11"/>
  <c r="Y82" i="10"/>
  <c r="L50" i="9"/>
  <c r="U20" i="3"/>
  <c r="U31" i="3"/>
  <c r="DI35" i="3"/>
  <c r="DI17" i="3"/>
  <c r="AF131" i="8"/>
  <c r="DQ12" i="7"/>
  <c r="DO12" i="7"/>
  <c r="DH28" i="3"/>
  <c r="L71" i="9"/>
  <c r="K72" i="9"/>
  <c r="DH29" i="3" s="1"/>
  <c r="BA22" i="10"/>
  <c r="BB46" i="7"/>
  <c r="BA46" i="7"/>
  <c r="CI37" i="3"/>
  <c r="AG62" i="5"/>
  <c r="C93" i="7"/>
  <c r="D73" i="7"/>
  <c r="U93" i="11"/>
  <c r="U94" i="11" s="1"/>
  <c r="AX18" i="21"/>
  <c r="AX24" i="21"/>
  <c r="AX36" i="21"/>
  <c r="AC24" i="7"/>
  <c r="Q79" i="10"/>
  <c r="H7" i="9"/>
  <c r="H37" i="9" s="1"/>
  <c r="AC84" i="7"/>
  <c r="AC54" i="7"/>
  <c r="AC34" i="7"/>
  <c r="AC14" i="7"/>
  <c r="B57" i="12"/>
  <c r="DS15" i="3"/>
  <c r="DS37" i="3" s="1"/>
  <c r="M12" i="63"/>
  <c r="U33" i="9"/>
  <c r="U29" i="9"/>
  <c r="S92" i="7"/>
  <c r="U72" i="7"/>
  <c r="F48" i="3" s="1"/>
  <c r="T72" i="7"/>
  <c r="Y72" i="7"/>
  <c r="AB75" i="7"/>
  <c r="AB76" i="7"/>
  <c r="AH71" i="7"/>
  <c r="AD71" i="7"/>
  <c r="AB74" i="7"/>
  <c r="AB91" i="7"/>
  <c r="AB96" i="7" s="1"/>
  <c r="AC71" i="7"/>
  <c r="AK91" i="7"/>
  <c r="AK111" i="7"/>
  <c r="AJ121" i="7"/>
  <c r="AP91" i="7"/>
  <c r="BL85" i="7"/>
  <c r="BM85" i="7" s="1"/>
  <c r="BH19" i="3"/>
  <c r="BL84" i="7"/>
  <c r="BM81" i="7"/>
  <c r="BL86" i="7"/>
  <c r="BM86" i="7" s="1"/>
  <c r="AE130" i="10"/>
  <c r="AC36" i="11"/>
  <c r="AC65" i="11"/>
  <c r="CN75" i="7"/>
  <c r="K76" i="63"/>
  <c r="W10" i="11"/>
  <c r="I34" i="9"/>
  <c r="J147" i="8"/>
  <c r="K96" i="63"/>
  <c r="K137" i="63"/>
  <c r="CL36" i="7"/>
  <c r="CK36" i="7"/>
  <c r="AK158" i="12"/>
  <c r="P158" i="12"/>
  <c r="AF158" i="12"/>
  <c r="AG90" i="5"/>
  <c r="I68" i="5"/>
  <c r="DA54" i="3"/>
  <c r="E37" i="8"/>
  <c r="F12" i="8"/>
  <c r="F19" i="8" s="1"/>
  <c r="O88" i="10"/>
  <c r="O87" i="10"/>
  <c r="D33" i="7"/>
  <c r="AJ96" i="7"/>
  <c r="AZ160" i="7"/>
  <c r="BA160" i="7" s="1"/>
  <c r="AZ143" i="7"/>
  <c r="BA143" i="7" s="1"/>
  <c r="AZ152" i="7"/>
  <c r="BA123" i="7"/>
  <c r="Y17" i="3"/>
  <c r="Y35" i="3"/>
  <c r="BC35" i="3"/>
  <c r="BC17" i="3"/>
  <c r="N47" i="3"/>
  <c r="X47" i="3"/>
  <c r="AN47" i="3"/>
  <c r="AS47" i="3"/>
  <c r="AN37" i="3"/>
  <c r="AO37" i="3"/>
  <c r="AY47" i="3"/>
  <c r="AT37" i="3"/>
  <c r="AT47" i="3"/>
  <c r="CB143" i="7"/>
  <c r="CB152" i="7"/>
  <c r="CG152" i="7" s="1"/>
  <c r="BR35" i="3"/>
  <c r="BR17" i="3"/>
  <c r="AX35" i="3"/>
  <c r="AX17" i="3"/>
  <c r="E116" i="63"/>
  <c r="G88" i="63"/>
  <c r="H134" i="63"/>
  <c r="AN170" i="7"/>
  <c r="AN143" i="7"/>
  <c r="AN160" i="7"/>
  <c r="AS160" i="7" s="1"/>
  <c r="AO123" i="7"/>
  <c r="W19" i="9"/>
  <c r="CL34" i="7"/>
  <c r="I5" i="74"/>
  <c r="I6" i="74" s="1"/>
  <c r="CD13" i="21"/>
  <c r="BC30" i="10"/>
  <c r="BE30" i="10" s="1"/>
  <c r="BG30" i="10" s="1"/>
  <c r="AU17" i="10"/>
  <c r="AU16" i="10" s="1"/>
  <c r="AF109" i="12"/>
  <c r="P109" i="12"/>
  <c r="AK109" i="12"/>
  <c r="D56" i="13"/>
  <c r="D50" i="13"/>
  <c r="AD60" i="12"/>
  <c r="AD67" i="12"/>
  <c r="BE34" i="21"/>
  <c r="BD40" i="21"/>
  <c r="M151" i="5"/>
  <c r="N147" i="63"/>
  <c r="N105" i="63"/>
  <c r="N149" i="63" s="1"/>
  <c r="DO15" i="3"/>
  <c r="I12" i="63"/>
  <c r="AP130" i="12"/>
  <c r="J116" i="12"/>
  <c r="AK65" i="11"/>
  <c r="AK36" i="11"/>
  <c r="AM130" i="10"/>
  <c r="W65" i="11"/>
  <c r="W67" i="11" s="1"/>
  <c r="W36" i="11"/>
  <c r="E50" i="63"/>
  <c r="E133" i="63"/>
  <c r="E91" i="63"/>
  <c r="E37" i="63"/>
  <c r="M132" i="8"/>
  <c r="D116" i="63"/>
  <c r="CC123" i="7"/>
  <c r="J155" i="12"/>
  <c r="J162" i="12"/>
  <c r="E88" i="63"/>
  <c r="E90" i="63" s="1"/>
  <c r="E47" i="63"/>
  <c r="E49" i="63" s="1"/>
  <c r="E130" i="63"/>
  <c r="E132" i="63" s="1"/>
  <c r="AW152" i="7"/>
  <c r="AV170" i="7"/>
  <c r="AW170" i="7" s="1"/>
  <c r="AS67" i="11"/>
  <c r="CK93" i="7"/>
  <c r="CK113" i="7"/>
  <c r="CJ94" i="7"/>
  <c r="CB39" i="3"/>
  <c r="CB24" i="3"/>
  <c r="C131" i="8"/>
  <c r="C140" i="8" s="1"/>
  <c r="CL16" i="7"/>
  <c r="CK86" i="7"/>
  <c r="CK16" i="7"/>
  <c r="M65" i="5"/>
  <c r="O65" i="5" s="1"/>
  <c r="T65" i="5"/>
  <c r="BG65" i="5"/>
  <c r="P140" i="12"/>
  <c r="AF140" i="12"/>
  <c r="H148" i="12"/>
  <c r="AK140" i="12"/>
  <c r="F130" i="63"/>
  <c r="F47" i="63"/>
  <c r="F88" i="63"/>
  <c r="AO83" i="11"/>
  <c r="AO84" i="11"/>
  <c r="P104" i="12"/>
  <c r="AF104" i="12"/>
  <c r="AK104" i="12"/>
  <c r="P69" i="12"/>
  <c r="AF69" i="12"/>
  <c r="AK69" i="12"/>
  <c r="D34" i="13"/>
  <c r="D46" i="13"/>
  <c r="D52" i="13" s="1"/>
  <c r="BX143" i="7"/>
  <c r="BX144" i="7" s="1"/>
  <c r="AX45" i="7"/>
  <c r="AR46" i="7"/>
  <c r="K151" i="7"/>
  <c r="P122" i="7"/>
  <c r="K169" i="7"/>
  <c r="D34" i="7"/>
  <c r="B19" i="9"/>
  <c r="K84" i="10"/>
  <c r="K85" i="10"/>
  <c r="CN91" i="7"/>
  <c r="CK123" i="7"/>
  <c r="BX152" i="7"/>
  <c r="BY114" i="7"/>
  <c r="BX124" i="7"/>
  <c r="AL91" i="7"/>
  <c r="S84" i="10"/>
  <c r="S85" i="10"/>
  <c r="D113" i="12"/>
  <c r="P11" i="9"/>
  <c r="I84" i="10"/>
  <c r="I85" i="10"/>
  <c r="AI119" i="10"/>
  <c r="Q80" i="9"/>
  <c r="Q81" i="9" s="1"/>
  <c r="AI79" i="10"/>
  <c r="Q21" i="9"/>
  <c r="I6" i="63"/>
  <c r="B28" i="9"/>
  <c r="B29" i="9" s="1"/>
  <c r="D54" i="7"/>
  <c r="W167" i="7"/>
  <c r="W140" i="7"/>
  <c r="X120" i="7"/>
  <c r="W149" i="7"/>
  <c r="X149" i="7" s="1"/>
  <c r="W125" i="7"/>
  <c r="BY149" i="7"/>
  <c r="CC149" i="7"/>
  <c r="BM55" i="7"/>
  <c r="BL56" i="7"/>
  <c r="BM56" i="7" s="1"/>
  <c r="I68" i="3"/>
  <c r="Z86" i="5"/>
  <c r="Z87" i="5"/>
  <c r="AM69" i="3"/>
  <c r="K129" i="5"/>
  <c r="T88" i="12"/>
  <c r="V88" i="12" s="1"/>
  <c r="X88" i="12" s="1"/>
  <c r="AB263" i="5"/>
  <c r="Z266" i="5"/>
  <c r="AI263" i="5"/>
  <c r="DM15" i="3"/>
  <c r="DU60" i="3"/>
  <c r="DU69" i="3"/>
  <c r="BA100" i="10"/>
  <c r="BA102" i="10" s="1"/>
  <c r="BC20" i="10"/>
  <c r="L95" i="7"/>
  <c r="L115" i="7"/>
  <c r="X59" i="9"/>
  <c r="V8" i="9"/>
  <c r="V21" i="9"/>
  <c r="DT8" i="3"/>
  <c r="V29" i="9"/>
  <c r="W8" i="9"/>
  <c r="N6" i="63"/>
  <c r="O18" i="63"/>
  <c r="AE42" i="9"/>
  <c r="DU22" i="3"/>
  <c r="AS83" i="11"/>
  <c r="AS84" i="11" s="1"/>
  <c r="BA113" i="10"/>
  <c r="Z31" i="3"/>
  <c r="AT17" i="3"/>
  <c r="AT35" i="3"/>
  <c r="AC35" i="3"/>
  <c r="AC17" i="3"/>
  <c r="D32" i="8"/>
  <c r="D52" i="8" s="1"/>
  <c r="D131" i="8"/>
  <c r="E32" i="8"/>
  <c r="E52" i="8" s="1"/>
  <c r="E21" i="8"/>
  <c r="D99" i="9"/>
  <c r="BP41" i="21"/>
  <c r="BQ35" i="21"/>
  <c r="AA68" i="3"/>
  <c r="Z114" i="5"/>
  <c r="Z70" i="12"/>
  <c r="AB70" i="12" s="1"/>
  <c r="AD70" i="12" s="1"/>
  <c r="Z110" i="5"/>
  <c r="AB110" i="5" s="1"/>
  <c r="X104" i="12"/>
  <c r="AG252" i="5"/>
  <c r="AI248" i="5"/>
  <c r="V264" i="5"/>
  <c r="J5" i="74"/>
  <c r="J6" i="74" s="1"/>
  <c r="CH10" i="21"/>
  <c r="W37" i="9"/>
  <c r="W15" i="9"/>
  <c r="AS119" i="10"/>
  <c r="O6" i="63"/>
  <c r="W21" i="9"/>
  <c r="W12" i="9"/>
  <c r="H162" i="12"/>
  <c r="AF161" i="12"/>
  <c r="DC62" i="3"/>
  <c r="AI251" i="5"/>
  <c r="AB251" i="5"/>
  <c r="AD251" i="5" s="1"/>
  <c r="AF38" i="3"/>
  <c r="AD160" i="12"/>
  <c r="J50" i="9"/>
  <c r="S10" i="11"/>
  <c r="J46" i="9"/>
  <c r="BP204" i="7"/>
  <c r="BM207" i="7"/>
  <c r="BL208" i="7"/>
  <c r="BQ207" i="7"/>
  <c r="AE80" i="10"/>
  <c r="DL10" i="3"/>
  <c r="X74" i="7"/>
  <c r="Y74" i="7"/>
  <c r="I33" i="7"/>
  <c r="H33" i="7"/>
  <c r="M33" i="7"/>
  <c r="G73" i="7"/>
  <c r="AS40" i="7"/>
  <c r="AH14" i="3"/>
  <c r="AX40" i="7"/>
  <c r="BS29" i="3"/>
  <c r="BT198" i="7"/>
  <c r="BT29" i="3" s="1"/>
  <c r="BT201" i="7"/>
  <c r="BT76" i="7"/>
  <c r="BU71" i="7"/>
  <c r="BT75" i="7"/>
  <c r="BV71" i="7"/>
  <c r="BT74" i="7"/>
  <c r="BT91" i="7"/>
  <c r="AS42" i="7"/>
  <c r="AJ14" i="3"/>
  <c r="AT23" i="21"/>
  <c r="AT35" i="21"/>
  <c r="I36" i="21"/>
  <c r="H42" i="21"/>
  <c r="T19" i="5"/>
  <c r="V19" i="5" s="1"/>
  <c r="M19" i="5"/>
  <c r="O19" i="5" s="1"/>
  <c r="K21" i="5"/>
  <c r="T26" i="5"/>
  <c r="V26" i="5" s="1"/>
  <c r="M33" i="5"/>
  <c r="O33" i="5" s="1"/>
  <c r="K28" i="5"/>
  <c r="M26" i="5"/>
  <c r="O26" i="5" s="1"/>
  <c r="C47" i="5"/>
  <c r="G47" i="5" s="1"/>
  <c r="R42" i="5"/>
  <c r="T40" i="5"/>
  <c r="V48" i="5"/>
  <c r="T49" i="5"/>
  <c r="AK42" i="12"/>
  <c r="AK41" i="12"/>
  <c r="T40" i="21"/>
  <c r="L36" i="21"/>
  <c r="M18" i="21"/>
  <c r="AO34" i="21"/>
  <c r="AN40" i="21"/>
  <c r="AR40" i="21"/>
  <c r="BH35" i="21"/>
  <c r="BL41" i="21" s="1"/>
  <c r="BI17" i="21"/>
  <c r="BM17" i="21"/>
  <c r="BP34" i="21"/>
  <c r="BU16" i="21"/>
  <c r="BQ16" i="21"/>
  <c r="C37" i="9"/>
  <c r="G66" i="11"/>
  <c r="G67" i="11" s="1"/>
  <c r="D8" i="9"/>
  <c r="DA45" i="3" s="1"/>
  <c r="C8" i="9"/>
  <c r="CZ45" i="3" s="1"/>
  <c r="AS55" i="11"/>
  <c r="G115" i="8"/>
  <c r="AK91" i="12"/>
  <c r="H99" i="12"/>
  <c r="AF91" i="12"/>
  <c r="AL56" i="13"/>
  <c r="Z158" i="12"/>
  <c r="AB158" i="12" s="1"/>
  <c r="AD165" i="12" s="1"/>
  <c r="Z202" i="5"/>
  <c r="AB202" i="5" s="1"/>
  <c r="DJ10" i="7"/>
  <c r="DS12" i="3"/>
  <c r="DS45" i="3"/>
  <c r="DS36" i="3"/>
  <c r="D28" i="8"/>
  <c r="E10" i="8"/>
  <c r="D10" i="8"/>
  <c r="AM80" i="10"/>
  <c r="DQ10" i="3"/>
  <c r="K8" i="63"/>
  <c r="BR23" i="7"/>
  <c r="BV23" i="7"/>
  <c r="DL8" i="3"/>
  <c r="AE119" i="10"/>
  <c r="O15" i="9"/>
  <c r="G6" i="63"/>
  <c r="AE79" i="10"/>
  <c r="AM79" i="10"/>
  <c r="AM119" i="10"/>
  <c r="S15" i="9"/>
  <c r="S12" i="9"/>
  <c r="S21" i="9"/>
  <c r="S80" i="9"/>
  <c r="S81" i="9" s="1"/>
  <c r="S86" i="9" s="1"/>
  <c r="S29" i="9"/>
  <c r="DQ8" i="3"/>
  <c r="BJ29" i="21"/>
  <c r="BJ23" i="21"/>
  <c r="BJ35" i="21"/>
  <c r="BJ17" i="21"/>
  <c r="AW95" i="7"/>
  <c r="AW115" i="7"/>
  <c r="U91" i="7"/>
  <c r="T91" i="7"/>
  <c r="S96" i="7"/>
  <c r="S121" i="7"/>
  <c r="S95" i="7"/>
  <c r="AP119" i="12"/>
  <c r="AQ118" i="12" s="1"/>
  <c r="R172" i="5"/>
  <c r="AG172" i="5" s="1"/>
  <c r="AI172" i="5" s="1"/>
  <c r="AM179" i="5"/>
  <c r="AU172" i="5"/>
  <c r="D51" i="63"/>
  <c r="D93" i="63"/>
  <c r="K266" i="5"/>
  <c r="M263" i="5"/>
  <c r="T263" i="5"/>
  <c r="V263" i="5" s="1"/>
  <c r="O112" i="10"/>
  <c r="O118" i="10"/>
  <c r="I108" i="10"/>
  <c r="I113" i="10"/>
  <c r="I119" i="10"/>
  <c r="R160" i="12"/>
  <c r="AK161" i="12"/>
  <c r="AH160" i="12"/>
  <c r="AU17" i="3"/>
  <c r="AE14" i="3"/>
  <c r="O24" i="63"/>
  <c r="AT60" i="10"/>
  <c r="AE59" i="9"/>
  <c r="BY96" i="7"/>
  <c r="P153" i="12"/>
  <c r="AF153" i="12"/>
  <c r="AK153" i="12"/>
  <c r="D35" i="3"/>
  <c r="D17" i="3"/>
  <c r="BF19" i="21"/>
  <c r="BF37" i="21"/>
  <c r="BF31" i="21"/>
  <c r="G34" i="7"/>
  <c r="M30" i="7"/>
  <c r="G35" i="7"/>
  <c r="I30" i="7"/>
  <c r="G70" i="7"/>
  <c r="H30" i="7"/>
  <c r="DW12" i="7"/>
  <c r="DL12" i="7"/>
  <c r="DI12" i="7" s="1"/>
  <c r="DW11" i="7"/>
  <c r="AN35" i="3"/>
  <c r="AN17" i="3"/>
  <c r="I47" i="3"/>
  <c r="I37" i="3"/>
  <c r="S47" i="3"/>
  <c r="S37" i="3"/>
  <c r="AC37" i="3"/>
  <c r="AC47" i="3"/>
  <c r="AW37" i="3"/>
  <c r="AW47" i="3"/>
  <c r="M81" i="5"/>
  <c r="T81" i="5"/>
  <c r="V81" i="5" s="1"/>
  <c r="AD154" i="12"/>
  <c r="AD147" i="12"/>
  <c r="AB184" i="5"/>
  <c r="AB191" i="5"/>
  <c r="Z237" i="5"/>
  <c r="AI237" i="5" s="1"/>
  <c r="AK237" i="5" s="1"/>
  <c r="Z241" i="5"/>
  <c r="AI241" i="5" s="1"/>
  <c r="J27" i="3"/>
  <c r="W183" i="7"/>
  <c r="Q27" i="3"/>
  <c r="AB170" i="7"/>
  <c r="AC170" i="7" s="1"/>
  <c r="S9" i="9"/>
  <c r="K36" i="63"/>
  <c r="K113" i="10"/>
  <c r="K108" i="10"/>
  <c r="K119" i="10"/>
  <c r="AI113" i="10"/>
  <c r="AG113" i="10"/>
  <c r="U55" i="11"/>
  <c r="AI51" i="11"/>
  <c r="AI55" i="11" s="1"/>
  <c r="AK54" i="10"/>
  <c r="J161" i="12"/>
  <c r="AP161" i="12"/>
  <c r="AQ160" i="12" s="1"/>
  <c r="CB38" i="3"/>
  <c r="CB31" i="3"/>
  <c r="AJ31" i="3"/>
  <c r="AJ38" i="3"/>
  <c r="AJ20" i="3"/>
  <c r="P160" i="12"/>
  <c r="CL70" i="7"/>
  <c r="CK70" i="7"/>
  <c r="CJ74" i="7"/>
  <c r="CJ76" i="7"/>
  <c r="T167" i="7"/>
  <c r="D49" i="3" s="1"/>
  <c r="X56" i="13"/>
  <c r="X50" i="13"/>
  <c r="AA85" i="11"/>
  <c r="AC79" i="11"/>
  <c r="DD47" i="3"/>
  <c r="DC47" i="3"/>
  <c r="C15" i="9"/>
  <c r="AF53" i="12"/>
  <c r="H57" i="12"/>
  <c r="AK53" i="12"/>
  <c r="P53" i="12"/>
  <c r="K121" i="7"/>
  <c r="L111" i="7"/>
  <c r="Q91" i="7"/>
  <c r="L91" i="7"/>
  <c r="AF95" i="7"/>
  <c r="AV122" i="7"/>
  <c r="AW92" i="7"/>
  <c r="AW112" i="7"/>
  <c r="BB92" i="7"/>
  <c r="AV96" i="7"/>
  <c r="AX92" i="7"/>
  <c r="AV94" i="7"/>
  <c r="AB120" i="7"/>
  <c r="AC90" i="7"/>
  <c r="AD90" i="7"/>
  <c r="AC110" i="7"/>
  <c r="F52" i="8"/>
  <c r="F143" i="8"/>
  <c r="F145" i="8" s="1"/>
  <c r="E68" i="3"/>
  <c r="Z80" i="5"/>
  <c r="Z81" i="5"/>
  <c r="B123" i="12"/>
  <c r="BP14" i="7"/>
  <c r="BQ10" i="7"/>
  <c r="BJ10" i="21" s="1"/>
  <c r="AW163" i="5"/>
  <c r="BP70" i="7"/>
  <c r="BQ80" i="7"/>
  <c r="BP16" i="7"/>
  <c r="BQ56" i="7" s="1"/>
  <c r="BQ20" i="7"/>
  <c r="BV20" i="7" s="1"/>
  <c r="BL8" i="3"/>
  <c r="BU10" i="7"/>
  <c r="BN10" i="21" s="1"/>
  <c r="BQ30" i="7"/>
  <c r="BP15" i="7"/>
  <c r="BQ50" i="7"/>
  <c r="AH17" i="21"/>
  <c r="AH23" i="21"/>
  <c r="AH29" i="21"/>
  <c r="AH35" i="21"/>
  <c r="AT18" i="21"/>
  <c r="AT36" i="21"/>
  <c r="AT30" i="21"/>
  <c r="BR28" i="21"/>
  <c r="BR22" i="21"/>
  <c r="AT20" i="7"/>
  <c r="AX20" i="7"/>
  <c r="BF20" i="7"/>
  <c r="BB20" i="7"/>
  <c r="D110" i="12"/>
  <c r="BH25" i="7"/>
  <c r="BH71" i="7"/>
  <c r="BH26" i="7"/>
  <c r="BI26" i="7" s="1"/>
  <c r="BI21" i="7"/>
  <c r="BJ21" i="7" s="1"/>
  <c r="BL24" i="7"/>
  <c r="D118" i="12"/>
  <c r="BI10" i="3"/>
  <c r="BI12" i="3" s="1"/>
  <c r="BL72" i="7"/>
  <c r="BM22" i="7"/>
  <c r="BZ20" i="7"/>
  <c r="CD21" i="7"/>
  <c r="CH21" i="7"/>
  <c r="AA80" i="10"/>
  <c r="DJ10" i="3"/>
  <c r="DJ12" i="3" s="1"/>
  <c r="M15" i="9"/>
  <c r="Y36" i="7"/>
  <c r="X36" i="7"/>
  <c r="CZ15" i="3"/>
  <c r="C29" i="9"/>
  <c r="F15" i="63"/>
  <c r="DK19" i="3"/>
  <c r="I35" i="8"/>
  <c r="DE60" i="3" s="1"/>
  <c r="H31" i="8"/>
  <c r="H32" i="8" s="1"/>
  <c r="X89" i="5"/>
  <c r="Z89" i="5" s="1"/>
  <c r="AI89" i="5" s="1"/>
  <c r="AK96" i="5" s="1"/>
  <c r="H134" i="8"/>
  <c r="BW35" i="3"/>
  <c r="BW17" i="3"/>
  <c r="CB48" i="3" s="1"/>
  <c r="H85" i="12"/>
  <c r="AF83" i="12"/>
  <c r="H5" i="74"/>
  <c r="H6" i="74" s="1"/>
  <c r="CD12" i="21"/>
  <c r="CK56" i="7"/>
  <c r="G5" i="74"/>
  <c r="G6" i="74" s="1"/>
  <c r="CD11" i="21"/>
  <c r="CK47" i="3"/>
  <c r="CK37" i="3"/>
  <c r="CK36" i="3"/>
  <c r="AG93" i="11"/>
  <c r="AG94" i="11" s="1"/>
  <c r="AG55" i="11"/>
  <c r="DB37" i="3"/>
  <c r="DT60" i="3"/>
  <c r="BF16" i="21"/>
  <c r="BF34" i="21"/>
  <c r="BF28" i="21"/>
  <c r="BF22" i="21"/>
  <c r="W151" i="7"/>
  <c r="W169" i="7"/>
  <c r="W142" i="7"/>
  <c r="T114" i="7"/>
  <c r="S124" i="7"/>
  <c r="T94" i="7"/>
  <c r="R26" i="12"/>
  <c r="P27" i="12"/>
  <c r="AF27" i="12"/>
  <c r="AK27" i="12"/>
  <c r="AH26" i="12"/>
  <c r="AK76" i="7"/>
  <c r="AL76" i="7"/>
  <c r="O66" i="5"/>
  <c r="BA24" i="7"/>
  <c r="BB24" i="7" s="1"/>
  <c r="N7" i="9"/>
  <c r="N37" i="9" s="1"/>
  <c r="BA84" i="7"/>
  <c r="BA14" i="7"/>
  <c r="BE14" i="7"/>
  <c r="BA34" i="7"/>
  <c r="B99" i="12"/>
  <c r="BA74" i="7"/>
  <c r="J18" i="21"/>
  <c r="J36" i="21"/>
  <c r="N17" i="21"/>
  <c r="N29" i="21"/>
  <c r="N23" i="21"/>
  <c r="BI53" i="7"/>
  <c r="BI83" i="7"/>
  <c r="AW152" i="5"/>
  <c r="BI33" i="7"/>
  <c r="B112" i="12"/>
  <c r="BH73" i="7"/>
  <c r="BE8" i="3"/>
  <c r="BI13" i="7"/>
  <c r="BB13" i="21" s="1"/>
  <c r="BI23" i="7"/>
  <c r="AH36" i="21"/>
  <c r="AH25" i="21"/>
  <c r="AH18" i="21"/>
  <c r="AH19" i="21"/>
  <c r="AH37" i="21"/>
  <c r="AH30" i="21"/>
  <c r="AP17" i="21"/>
  <c r="AP35" i="21"/>
  <c r="AP29" i="21"/>
  <c r="AT19" i="21"/>
  <c r="AT37" i="21"/>
  <c r="AT31" i="21"/>
  <c r="AT25" i="21"/>
  <c r="L34" i="13"/>
  <c r="L46" i="13"/>
  <c r="L52" i="13" s="1"/>
  <c r="AD46" i="13"/>
  <c r="AD52" i="13" s="1"/>
  <c r="AD34" i="13"/>
  <c r="J165" i="12"/>
  <c r="AM17" i="3"/>
  <c r="CL47" i="3"/>
  <c r="H133" i="63"/>
  <c r="H50" i="63"/>
  <c r="BU36" i="7"/>
  <c r="BV36" i="7"/>
  <c r="AJ170" i="7"/>
  <c r="AA24" i="3"/>
  <c r="AJ143" i="7"/>
  <c r="M15" i="63"/>
  <c r="U37" i="9"/>
  <c r="DS19" i="3"/>
  <c r="AT24" i="7"/>
  <c r="BY37" i="7"/>
  <c r="BZ37" i="7"/>
  <c r="BL91" i="7"/>
  <c r="BR71" i="7"/>
  <c r="BB28" i="3"/>
  <c r="BQ113" i="7"/>
  <c r="BQ93" i="7"/>
  <c r="BP123" i="7"/>
  <c r="CC74" i="7"/>
  <c r="CD74" i="7"/>
  <c r="BH90" i="7"/>
  <c r="BJ70" i="7"/>
  <c r="P96" i="12"/>
  <c r="AF96" i="12"/>
  <c r="AK96" i="12"/>
  <c r="X70" i="3"/>
  <c r="AS116" i="5"/>
  <c r="AG116" i="5"/>
  <c r="C116" i="5"/>
  <c r="G116" i="5" s="1"/>
  <c r="I157" i="5"/>
  <c r="BG69" i="3"/>
  <c r="T116" i="12"/>
  <c r="V116" i="12" s="1"/>
  <c r="D52" i="7"/>
  <c r="C56" i="7"/>
  <c r="D56" i="7" s="1"/>
  <c r="BH15" i="3"/>
  <c r="BM51" i="7"/>
  <c r="F12" i="63"/>
  <c r="AH72" i="7"/>
  <c r="AD72" i="7"/>
  <c r="AB92" i="7"/>
  <c r="AN41" i="21"/>
  <c r="AO35" i="21"/>
  <c r="AZ36" i="21"/>
  <c r="BA30" i="21"/>
  <c r="J68" i="12"/>
  <c r="J61" i="12"/>
  <c r="AB83" i="12"/>
  <c r="N83" i="12"/>
  <c r="N84" i="12"/>
  <c r="R83" i="12"/>
  <c r="V83" i="12"/>
  <c r="AN97" i="12"/>
  <c r="AQ97" i="12" s="1"/>
  <c r="J90" i="12"/>
  <c r="AP97" i="12"/>
  <c r="AQ96" i="12" s="1"/>
  <c r="L97" i="12"/>
  <c r="AH90" i="12"/>
  <c r="H90" i="12"/>
  <c r="H92" i="12" s="1"/>
  <c r="AN90" i="12"/>
  <c r="AQ90" i="12" s="1"/>
  <c r="N90" i="12"/>
  <c r="L90" i="12"/>
  <c r="L105" i="12"/>
  <c r="N105" i="12"/>
  <c r="N109" i="12"/>
  <c r="H105" i="12"/>
  <c r="L111" i="12"/>
  <c r="AN125" i="12"/>
  <c r="H111" i="12"/>
  <c r="AK111" i="12" s="1"/>
  <c r="L118" i="12"/>
  <c r="N111" i="12"/>
  <c r="R111" i="12"/>
  <c r="AH111" i="12"/>
  <c r="AN111" i="12"/>
  <c r="H112" i="12"/>
  <c r="AP147" i="12"/>
  <c r="AQ146" i="12" s="1"/>
  <c r="J140" i="12"/>
  <c r="AP133" i="12"/>
  <c r="AQ132" i="12" s="1"/>
  <c r="AB142" i="5"/>
  <c r="AB199" i="5"/>
  <c r="Q70" i="7"/>
  <c r="K76" i="7"/>
  <c r="L70" i="7"/>
  <c r="BQ26" i="7"/>
  <c r="BZ35" i="7"/>
  <c r="BV35" i="7"/>
  <c r="BU35" i="7"/>
  <c r="E28" i="8"/>
  <c r="E29" i="8" s="1"/>
  <c r="BJ31" i="21"/>
  <c r="BF36" i="21"/>
  <c r="BN25" i="21"/>
  <c r="BF18" i="21"/>
  <c r="BN30" i="21"/>
  <c r="BN37" i="21"/>
  <c r="BN19" i="21"/>
  <c r="BJ37" i="21"/>
  <c r="BN36" i="21"/>
  <c r="BN18" i="21"/>
  <c r="BF30" i="21"/>
  <c r="BJ24" i="21"/>
  <c r="BN24" i="21"/>
  <c r="BF24" i="7"/>
  <c r="D32" i="7"/>
  <c r="C72" i="7"/>
  <c r="AZ125" i="7"/>
  <c r="AZ141" i="7"/>
  <c r="AZ126" i="7"/>
  <c r="AZ150" i="7"/>
  <c r="T74" i="7"/>
  <c r="AP70" i="7"/>
  <c r="AJ74" i="7"/>
  <c r="AK70" i="7"/>
  <c r="AL70" i="7"/>
  <c r="AJ75" i="7"/>
  <c r="AF58" i="13"/>
  <c r="AF52" i="13"/>
  <c r="AQ104" i="12"/>
  <c r="C61" i="5"/>
  <c r="G61" i="5" s="1"/>
  <c r="R56" i="5"/>
  <c r="C60" i="5"/>
  <c r="G60" i="5" s="1"/>
  <c r="R62" i="5"/>
  <c r="Z74" i="5"/>
  <c r="Z73" i="5"/>
  <c r="Z101" i="5"/>
  <c r="AB101" i="5" s="1"/>
  <c r="AD101" i="5" s="1"/>
  <c r="S68" i="3"/>
  <c r="Z100" i="5"/>
  <c r="AP110" i="12"/>
  <c r="AQ109" i="12" s="1"/>
  <c r="J110" i="12"/>
  <c r="CC35" i="7"/>
  <c r="CB36" i="7"/>
  <c r="CH36" i="7" s="1"/>
  <c r="CD35" i="7"/>
  <c r="BE44" i="7"/>
  <c r="Z45" i="8"/>
  <c r="AA45" i="8" s="1"/>
  <c r="AB45" i="8" s="1"/>
  <c r="AC45" i="8" s="1"/>
  <c r="AD45" i="8" s="1"/>
  <c r="BH40" i="21"/>
  <c r="BM34" i="21"/>
  <c r="BL40" i="21"/>
  <c r="J19" i="12"/>
  <c r="J26" i="12"/>
  <c r="AK34" i="12"/>
  <c r="H36" i="12"/>
  <c r="AF34" i="12"/>
  <c r="AF41" i="12"/>
  <c r="P41" i="12"/>
  <c r="AF47" i="12"/>
  <c r="AK47" i="12"/>
  <c r="H50" i="12"/>
  <c r="AH98" i="12"/>
  <c r="P102" i="12"/>
  <c r="AK102" i="12"/>
  <c r="N116" i="12"/>
  <c r="AN126" i="12"/>
  <c r="AQ126" i="12" s="1"/>
  <c r="H116" i="12"/>
  <c r="AH112" i="12"/>
  <c r="L119" i="12"/>
  <c r="N112" i="12"/>
  <c r="L112" i="12"/>
  <c r="R112" i="12"/>
  <c r="AB112" i="12"/>
  <c r="AB113" i="12" s="1"/>
  <c r="R146" i="12"/>
  <c r="AH146" i="12"/>
  <c r="AO65" i="11"/>
  <c r="AO67" i="11" s="1"/>
  <c r="AO36" i="11"/>
  <c r="AO39" i="11" s="1"/>
  <c r="AO93" i="11" s="1"/>
  <c r="AO94" i="11" s="1"/>
  <c r="CL21" i="7"/>
  <c r="D162" i="12"/>
  <c r="CD17" i="3"/>
  <c r="CD10" i="21"/>
  <c r="L74" i="7"/>
  <c r="K94" i="7"/>
  <c r="AN159" i="7"/>
  <c r="AS159" i="7" s="1"/>
  <c r="AO122" i="7"/>
  <c r="AN151" i="7"/>
  <c r="G134" i="63"/>
  <c r="G93" i="63"/>
  <c r="G51" i="63"/>
  <c r="D13" i="63"/>
  <c r="J40" i="9"/>
  <c r="J43" i="9"/>
  <c r="L88" i="63"/>
  <c r="L47" i="63"/>
  <c r="O19" i="9"/>
  <c r="BF34" i="7"/>
  <c r="X112" i="7"/>
  <c r="X92" i="7"/>
  <c r="AV140" i="7"/>
  <c r="AV149" i="7"/>
  <c r="BA149" i="7" s="1"/>
  <c r="AV157" i="7"/>
  <c r="BA157" i="7" s="1"/>
  <c r="P144" i="12"/>
  <c r="AF144" i="12"/>
  <c r="BE149" i="7"/>
  <c r="AJ94" i="7"/>
  <c r="AJ120" i="7"/>
  <c r="AJ95" i="7"/>
  <c r="AK90" i="7"/>
  <c r="AP90" i="7"/>
  <c r="DM22" i="3"/>
  <c r="H18" i="63"/>
  <c r="BF35" i="21"/>
  <c r="BF23" i="21"/>
  <c r="AD28" i="21"/>
  <c r="AD34" i="21"/>
  <c r="BY35" i="21"/>
  <c r="BU35" i="21"/>
  <c r="BT41" i="21"/>
  <c r="J12" i="3"/>
  <c r="AE45" i="3"/>
  <c r="AG76" i="5"/>
  <c r="Z75" i="12"/>
  <c r="AB75" i="12" s="1"/>
  <c r="AD82" i="12" s="1"/>
  <c r="Z116" i="5"/>
  <c r="AD68" i="3"/>
  <c r="Z115" i="5"/>
  <c r="AB122" i="5" s="1"/>
  <c r="Z84" i="12"/>
  <c r="AB84" i="12" s="1"/>
  <c r="AD84" i="12" s="1"/>
  <c r="Z128" i="5"/>
  <c r="R29" i="21"/>
  <c r="R35" i="21"/>
  <c r="R23" i="21"/>
  <c r="BV93" i="7"/>
  <c r="BT123" i="7"/>
  <c r="BY123" i="7" s="1"/>
  <c r="CB92" i="7"/>
  <c r="CB76" i="7"/>
  <c r="AF27" i="3"/>
  <c r="AR198" i="7"/>
  <c r="B20" i="8"/>
  <c r="C12" i="8"/>
  <c r="B124" i="8"/>
  <c r="B37" i="8"/>
  <c r="C38" i="8" s="1"/>
  <c r="P25" i="8"/>
  <c r="DK57" i="3"/>
  <c r="H7" i="8"/>
  <c r="H112" i="8" s="1"/>
  <c r="O94" i="7"/>
  <c r="U94" i="7" s="1"/>
  <c r="AW47" i="11"/>
  <c r="Y95" i="7"/>
  <c r="X95" i="7"/>
  <c r="DF13" i="3"/>
  <c r="J55" i="8"/>
  <c r="I23" i="9"/>
  <c r="BB17" i="21"/>
  <c r="BB29" i="21"/>
  <c r="AV158" i="7"/>
  <c r="AW158" i="7" s="1"/>
  <c r="AV141" i="7"/>
  <c r="AW141" i="7" s="1"/>
  <c r="AV150" i="7"/>
  <c r="AW121" i="7"/>
  <c r="BE204" i="7"/>
  <c r="D30" i="7"/>
  <c r="C70" i="7"/>
  <c r="C35" i="7"/>
  <c r="AK26" i="7"/>
  <c r="AO16" i="7"/>
  <c r="AL16" i="7"/>
  <c r="AP36" i="7"/>
  <c r="AK36" i="7"/>
  <c r="BQ37" i="3"/>
  <c r="BQ45" i="3"/>
  <c r="BQ12" i="3"/>
  <c r="BV45" i="3"/>
  <c r="BB70" i="3"/>
  <c r="BN70" i="3"/>
  <c r="K68" i="3"/>
  <c r="N12" i="21"/>
  <c r="R24" i="21"/>
  <c r="R18" i="21"/>
  <c r="BB34" i="7"/>
  <c r="N19" i="9"/>
  <c r="AV182" i="7"/>
  <c r="AV183" i="7"/>
  <c r="AZ189" i="7"/>
  <c r="AN27" i="3"/>
  <c r="G182" i="7"/>
  <c r="K170" i="7"/>
  <c r="K181" i="7"/>
  <c r="D59" i="9" s="1"/>
  <c r="E27" i="3"/>
  <c r="S182" i="7"/>
  <c r="S183" i="7"/>
  <c r="Q131" i="8"/>
  <c r="P131" i="8"/>
  <c r="P132" i="8" s="1"/>
  <c r="AQ113" i="10"/>
  <c r="AO113" i="10"/>
  <c r="AH50" i="13"/>
  <c r="AH56" i="13"/>
  <c r="AF41" i="21"/>
  <c r="AB41" i="21"/>
  <c r="AN43" i="21"/>
  <c r="AO37" i="21"/>
  <c r="R90" i="12"/>
  <c r="P138" i="12"/>
  <c r="R137" i="12"/>
  <c r="AK138" i="12"/>
  <c r="AV191" i="7"/>
  <c r="AK28" i="3"/>
  <c r="X94" i="7"/>
  <c r="W124" i="7"/>
  <c r="Y94" i="7"/>
  <c r="AS130" i="10"/>
  <c r="AQ36" i="11"/>
  <c r="V11" i="9"/>
  <c r="V12" i="9" s="1"/>
  <c r="CG24" i="7"/>
  <c r="CH24" i="7" s="1"/>
  <c r="L110" i="7"/>
  <c r="K120" i="7"/>
  <c r="K96" i="7"/>
  <c r="BF93" i="7"/>
  <c r="BD123" i="7"/>
  <c r="BE113" i="7"/>
  <c r="BF113" i="7" s="1"/>
  <c r="BZ25" i="21"/>
  <c r="BZ37" i="21"/>
  <c r="BM16" i="7"/>
  <c r="BI86" i="7"/>
  <c r="BI56" i="7"/>
  <c r="DD10" i="3"/>
  <c r="DD12" i="3" s="1"/>
  <c r="G33" i="9"/>
  <c r="T15" i="9"/>
  <c r="AO79" i="10"/>
  <c r="AM66" i="11"/>
  <c r="T12" i="9"/>
  <c r="T29" i="9"/>
  <c r="L6" i="63"/>
  <c r="T8" i="9"/>
  <c r="M85" i="11"/>
  <c r="M79" i="11"/>
  <c r="BD74" i="7"/>
  <c r="BF73" i="7"/>
  <c r="J153" i="12"/>
  <c r="AP153" i="12"/>
  <c r="AQ152" i="12" s="1"/>
  <c r="Z146" i="5"/>
  <c r="AB146" i="5" s="1"/>
  <c r="BA16" i="7"/>
  <c r="BA86" i="7"/>
  <c r="BE16" i="7"/>
  <c r="BA36" i="7"/>
  <c r="BA26" i="7"/>
  <c r="K150" i="5"/>
  <c r="T150" i="5" s="1"/>
  <c r="BB69" i="3"/>
  <c r="J150" i="5"/>
  <c r="T109" i="12"/>
  <c r="V109" i="12" s="1"/>
  <c r="AG245" i="5"/>
  <c r="AR70" i="7"/>
  <c r="AR34" i="7"/>
  <c r="AR35" i="7"/>
  <c r="AH13" i="3"/>
  <c r="AT30" i="7"/>
  <c r="AS30" i="7"/>
  <c r="BL70" i="7"/>
  <c r="BG13" i="3"/>
  <c r="BL34" i="7"/>
  <c r="BN30" i="7"/>
  <c r="BL35" i="7"/>
  <c r="AG36" i="7"/>
  <c r="AH36" i="7"/>
  <c r="DP19" i="3"/>
  <c r="AO27" i="3"/>
  <c r="AW179" i="7"/>
  <c r="AX179" i="7" s="1"/>
  <c r="AZ190" i="7"/>
  <c r="O183" i="7"/>
  <c r="O149" i="7"/>
  <c r="U27" i="3"/>
  <c r="AF183" i="7"/>
  <c r="Z59" i="13"/>
  <c r="AU47" i="11"/>
  <c r="AP93" i="7"/>
  <c r="BB90" i="7"/>
  <c r="I55" i="8"/>
  <c r="G37" i="9"/>
  <c r="AK131" i="12"/>
  <c r="CH12" i="3"/>
  <c r="AC35" i="21"/>
  <c r="CA12" i="3"/>
  <c r="AI70" i="3"/>
  <c r="V27" i="5"/>
  <c r="M58" i="5"/>
  <c r="T52" i="5"/>
  <c r="AS109" i="5"/>
  <c r="AG109" i="5"/>
  <c r="AI109" i="5" s="1"/>
  <c r="R152" i="5"/>
  <c r="AK249" i="5"/>
  <c r="B111" i="12"/>
  <c r="BD8" i="3"/>
  <c r="BI82" i="7"/>
  <c r="BI32" i="7"/>
  <c r="BH72" i="7"/>
  <c r="BI52" i="7"/>
  <c r="AW151" i="5"/>
  <c r="AU158" i="5" s="1"/>
  <c r="V17" i="21"/>
  <c r="V29" i="21"/>
  <c r="V23" i="21"/>
  <c r="BR19" i="21"/>
  <c r="BR31" i="21"/>
  <c r="BR25" i="21"/>
  <c r="U81" i="10"/>
  <c r="AL34" i="7"/>
  <c r="AN200" i="7"/>
  <c r="AC29" i="3"/>
  <c r="BH204" i="7"/>
  <c r="BE207" i="7"/>
  <c r="CB207" i="7"/>
  <c r="CB208" i="7" s="1"/>
  <c r="CG206" i="7"/>
  <c r="O32" i="8"/>
  <c r="N32" i="8"/>
  <c r="P25" i="9"/>
  <c r="DL14" i="3"/>
  <c r="F34" i="13"/>
  <c r="F46" i="13"/>
  <c r="F52" i="13" s="1"/>
  <c r="AV36" i="21"/>
  <c r="AW18" i="21"/>
  <c r="X34" i="21"/>
  <c r="AC28" i="21"/>
  <c r="AN95" i="12"/>
  <c r="AQ95" i="12" s="1"/>
  <c r="L95" i="12"/>
  <c r="L102" i="12"/>
  <c r="AB95" i="12"/>
  <c r="AB99" i="12" s="1"/>
  <c r="L138" i="12"/>
  <c r="AH138" i="12"/>
  <c r="N138" i="12"/>
  <c r="V138" i="12"/>
  <c r="X145" i="12" s="1"/>
  <c r="AB138" i="12"/>
  <c r="L145" i="12"/>
  <c r="AZ94" i="7"/>
  <c r="G12" i="9"/>
  <c r="T19" i="9"/>
  <c r="BD167" i="7"/>
  <c r="BM73" i="7"/>
  <c r="BL93" i="7"/>
  <c r="AU30" i="11"/>
  <c r="AX34" i="10"/>
  <c r="F70" i="3"/>
  <c r="S70" i="3"/>
  <c r="M20" i="5"/>
  <c r="O20" i="5" s="1"/>
  <c r="O40" i="5"/>
  <c r="M47" i="5"/>
  <c r="C82" i="5"/>
  <c r="G82" i="5" s="1"/>
  <c r="R83" i="5"/>
  <c r="AG82" i="5"/>
  <c r="Z88" i="5"/>
  <c r="AB95" i="5" s="1"/>
  <c r="AD63" i="12"/>
  <c r="X96" i="12"/>
  <c r="H85" i="7"/>
  <c r="H55" i="7"/>
  <c r="H25" i="7"/>
  <c r="AF74" i="7"/>
  <c r="AF93" i="7"/>
  <c r="AF94" i="7" s="1"/>
  <c r="K135" i="8"/>
  <c r="AF35" i="13"/>
  <c r="AF59" i="13" s="1"/>
  <c r="Y28" i="21"/>
  <c r="BA29" i="21"/>
  <c r="AD42" i="12"/>
  <c r="AP103" i="12"/>
  <c r="AQ102" i="12" s="1"/>
  <c r="J89" i="12"/>
  <c r="L140" i="12"/>
  <c r="H133" i="12"/>
  <c r="N133" i="12"/>
  <c r="AB133" i="12"/>
  <c r="AN133" i="12"/>
  <c r="AQ133" i="12" s="1"/>
  <c r="AN139" i="12"/>
  <c r="AQ139" i="12" s="1"/>
  <c r="N140" i="12"/>
  <c r="L139" i="12"/>
  <c r="N139" i="12"/>
  <c r="AB139" i="12"/>
  <c r="AD139" i="12" s="1"/>
  <c r="BF21" i="7"/>
  <c r="AG91" i="7"/>
  <c r="AF121" i="7"/>
  <c r="AG111" i="7"/>
  <c r="AK25" i="7"/>
  <c r="AK55" i="7"/>
  <c r="AK15" i="7"/>
  <c r="AO15" i="7"/>
  <c r="AK85" i="7"/>
  <c r="AK132" i="12"/>
  <c r="AK130" i="12"/>
  <c r="AU12" i="11"/>
  <c r="AX13" i="10"/>
  <c r="M17" i="5"/>
  <c r="O17" i="5" s="1"/>
  <c r="T17" i="5"/>
  <c r="V17" i="5" s="1"/>
  <c r="M31" i="5"/>
  <c r="O31" i="5" s="1"/>
  <c r="T24" i="5"/>
  <c r="V24" i="5" s="1"/>
  <c r="BG73" i="5"/>
  <c r="T73" i="5"/>
  <c r="AT69" i="3"/>
  <c r="K137" i="5"/>
  <c r="M137" i="5" s="1"/>
  <c r="Z19" i="21"/>
  <c r="Z31" i="21"/>
  <c r="Z25" i="21"/>
  <c r="T26" i="7"/>
  <c r="X16" i="7"/>
  <c r="T86" i="7"/>
  <c r="BZ15" i="7"/>
  <c r="BZ16" i="7" s="1"/>
  <c r="BY15" i="7"/>
  <c r="C24" i="7"/>
  <c r="C26" i="7"/>
  <c r="D26" i="7" s="1"/>
  <c r="P119" i="12"/>
  <c r="AH118" i="12"/>
  <c r="AH34" i="7"/>
  <c r="BE97" i="5"/>
  <c r="BA54" i="7"/>
  <c r="BD92" i="7"/>
  <c r="BD76" i="7"/>
  <c r="BE72" i="7"/>
  <c r="BR22" i="3"/>
  <c r="BT114" i="7"/>
  <c r="BT116" i="7"/>
  <c r="J32" i="8"/>
  <c r="U107" i="10"/>
  <c r="V44" i="13"/>
  <c r="V50" i="13" s="1"/>
  <c r="X34" i="13"/>
  <c r="X46" i="13"/>
  <c r="X52" i="13"/>
  <c r="AD35" i="13"/>
  <c r="AD59" i="13" s="1"/>
  <c r="AD47" i="13"/>
  <c r="AD53" i="13"/>
  <c r="I17" i="21"/>
  <c r="R35" i="12"/>
  <c r="AK39" i="12"/>
  <c r="AF39" i="12"/>
  <c r="H43" i="12"/>
  <c r="P43" i="12" s="1"/>
  <c r="AK46" i="12"/>
  <c r="AH42" i="12"/>
  <c r="R42" i="12"/>
  <c r="AB76" i="12"/>
  <c r="R76" i="12"/>
  <c r="N77" i="12"/>
  <c r="V76" i="12"/>
  <c r="AH76" i="12"/>
  <c r="T75" i="7"/>
  <c r="U75" i="7"/>
  <c r="AI264" i="5"/>
  <c r="AK264" i="5" s="1"/>
  <c r="R107" i="5"/>
  <c r="AK50" i="7"/>
  <c r="AK20" i="7"/>
  <c r="AO10" i="7"/>
  <c r="AH10" i="21" s="1"/>
  <c r="B67" i="12"/>
  <c r="AJ14" i="7"/>
  <c r="AK80" i="7"/>
  <c r="X8" i="3"/>
  <c r="BV31" i="21"/>
  <c r="BV25" i="21"/>
  <c r="BV19" i="21"/>
  <c r="AL22" i="7"/>
  <c r="H54" i="7"/>
  <c r="BA56" i="7"/>
  <c r="BI22" i="3"/>
  <c r="BL116" i="7"/>
  <c r="M107" i="10"/>
  <c r="W119" i="10"/>
  <c r="Y113" i="10"/>
  <c r="U102" i="10"/>
  <c r="AK39" i="11"/>
  <c r="H59" i="13"/>
  <c r="V56" i="13"/>
  <c r="AH59" i="13"/>
  <c r="BD43" i="21"/>
  <c r="BA37" i="21"/>
  <c r="BM31" i="21"/>
  <c r="BH37" i="21"/>
  <c r="N69" i="12"/>
  <c r="R69" i="12"/>
  <c r="H70" i="12"/>
  <c r="AH69" i="12"/>
  <c r="N70" i="12"/>
  <c r="CG17" i="21"/>
  <c r="CB35" i="21"/>
  <c r="CC17" i="21"/>
  <c r="BJ35" i="7"/>
  <c r="BB55" i="3"/>
  <c r="AB56" i="13"/>
  <c r="C13" i="63"/>
  <c r="C50" i="63"/>
  <c r="C91" i="63"/>
  <c r="CF12" i="3"/>
  <c r="CF45" i="3"/>
  <c r="CF36" i="3"/>
  <c r="CF62" i="3" s="1"/>
  <c r="D70" i="3"/>
  <c r="L70" i="3"/>
  <c r="AF70" i="3"/>
  <c r="BE70" i="3"/>
  <c r="BH70" i="3"/>
  <c r="T18" i="5"/>
  <c r="M18" i="5"/>
  <c r="O18" i="5" s="1"/>
  <c r="M25" i="5"/>
  <c r="O25" i="5" s="1"/>
  <c r="Z55" i="5"/>
  <c r="Z58" i="5"/>
  <c r="Z67" i="5"/>
  <c r="Z66" i="5"/>
  <c r="BG66" i="5"/>
  <c r="AP68" i="3"/>
  <c r="Z131" i="5"/>
  <c r="AB130" i="5"/>
  <c r="J144" i="5"/>
  <c r="AB185" i="5"/>
  <c r="Z181" i="5"/>
  <c r="Z234" i="5"/>
  <c r="BI10" i="7"/>
  <c r="BB10" i="21" s="1"/>
  <c r="BH15" i="7"/>
  <c r="BI85" i="7" s="1"/>
  <c r="BI20" i="7"/>
  <c r="BH14" i="7"/>
  <c r="BI80" i="7"/>
  <c r="BI30" i="7"/>
  <c r="AD36" i="21"/>
  <c r="AD18" i="21"/>
  <c r="C84" i="7"/>
  <c r="D83" i="7"/>
  <c r="F36" i="9"/>
  <c r="T84" i="7"/>
  <c r="M112" i="10"/>
  <c r="H35" i="21"/>
  <c r="M11" i="21"/>
  <c r="AW16" i="21"/>
  <c r="AV34" i="21"/>
  <c r="BA16" i="21"/>
  <c r="AK32" i="12"/>
  <c r="AH28" i="12"/>
  <c r="AF32" i="12"/>
  <c r="R28" i="12"/>
  <c r="P32" i="12"/>
  <c r="AF55" i="12"/>
  <c r="AK55" i="12"/>
  <c r="AD74" i="12"/>
  <c r="AI256" i="5"/>
  <c r="CG15" i="7"/>
  <c r="S76" i="7"/>
  <c r="G98" i="10"/>
  <c r="G108" i="10" s="1"/>
  <c r="W84" i="11"/>
  <c r="D35" i="13"/>
  <c r="D47" i="13"/>
  <c r="D53" i="13" s="1"/>
  <c r="Q18" i="21"/>
  <c r="AV35" i="21"/>
  <c r="AV41" i="21" s="1"/>
  <c r="BI16" i="21"/>
  <c r="AW28" i="21"/>
  <c r="BA28" i="21"/>
  <c r="CL22" i="7"/>
  <c r="CH22" i="7"/>
  <c r="CB43" i="21"/>
  <c r="AS207" i="7"/>
  <c r="AN208" i="7"/>
  <c r="U32" i="8"/>
  <c r="AM33" i="11"/>
  <c r="AE51" i="11"/>
  <c r="P58" i="13"/>
  <c r="AD45" i="13"/>
  <c r="AD57" i="13" s="1"/>
  <c r="AD51" i="13"/>
  <c r="AB143" i="5"/>
  <c r="BT55" i="7"/>
  <c r="I33" i="11"/>
  <c r="Q65" i="11"/>
  <c r="AM84" i="11"/>
  <c r="X35" i="13"/>
  <c r="X59" i="13" s="1"/>
  <c r="AB51" i="13"/>
  <c r="BE30" i="21"/>
  <c r="P34" i="12"/>
  <c r="X46" i="12"/>
  <c r="J62" i="12"/>
  <c r="AD144" i="12"/>
  <c r="AL35" i="13"/>
  <c r="AL47" i="13"/>
  <c r="AL53" i="13" s="1"/>
  <c r="C5" i="74"/>
  <c r="C6" i="74" s="1"/>
  <c r="CC15" i="7"/>
  <c r="CC26" i="7"/>
  <c r="M26" i="10"/>
  <c r="AM51" i="11"/>
  <c r="AE83" i="11"/>
  <c r="AE84" i="11"/>
  <c r="R58" i="13"/>
  <c r="AZ35" i="21"/>
  <c r="AD21" i="12"/>
  <c r="X41" i="12"/>
  <c r="AB117" i="12"/>
  <c r="AB158" i="5"/>
  <c r="AI136" i="5"/>
  <c r="W182" i="7"/>
  <c r="U131" i="8"/>
  <c r="D45" i="13"/>
  <c r="D57" i="13" s="1"/>
  <c r="V34" i="13"/>
  <c r="V58" i="13" s="1"/>
  <c r="BA18" i="21"/>
  <c r="BA24" i="21"/>
  <c r="BE24" i="21"/>
  <c r="H29" i="12"/>
  <c r="P29" i="12" s="1"/>
  <c r="AF54" i="12"/>
  <c r="P54" i="12"/>
  <c r="O5" i="8"/>
  <c r="AA51" i="11"/>
  <c r="H34" i="21"/>
  <c r="BI29" i="21"/>
  <c r="AB89" i="12"/>
  <c r="AL46" i="13"/>
  <c r="AL52" i="13" s="1"/>
  <c r="AL34" i="13"/>
  <c r="AL58" i="13" s="1"/>
  <c r="CC30" i="21"/>
  <c r="BX36" i="21"/>
  <c r="BY30" i="21"/>
  <c r="AS16" i="21"/>
  <c r="AF61" i="12"/>
  <c r="AB90" i="12"/>
  <c r="BZ72" i="7"/>
  <c r="L32" i="8"/>
  <c r="BH36" i="21"/>
  <c r="BL36" i="21"/>
  <c r="BP36" i="21"/>
  <c r="BM28" i="21"/>
  <c r="R60" i="12"/>
  <c r="AC30" i="21"/>
  <c r="V90" i="12"/>
  <c r="AB105" i="12"/>
  <c r="AD105" i="12" s="1"/>
  <c r="AE131" i="10" s="1"/>
  <c r="CC19" i="21"/>
  <c r="O24" i="8"/>
  <c r="AS31" i="21"/>
  <c r="AB88" i="12"/>
  <c r="AD88" i="12" s="1"/>
  <c r="CC35" i="21"/>
  <c r="AL45" i="13"/>
  <c r="AL51" i="13" s="1"/>
  <c r="AL33" i="13"/>
  <c r="AS113" i="10"/>
  <c r="CF41" i="21"/>
  <c r="BX41" i="21"/>
  <c r="AN33" i="13"/>
  <c r="AN57" i="13" s="1"/>
  <c r="AN45" i="13"/>
  <c r="AN51" i="13" s="1"/>
  <c r="D5" i="74"/>
  <c r="D6" i="74" s="1"/>
  <c r="AJ51" i="13"/>
  <c r="CQ19" i="3"/>
  <c r="CP19" i="3"/>
  <c r="CS19" i="3"/>
  <c r="C15" i="59" s="1"/>
  <c r="AB109" i="5"/>
  <c r="AB64" i="12"/>
  <c r="AD62" i="12"/>
  <c r="AD54" i="12"/>
  <c r="AB57" i="12"/>
  <c r="AD61" i="12"/>
  <c r="AD103" i="12"/>
  <c r="AD109" i="12"/>
  <c r="X123" i="12"/>
  <c r="R143" i="5"/>
  <c r="AS143" i="5" s="1"/>
  <c r="AQ143" i="5"/>
  <c r="AI116" i="5"/>
  <c r="AB123" i="5"/>
  <c r="Z118" i="5"/>
  <c r="AB116" i="5"/>
  <c r="AD116" i="5" s="1"/>
  <c r="AB115" i="5"/>
  <c r="AD115" i="5" s="1"/>
  <c r="C121" i="5"/>
  <c r="G121" i="5" s="1"/>
  <c r="AG114" i="5"/>
  <c r="AS114" i="5"/>
  <c r="R118" i="5"/>
  <c r="L9" i="9"/>
  <c r="D36" i="63"/>
  <c r="AQ123" i="5"/>
  <c r="AO125" i="5"/>
  <c r="AQ122" i="5"/>
  <c r="M8" i="8"/>
  <c r="AQ125" i="5"/>
  <c r="AQ124" i="5"/>
  <c r="AS125" i="5"/>
  <c r="AM132" i="5"/>
  <c r="AQ121" i="5"/>
  <c r="M130" i="5"/>
  <c r="AB152" i="5"/>
  <c r="Z153" i="5"/>
  <c r="E46" i="3"/>
  <c r="U15" i="7"/>
  <c r="U16" i="7" s="1"/>
  <c r="AB159" i="5"/>
  <c r="M129" i="5"/>
  <c r="T122" i="5"/>
  <c r="AM186" i="5"/>
  <c r="AU179" i="5"/>
  <c r="R179" i="5"/>
  <c r="AS179" i="5" s="1"/>
  <c r="DR11" i="7"/>
  <c r="DQ11" i="7" s="1"/>
  <c r="AB166" i="5"/>
  <c r="Z160" i="5"/>
  <c r="AD77" i="12"/>
  <c r="AB121" i="5"/>
  <c r="AI121" i="5"/>
  <c r="Z125" i="5"/>
  <c r="AG149" i="5"/>
  <c r="AS149" i="5"/>
  <c r="AB120" i="12"/>
  <c r="Z104" i="5"/>
  <c r="M80" i="5"/>
  <c r="O80" i="5" s="1"/>
  <c r="BG80" i="5"/>
  <c r="BI87" i="5" s="1"/>
  <c r="AQ107" i="5"/>
  <c r="AQ111" i="5"/>
  <c r="K8" i="8"/>
  <c r="AO111" i="5"/>
  <c r="AQ108" i="5"/>
  <c r="AQ110" i="5"/>
  <c r="AG115" i="5"/>
  <c r="AI115" i="5" s="1"/>
  <c r="C122" i="5"/>
  <c r="G122" i="5" s="1"/>
  <c r="X89" i="12"/>
  <c r="AS137" i="5"/>
  <c r="AG137" i="5"/>
  <c r="AI137" i="5" s="1"/>
  <c r="AM159" i="5"/>
  <c r="R156" i="5"/>
  <c r="AU156" i="5"/>
  <c r="AM163" i="5"/>
  <c r="AQ156" i="5"/>
  <c r="AU157" i="5"/>
  <c r="AM164" i="5"/>
  <c r="AQ157" i="5"/>
  <c r="R157" i="5"/>
  <c r="AG101" i="5"/>
  <c r="AS101" i="5"/>
  <c r="AI108" i="5"/>
  <c r="K88" i="5"/>
  <c r="T48" i="12"/>
  <c r="V48" i="12" s="1"/>
  <c r="X48" i="12" s="1"/>
  <c r="K69" i="3"/>
  <c r="AB102" i="5"/>
  <c r="BK95" i="5"/>
  <c r="AD116" i="12"/>
  <c r="AG95" i="5"/>
  <c r="AI95" i="5" s="1"/>
  <c r="DQ10" i="7"/>
  <c r="DO10" i="7"/>
  <c r="M136" i="5"/>
  <c r="AQ95" i="5"/>
  <c r="AO104" i="5"/>
  <c r="AQ94" i="5"/>
  <c r="AQ97" i="5"/>
  <c r="AQ96" i="5"/>
  <c r="I8" i="8"/>
  <c r="C103" i="5"/>
  <c r="G103" i="5" s="1"/>
  <c r="DN13" i="7"/>
  <c r="DN14" i="7" s="1"/>
  <c r="AS103" i="5"/>
  <c r="C110" i="5"/>
  <c r="G110" i="5" s="1"/>
  <c r="AQ117" i="5"/>
  <c r="AQ115" i="5"/>
  <c r="L8" i="8"/>
  <c r="L113" i="8" s="1"/>
  <c r="AQ116" i="5"/>
  <c r="C124" i="5"/>
  <c r="G124" i="5" s="1"/>
  <c r="AG124" i="5"/>
  <c r="AI124" i="5" s="1"/>
  <c r="AK124" i="5" s="1"/>
  <c r="R165" i="5"/>
  <c r="AB150" i="5"/>
  <c r="BQ69" i="3"/>
  <c r="T130" i="12"/>
  <c r="V130" i="12" s="1"/>
  <c r="I171" i="5"/>
  <c r="K170" i="5"/>
  <c r="J170" i="5"/>
  <c r="AG102" i="5"/>
  <c r="AI102" i="5" s="1"/>
  <c r="AS102" i="5"/>
  <c r="C102" i="5"/>
  <c r="G102" i="5" s="1"/>
  <c r="C108" i="5"/>
  <c r="G108" i="5" s="1"/>
  <c r="C123" i="5"/>
  <c r="G123" i="5" s="1"/>
  <c r="AG123" i="5"/>
  <c r="E36" i="63"/>
  <c r="M9" i="9"/>
  <c r="X110" i="12"/>
  <c r="J157" i="5"/>
  <c r="K157" i="5"/>
  <c r="I158" i="5"/>
  <c r="AQ158" i="5"/>
  <c r="AS158" i="5"/>
  <c r="AG83" i="5"/>
  <c r="Y15" i="7"/>
  <c r="Y16" i="7" s="1"/>
  <c r="I46" i="3"/>
  <c r="AB124" i="5"/>
  <c r="R151" i="5"/>
  <c r="C158" i="5" s="1"/>
  <c r="G158" i="5" s="1"/>
  <c r="C100" i="5"/>
  <c r="G100" i="5" s="1"/>
  <c r="C93" i="5"/>
  <c r="G93" i="5" s="1"/>
  <c r="AG93" i="5"/>
  <c r="BB235" i="5" l="1"/>
  <c r="C97" i="5"/>
  <c r="G97" i="5" s="1"/>
  <c r="H9" i="8"/>
  <c r="AD95" i="5"/>
  <c r="CJ173" i="7"/>
  <c r="BE24" i="10"/>
  <c r="BC107" i="10"/>
  <c r="P24" i="63"/>
  <c r="P63" i="63" s="1"/>
  <c r="P105" i="63" s="1"/>
  <c r="H23" i="59"/>
  <c r="I23" i="59"/>
  <c r="J23" i="59"/>
  <c r="I15" i="59"/>
  <c r="H15" i="59"/>
  <c r="J15" i="59"/>
  <c r="DV19" i="3"/>
  <c r="P15" i="63"/>
  <c r="BA45" i="7"/>
  <c r="BD14" i="3"/>
  <c r="AO42" i="7"/>
  <c r="AD102" i="12"/>
  <c r="BK82" i="5"/>
  <c r="P43" i="21"/>
  <c r="P22" i="12"/>
  <c r="L43" i="21"/>
  <c r="AB82" i="5"/>
  <c r="AD82" i="5" s="1"/>
  <c r="AD90" i="12"/>
  <c r="AD104" i="12"/>
  <c r="AB78" i="12"/>
  <c r="AD76" i="12"/>
  <c r="AI60" i="5"/>
  <c r="AK60" i="5" s="1"/>
  <c r="AK127" i="12"/>
  <c r="AK72" i="5"/>
  <c r="CP25" i="7"/>
  <c r="N38" i="72"/>
  <c r="N16" i="72"/>
  <c r="N33" i="72"/>
  <c r="U21" i="72"/>
  <c r="U24" i="72" s="1"/>
  <c r="W155" i="72"/>
  <c r="W171" i="72" s="1"/>
  <c r="W23" i="72" s="1"/>
  <c r="W12" i="72" s="1"/>
  <c r="W13" i="72" s="1"/>
  <c r="V171" i="72"/>
  <c r="V23" i="72" s="1"/>
  <c r="V12" i="72" s="1"/>
  <c r="V13" i="72" s="1"/>
  <c r="BF45" i="7"/>
  <c r="BE45" i="7"/>
  <c r="BL42" i="7"/>
  <c r="BI42" i="7"/>
  <c r="BF46" i="7"/>
  <c r="BF40" i="7"/>
  <c r="BE40" i="7"/>
  <c r="BD157" i="7"/>
  <c r="BE157" i="7" s="1"/>
  <c r="BH40" i="7"/>
  <c r="BH45" i="7" s="1"/>
  <c r="BI45" i="7" s="1"/>
  <c r="AN45" i="7"/>
  <c r="AT45" i="7" s="1"/>
  <c r="BB43" i="7"/>
  <c r="BD43" i="7"/>
  <c r="BA43" i="7"/>
  <c r="AU14" i="3"/>
  <c r="BL41" i="7"/>
  <c r="BC14" i="3"/>
  <c r="BJ41" i="7"/>
  <c r="BI41" i="7"/>
  <c r="BA158" i="7"/>
  <c r="AD83" i="12"/>
  <c r="X116" i="12"/>
  <c r="AB114" i="5"/>
  <c r="AF20" i="3"/>
  <c r="AY31" i="3"/>
  <c r="AF48" i="3"/>
  <c r="AY20" i="3"/>
  <c r="CN62" i="3"/>
  <c r="AE17" i="3"/>
  <c r="V17" i="3"/>
  <c r="E17" i="3"/>
  <c r="AE48" i="3"/>
  <c r="F31" i="3"/>
  <c r="F50" i="3" s="1"/>
  <c r="P38" i="3"/>
  <c r="CC38" i="3"/>
  <c r="C104" i="5"/>
  <c r="G104" i="5" s="1"/>
  <c r="Z111" i="5"/>
  <c r="Q74" i="7"/>
  <c r="AR17" i="3"/>
  <c r="AR38" i="3" s="1"/>
  <c r="AD111" i="12"/>
  <c r="S17" i="3"/>
  <c r="BB17" i="3"/>
  <c r="O47" i="5"/>
  <c r="Z38" i="3"/>
  <c r="D125" i="8"/>
  <c r="AO55" i="11"/>
  <c r="P155" i="12"/>
  <c r="CL53" i="3" s="1"/>
  <c r="N17" i="3"/>
  <c r="BC22" i="10"/>
  <c r="BA47" i="11" s="1"/>
  <c r="AS97" i="5"/>
  <c r="CP29" i="3" a="1"/>
  <c r="CP29" i="3" s="1"/>
  <c r="CM62" i="3"/>
  <c r="BI74" i="5"/>
  <c r="X146" i="12"/>
  <c r="AB148" i="12"/>
  <c r="DU15" i="3"/>
  <c r="O12" i="63"/>
  <c r="AE28" i="9"/>
  <c r="CR182" i="7"/>
  <c r="CR195" i="7"/>
  <c r="AO96" i="7"/>
  <c r="AO116" i="7"/>
  <c r="O169" i="63"/>
  <c r="O167" i="63" s="1"/>
  <c r="O117" i="63"/>
  <c r="O170" i="63" s="1"/>
  <c r="O75" i="63"/>
  <c r="O168" i="63" s="1"/>
  <c r="CG34" i="21"/>
  <c r="CB40" i="21"/>
  <c r="AD125" i="12"/>
  <c r="AN158" i="7"/>
  <c r="AS158" i="7" s="1"/>
  <c r="AN125" i="7"/>
  <c r="AN168" i="7"/>
  <c r="AN141" i="7"/>
  <c r="AS141" i="7" s="1"/>
  <c r="AS121" i="7"/>
  <c r="AN150" i="7"/>
  <c r="AS150" i="7" s="1"/>
  <c r="AN126" i="7"/>
  <c r="AD75" i="12"/>
  <c r="BM79" i="5"/>
  <c r="CF40" i="21"/>
  <c r="X90" i="12"/>
  <c r="D51" i="13"/>
  <c r="AK250" i="5"/>
  <c r="F58" i="13"/>
  <c r="BN21" i="7"/>
  <c r="L58" i="13"/>
  <c r="CK62" i="3"/>
  <c r="Z20" i="3"/>
  <c r="E117" i="8"/>
  <c r="U48" i="3"/>
  <c r="CI62" i="3"/>
  <c r="P20" i="3"/>
  <c r="P24" i="3" s="1"/>
  <c r="CR205" i="7"/>
  <c r="CS204" i="7"/>
  <c r="AK34" i="21"/>
  <c r="AJ40" i="21"/>
  <c r="CC95" i="7"/>
  <c r="CC115" i="7"/>
  <c r="CD95" i="7"/>
  <c r="AO114" i="7"/>
  <c r="AN124" i="7"/>
  <c r="AO94" i="7"/>
  <c r="AO115" i="7"/>
  <c r="AO95" i="7"/>
  <c r="BD150" i="7"/>
  <c r="BD168" i="7" s="1"/>
  <c r="BE121" i="7"/>
  <c r="BD125" i="7"/>
  <c r="BD158" i="7"/>
  <c r="BE158" i="7" s="1"/>
  <c r="BD141" i="7"/>
  <c r="AB174" i="12"/>
  <c r="M144" i="5"/>
  <c r="D111" i="7"/>
  <c r="C121" i="7"/>
  <c r="G112" i="7"/>
  <c r="G122" i="7" s="1"/>
  <c r="M92" i="7"/>
  <c r="H92" i="7"/>
  <c r="J7" i="8"/>
  <c r="T137" i="5"/>
  <c r="X58" i="13"/>
  <c r="V73" i="5"/>
  <c r="U74" i="7"/>
  <c r="M49" i="5"/>
  <c r="O81" i="5"/>
  <c r="Z48" i="3"/>
  <c r="AB266" i="5"/>
  <c r="CC143" i="7"/>
  <c r="CC20" i="3"/>
  <c r="CN61" i="3"/>
  <c r="AK79" i="5"/>
  <c r="C135" i="63"/>
  <c r="C162" i="63" s="1"/>
  <c r="C158" i="63"/>
  <c r="X132" i="8"/>
  <c r="P146" i="12"/>
  <c r="AK146" i="12"/>
  <c r="AF146" i="12"/>
  <c r="AK36" i="21"/>
  <c r="AF42" i="21"/>
  <c r="AG36" i="21"/>
  <c r="AK68" i="12"/>
  <c r="P68" i="12"/>
  <c r="AF68" i="12"/>
  <c r="U36" i="21"/>
  <c r="T42" i="21"/>
  <c r="CB168" i="7"/>
  <c r="CC121" i="7"/>
  <c r="CB150" i="7"/>
  <c r="CB141" i="7"/>
  <c r="CG121" i="7"/>
  <c r="CB125" i="7"/>
  <c r="BA27" i="11"/>
  <c r="BE12" i="10"/>
  <c r="AJ42" i="21"/>
  <c r="BE115" i="7"/>
  <c r="BE95" i="7"/>
  <c r="BF95" i="7"/>
  <c r="M99" i="63"/>
  <c r="M57" i="63"/>
  <c r="AB259" i="5"/>
  <c r="DE58" i="3"/>
  <c r="I79" i="8"/>
  <c r="G56" i="3"/>
  <c r="I237" i="5"/>
  <c r="O132" i="8"/>
  <c r="J73" i="8"/>
  <c r="J78" i="8" s="1"/>
  <c r="J91" i="8" s="1"/>
  <c r="F115" i="8"/>
  <c r="E115" i="8"/>
  <c r="L132" i="8"/>
  <c r="I91" i="8"/>
  <c r="I92" i="8" s="1"/>
  <c r="E124" i="8"/>
  <c r="DA53" i="3" s="1"/>
  <c r="DA70" i="3" s="1"/>
  <c r="F15" i="9"/>
  <c r="DB17" i="3"/>
  <c r="D115" i="8"/>
  <c r="DA17" i="3"/>
  <c r="DA20" i="3" s="1"/>
  <c r="DA40" i="3" s="1"/>
  <c r="Y93" i="11"/>
  <c r="Y94" i="11" s="1"/>
  <c r="CM17" i="3"/>
  <c r="CM31" i="3" s="1"/>
  <c r="AO17" i="3"/>
  <c r="AO20" i="3" s="1"/>
  <c r="O35" i="3"/>
  <c r="CG35" i="3"/>
  <c r="CG61" i="3" s="1"/>
  <c r="CN17" i="3"/>
  <c r="CN31" i="3" s="1"/>
  <c r="CN42" i="3" s="1"/>
  <c r="G17" i="3"/>
  <c r="L48" i="3" s="1"/>
  <c r="D49" i="63"/>
  <c r="D68" i="63" s="1"/>
  <c r="E29" i="63"/>
  <c r="E13" i="63"/>
  <c r="AD14" i="3"/>
  <c r="AO41" i="7"/>
  <c r="AT41" i="7"/>
  <c r="D132" i="63"/>
  <c r="D166" i="63"/>
  <c r="I39" i="9"/>
  <c r="S39" i="9"/>
  <c r="S40" i="9" s="1"/>
  <c r="T147" i="8"/>
  <c r="S34" i="9"/>
  <c r="S83" i="9" s="1"/>
  <c r="DG45" i="3"/>
  <c r="M88" i="9"/>
  <c r="M89" i="9" s="1"/>
  <c r="M91" i="9" s="1"/>
  <c r="M93" i="9" s="1"/>
  <c r="K63" i="63"/>
  <c r="K105" i="63" s="1"/>
  <c r="K146" i="63"/>
  <c r="AT40" i="7"/>
  <c r="AO40" i="7"/>
  <c r="F63" i="63"/>
  <c r="F105" i="63" s="1"/>
  <c r="F146" i="63"/>
  <c r="T72" i="9"/>
  <c r="E147" i="8"/>
  <c r="E148" i="8" s="1"/>
  <c r="D39" i="9"/>
  <c r="D34" i="9"/>
  <c r="E74" i="63"/>
  <c r="E39" i="9"/>
  <c r="F147" i="8"/>
  <c r="F148" i="8" s="1"/>
  <c r="E34" i="9"/>
  <c r="D69" i="63"/>
  <c r="C151" i="63"/>
  <c r="C138" i="63"/>
  <c r="Y37" i="21"/>
  <c r="T43" i="21"/>
  <c r="U37" i="21"/>
  <c r="AF67" i="12"/>
  <c r="AK67" i="12"/>
  <c r="P67" i="12"/>
  <c r="AY54" i="10"/>
  <c r="AY45" i="11"/>
  <c r="I37" i="21"/>
  <c r="H43" i="21"/>
  <c r="K65" i="11"/>
  <c r="K67" i="11" s="1"/>
  <c r="K36" i="11"/>
  <c r="H64" i="12"/>
  <c r="AK63" i="12"/>
  <c r="AF63" i="12"/>
  <c r="P63" i="12"/>
  <c r="AB117" i="5"/>
  <c r="AD117" i="5" s="1"/>
  <c r="DK12" i="7"/>
  <c r="DI13" i="7"/>
  <c r="AS104" i="5"/>
  <c r="AB79" i="5"/>
  <c r="AD79" i="5" s="1"/>
  <c r="AI110" i="5"/>
  <c r="AK110" i="5" s="1"/>
  <c r="AB198" i="5"/>
  <c r="Z174" i="5"/>
  <c r="AB181" i="5" s="1"/>
  <c r="AB177" i="5"/>
  <c r="Z167" i="5"/>
  <c r="AB187" i="5"/>
  <c r="Z188" i="5"/>
  <c r="AB195" i="5" s="1"/>
  <c r="AB194" i="5"/>
  <c r="BB236" i="5"/>
  <c r="BB237" i="5"/>
  <c r="BB238" i="5" s="1"/>
  <c r="AS90" i="5"/>
  <c r="AK103" i="5"/>
  <c r="K62" i="5"/>
  <c r="M62" i="5" s="1"/>
  <c r="M61" i="5"/>
  <c r="T62" i="5"/>
  <c r="V66" i="5"/>
  <c r="AB71" i="12"/>
  <c r="AS172" i="5"/>
  <c r="AK116" i="5"/>
  <c r="AB92" i="12"/>
  <c r="Z132" i="5"/>
  <c r="AB139" i="5" s="1"/>
  <c r="AD146" i="12"/>
  <c r="BK75" i="5"/>
  <c r="BM82" i="5" s="1"/>
  <c r="AB75" i="5"/>
  <c r="AD75" i="5" s="1"/>
  <c r="AB68" i="5"/>
  <c r="AD68" i="5" s="1"/>
  <c r="BK68" i="5"/>
  <c r="AI68" i="5"/>
  <c r="AB59" i="5"/>
  <c r="AI59" i="5"/>
  <c r="AK59" i="5" s="1"/>
  <c r="DX14" i="7"/>
  <c r="DX15" i="7" s="1"/>
  <c r="DX16" i="7" s="1"/>
  <c r="DX17" i="7" s="1"/>
  <c r="F20" i="3"/>
  <c r="BN35" i="3"/>
  <c r="AP17" i="3"/>
  <c r="AP48" i="3" s="1"/>
  <c r="DW14" i="7"/>
  <c r="DW15" i="7" s="1"/>
  <c r="DW16" i="7" s="1"/>
  <c r="DW17" i="7" s="1"/>
  <c r="M51" i="9"/>
  <c r="M53" i="9"/>
  <c r="M56" i="9"/>
  <c r="V80" i="5"/>
  <c r="H20" i="9"/>
  <c r="G20" i="3"/>
  <c r="C117" i="63"/>
  <c r="C75" i="63"/>
  <c r="C167" i="63"/>
  <c r="O8" i="9"/>
  <c r="CG31" i="3"/>
  <c r="CG42" i="3" s="1"/>
  <c r="CG38" i="3"/>
  <c r="CG63" i="3" s="1"/>
  <c r="CG48" i="3"/>
  <c r="CG20" i="3"/>
  <c r="CG40" i="3" s="1"/>
  <c r="DG31" i="3"/>
  <c r="DG42" i="3" s="1"/>
  <c r="BM38" i="3"/>
  <c r="CK38" i="3"/>
  <c r="AE38" i="3"/>
  <c r="AW35" i="3"/>
  <c r="AW17" i="3"/>
  <c r="DG20" i="3"/>
  <c r="DG39" i="3" s="1"/>
  <c r="AK35" i="3"/>
  <c r="AZ35" i="3"/>
  <c r="AZ17" i="3"/>
  <c r="AK20" i="3"/>
  <c r="AK40" i="3" s="1"/>
  <c r="AK38" i="3"/>
  <c r="AK31" i="3"/>
  <c r="AK42" i="3" s="1"/>
  <c r="DG38" i="3"/>
  <c r="BM20" i="3"/>
  <c r="BM24" i="3" s="1"/>
  <c r="CK20" i="3"/>
  <c r="CK40" i="3" s="1"/>
  <c r="BY35" i="3"/>
  <c r="BY17" i="3"/>
  <c r="CI17" i="3"/>
  <c r="CI20" i="3" s="1"/>
  <c r="BS35" i="3"/>
  <c r="BS17" i="3"/>
  <c r="Q31" i="3"/>
  <c r="Q20" i="3"/>
  <c r="Q48" i="3"/>
  <c r="Q38" i="3"/>
  <c r="BN31" i="3"/>
  <c r="BN42" i="3" s="1"/>
  <c r="BN20" i="3"/>
  <c r="BT31" i="3"/>
  <c r="BT38" i="3"/>
  <c r="BT20" i="3"/>
  <c r="BT48" i="3"/>
  <c r="AK48" i="3"/>
  <c r="CL17" i="3"/>
  <c r="CL35" i="3"/>
  <c r="CL61" i="3" s="1"/>
  <c r="BO20" i="3"/>
  <c r="BO38" i="3"/>
  <c r="BO31" i="3"/>
  <c r="BO42" i="3" s="1"/>
  <c r="L31" i="3"/>
  <c r="L20" i="3"/>
  <c r="AA31" i="3"/>
  <c r="AA42" i="3" s="1"/>
  <c r="AA38" i="3"/>
  <c r="DH17" i="3"/>
  <c r="DH35" i="3"/>
  <c r="BX17" i="3"/>
  <c r="BX35" i="3"/>
  <c r="P39" i="3"/>
  <c r="I17" i="3"/>
  <c r="N48" i="3" s="1"/>
  <c r="K35" i="3"/>
  <c r="K17" i="3"/>
  <c r="BJ35" i="3"/>
  <c r="BJ17" i="3"/>
  <c r="AD35" i="3"/>
  <c r="AD17" i="3"/>
  <c r="CN20" i="3"/>
  <c r="AS17" i="3"/>
  <c r="AS35" i="3"/>
  <c r="T17" i="3"/>
  <c r="Y48" i="3" s="1"/>
  <c r="T35" i="3"/>
  <c r="BV17" i="3"/>
  <c r="BV35" i="3"/>
  <c r="AI35" i="3"/>
  <c r="AI17" i="3"/>
  <c r="AF50" i="3"/>
  <c r="AF42" i="3"/>
  <c r="DJ35" i="3"/>
  <c r="DJ17" i="3"/>
  <c r="AN167" i="12"/>
  <c r="L167" i="12"/>
  <c r="N167" i="12"/>
  <c r="H167" i="12"/>
  <c r="V167" i="12"/>
  <c r="X167" i="12" s="1"/>
  <c r="AG94" i="7"/>
  <c r="AG114" i="7"/>
  <c r="AF124" i="7"/>
  <c r="AK92" i="12"/>
  <c r="P92" i="12"/>
  <c r="E68" i="63"/>
  <c r="E52" i="63"/>
  <c r="BI73" i="5"/>
  <c r="BC234" i="5"/>
  <c r="C90" i="5"/>
  <c r="G90" i="5" s="1"/>
  <c r="BC235" i="5"/>
  <c r="BC236" i="5"/>
  <c r="C83" i="5"/>
  <c r="BC237" i="5"/>
  <c r="E83" i="5"/>
  <c r="U14" i="7" s="1"/>
  <c r="G43" i="8" s="1"/>
  <c r="V58" i="5"/>
  <c r="V52" i="5"/>
  <c r="AD52" i="5" s="1"/>
  <c r="T56" i="5"/>
  <c r="AZ191" i="7"/>
  <c r="AV192" i="7"/>
  <c r="AP28" i="3"/>
  <c r="AG58" i="11"/>
  <c r="AG91" i="11"/>
  <c r="AG92" i="11" s="1"/>
  <c r="Z39" i="3"/>
  <c r="Z40" i="3"/>
  <c r="Z24" i="3"/>
  <c r="CF122" i="7"/>
  <c r="CH92" i="7"/>
  <c r="CG112" i="7"/>
  <c r="CF94" i="7"/>
  <c r="CL92" i="7"/>
  <c r="CG92" i="7"/>
  <c r="CF96" i="7"/>
  <c r="AZ41" i="21"/>
  <c r="BE35" i="21"/>
  <c r="D59" i="13"/>
  <c r="AB66" i="5"/>
  <c r="AD66" i="5" s="1"/>
  <c r="Z69" i="5"/>
  <c r="D76" i="63"/>
  <c r="C69" i="63"/>
  <c r="C52" i="63"/>
  <c r="AH22" i="21"/>
  <c r="AH34" i="21"/>
  <c r="AH28" i="21"/>
  <c r="AH16" i="21"/>
  <c r="S42" i="9"/>
  <c r="AY34" i="10"/>
  <c r="AX37" i="10"/>
  <c r="BB94" i="7"/>
  <c r="BA94" i="7"/>
  <c r="AZ124" i="7"/>
  <c r="BA114" i="7"/>
  <c r="BI204" i="7"/>
  <c r="BH208" i="7"/>
  <c r="BM204" i="7"/>
  <c r="BI45" i="3"/>
  <c r="BD12" i="3"/>
  <c r="BD45" i="3"/>
  <c r="BD37" i="3"/>
  <c r="O154" i="7"/>
  <c r="T149" i="7"/>
  <c r="O153" i="7"/>
  <c r="CC76" i="7"/>
  <c r="CD76" i="7"/>
  <c r="J35" i="3"/>
  <c r="J17" i="3"/>
  <c r="P162" i="12"/>
  <c r="CM53" i="3" s="1"/>
  <c r="AK162" i="12"/>
  <c r="H106" i="12"/>
  <c r="AK105" i="12"/>
  <c r="P105" i="12"/>
  <c r="AF105" i="12"/>
  <c r="AC112" i="7"/>
  <c r="AD92" i="7"/>
  <c r="AC92" i="7"/>
  <c r="AH92" i="7"/>
  <c r="AB122" i="7"/>
  <c r="AP112" i="12"/>
  <c r="AQ111" i="12" s="1"/>
  <c r="J112" i="12"/>
  <c r="AP126" i="12"/>
  <c r="AQ125" i="12" s="1"/>
  <c r="S171" i="7"/>
  <c r="K10" i="11"/>
  <c r="K18" i="11" s="1"/>
  <c r="K39" i="11" s="1"/>
  <c r="K55" i="11" s="1"/>
  <c r="K58" i="11" s="1"/>
  <c r="S153" i="7"/>
  <c r="M82" i="10"/>
  <c r="BN22" i="7"/>
  <c r="BR22" i="7"/>
  <c r="BI71" i="7"/>
  <c r="BH91" i="7"/>
  <c r="BJ71" i="7"/>
  <c r="BH74" i="7"/>
  <c r="BH76" i="7"/>
  <c r="BN71" i="7"/>
  <c r="BH75" i="7"/>
  <c r="BQ70" i="7"/>
  <c r="BP76" i="7"/>
  <c r="BV70" i="7"/>
  <c r="BP75" i="7"/>
  <c r="BP90" i="7"/>
  <c r="BP74" i="7"/>
  <c r="BR70" i="7"/>
  <c r="AB94" i="7"/>
  <c r="AH94" i="7" s="1"/>
  <c r="V38" i="3"/>
  <c r="V31" i="3"/>
  <c r="V20" i="3"/>
  <c r="V48" i="3"/>
  <c r="K120" i="10"/>
  <c r="K114" i="10"/>
  <c r="K109" i="10"/>
  <c r="K121" i="10" s="1"/>
  <c r="AN31" i="3"/>
  <c r="AN48" i="3"/>
  <c r="AN38" i="3"/>
  <c r="AN20" i="3"/>
  <c r="O148" i="63"/>
  <c r="O146" i="63" s="1"/>
  <c r="O63" i="63"/>
  <c r="G10" i="63"/>
  <c r="G128" i="63"/>
  <c r="G86" i="63"/>
  <c r="G45" i="63"/>
  <c r="K130" i="63"/>
  <c r="K132" i="63" s="1"/>
  <c r="K88" i="63"/>
  <c r="K90" i="63" s="1"/>
  <c r="K47" i="63"/>
  <c r="K49" i="63" s="1"/>
  <c r="K10" i="63"/>
  <c r="AB162" i="12"/>
  <c r="AD158" i="12"/>
  <c r="BP40" i="21"/>
  <c r="BQ34" i="21"/>
  <c r="BU34" i="21"/>
  <c r="BT40" i="21"/>
  <c r="L42" i="21"/>
  <c r="P42" i="21"/>
  <c r="Q36" i="21"/>
  <c r="M36" i="21"/>
  <c r="V40" i="5"/>
  <c r="V47" i="5"/>
  <c r="O86" i="63"/>
  <c r="O35" i="63"/>
  <c r="O10" i="63"/>
  <c r="O45" i="63"/>
  <c r="AI252" i="5"/>
  <c r="AK255" i="5"/>
  <c r="AK248" i="5"/>
  <c r="AC31" i="3"/>
  <c r="AC38" i="3"/>
  <c r="AC20" i="3"/>
  <c r="F117" i="8"/>
  <c r="F124" i="8" s="1"/>
  <c r="E137" i="8"/>
  <c r="E138" i="8" s="1"/>
  <c r="E125" i="8"/>
  <c r="CO111" i="7"/>
  <c r="CN95" i="7"/>
  <c r="CO91" i="7"/>
  <c r="CP91" i="7"/>
  <c r="CN121" i="7"/>
  <c r="P151" i="7"/>
  <c r="AY39" i="3"/>
  <c r="AY24" i="3"/>
  <c r="AY40" i="3"/>
  <c r="E171" i="63"/>
  <c r="E158" i="63"/>
  <c r="Y38" i="3"/>
  <c r="Y20" i="3"/>
  <c r="Y31" i="3"/>
  <c r="AD48" i="3"/>
  <c r="F20" i="8"/>
  <c r="I75" i="5"/>
  <c r="F37" i="8"/>
  <c r="D53" i="3"/>
  <c r="DB54" i="3"/>
  <c r="DB68" i="3" s="1"/>
  <c r="G12" i="8"/>
  <c r="G19" i="8" s="1"/>
  <c r="BT188" i="7"/>
  <c r="BL28" i="3"/>
  <c r="AK169" i="7"/>
  <c r="AB106" i="12"/>
  <c r="AB128" i="5"/>
  <c r="AB153" i="5"/>
  <c r="V132" i="8"/>
  <c r="U132" i="8"/>
  <c r="AM65" i="11"/>
  <c r="AM67" i="11" s="1"/>
  <c r="AO130" i="10"/>
  <c r="AM36" i="11"/>
  <c r="AM39" i="11" s="1"/>
  <c r="AM93" i="11" s="1"/>
  <c r="AM94" i="11" s="1"/>
  <c r="M35" i="21"/>
  <c r="H41" i="21"/>
  <c r="I35" i="21"/>
  <c r="L41" i="21"/>
  <c r="AB67" i="5"/>
  <c r="AD67" i="5" s="1"/>
  <c r="BK67" i="5"/>
  <c r="AI67" i="5"/>
  <c r="AK67" i="5" s="1"/>
  <c r="C16" i="63"/>
  <c r="C26" i="63"/>
  <c r="C31" i="63"/>
  <c r="CB41" i="21"/>
  <c r="CG35" i="21"/>
  <c r="O113" i="10"/>
  <c r="M113" i="10"/>
  <c r="M108" i="10"/>
  <c r="AP20" i="7"/>
  <c r="AL20" i="7"/>
  <c r="AY13" i="10"/>
  <c r="AX14" i="10"/>
  <c r="AB134" i="12"/>
  <c r="AD140" i="12"/>
  <c r="AD133" i="12"/>
  <c r="AB40" i="21"/>
  <c r="X40" i="21"/>
  <c r="AC34" i="21"/>
  <c r="DM14" i="3"/>
  <c r="Q25" i="9"/>
  <c r="AP111" i="12"/>
  <c r="AQ110" i="12" s="1"/>
  <c r="AP125" i="12"/>
  <c r="AQ124" i="12" s="1"/>
  <c r="J118" i="12"/>
  <c r="J111" i="12"/>
  <c r="BR35" i="7"/>
  <c r="BM35" i="7"/>
  <c r="BN35" i="7"/>
  <c r="BL36" i="7"/>
  <c r="AH37" i="3"/>
  <c r="AH47" i="3"/>
  <c r="AM47" i="3"/>
  <c r="AH17" i="3"/>
  <c r="AM48" i="3" s="1"/>
  <c r="M86" i="11"/>
  <c r="M84" i="11"/>
  <c r="H147" i="8"/>
  <c r="G39" i="9"/>
  <c r="G34" i="9"/>
  <c r="BD152" i="7"/>
  <c r="BE123" i="7"/>
  <c r="BD160" i="7"/>
  <c r="BE160" i="7" s="1"/>
  <c r="BD133" i="7"/>
  <c r="BD143" i="7" s="1"/>
  <c r="BE143" i="7" s="1"/>
  <c r="F11" i="63"/>
  <c r="AC81" i="10"/>
  <c r="DK13" i="3"/>
  <c r="O55" i="8"/>
  <c r="DK64" i="3" s="1"/>
  <c r="N20" i="9"/>
  <c r="N23" i="9"/>
  <c r="AW150" i="7"/>
  <c r="AV168" i="7"/>
  <c r="DF36" i="3"/>
  <c r="DG47" i="3"/>
  <c r="DF37" i="3"/>
  <c r="DF17" i="3"/>
  <c r="DF47" i="3"/>
  <c r="AD91" i="12"/>
  <c r="Q25" i="8"/>
  <c r="DL57" i="3"/>
  <c r="CB122" i="7"/>
  <c r="CC112" i="7"/>
  <c r="CB96" i="7"/>
  <c r="CC92" i="7"/>
  <c r="CD92" i="7"/>
  <c r="CB94" i="7"/>
  <c r="H57" i="63"/>
  <c r="H140" i="63"/>
  <c r="H99" i="63"/>
  <c r="AK29" i="12"/>
  <c r="DL13" i="3"/>
  <c r="O20" i="9"/>
  <c r="O23" i="9"/>
  <c r="P23" i="9"/>
  <c r="AE81" i="10"/>
  <c r="G11" i="63"/>
  <c r="P55" i="8"/>
  <c r="DL64" i="3" s="1"/>
  <c r="D31" i="63"/>
  <c r="D26" i="63"/>
  <c r="D16" i="63"/>
  <c r="D38" i="63"/>
  <c r="P116" i="12"/>
  <c r="AF116" i="12"/>
  <c r="H120" i="12"/>
  <c r="AK116" i="12"/>
  <c r="AI73" i="5"/>
  <c r="BK73" i="5"/>
  <c r="AB73" i="5"/>
  <c r="AD73" i="5" s="1"/>
  <c r="Z76" i="5"/>
  <c r="DJ11" i="7"/>
  <c r="C92" i="7"/>
  <c r="D72" i="7"/>
  <c r="I72" i="7"/>
  <c r="BP143" i="7"/>
  <c r="BP152" i="7"/>
  <c r="AA26" i="3"/>
  <c r="AA41" i="3"/>
  <c r="AB135" i="5"/>
  <c r="AD58" i="13"/>
  <c r="AK117" i="5"/>
  <c r="I32" i="8"/>
  <c r="BM72" i="7"/>
  <c r="BR72" i="7"/>
  <c r="BL92" i="7"/>
  <c r="BN72" i="7"/>
  <c r="BI25" i="7"/>
  <c r="BU15" i="7"/>
  <c r="BQ35" i="7"/>
  <c r="BQ25" i="7"/>
  <c r="BR15" i="7"/>
  <c r="BR16" i="7" s="1"/>
  <c r="BQ85" i="7"/>
  <c r="BQ55" i="7"/>
  <c r="BQ15" i="7"/>
  <c r="P121" i="7"/>
  <c r="K168" i="7"/>
  <c r="K150" i="7"/>
  <c r="L121" i="7"/>
  <c r="CL24" i="7"/>
  <c r="J119" i="12"/>
  <c r="AC66" i="11"/>
  <c r="AC67" i="11" s="1"/>
  <c r="DS17" i="3"/>
  <c r="DS35" i="3"/>
  <c r="P99" i="12"/>
  <c r="BB53" i="3" s="1"/>
  <c r="AK99" i="12"/>
  <c r="Y34" i="21"/>
  <c r="C49" i="5"/>
  <c r="G49" i="5" s="1"/>
  <c r="O49" i="5" s="1"/>
  <c r="E42" i="5"/>
  <c r="C42" i="5"/>
  <c r="BU75" i="7"/>
  <c r="BZ75" i="7"/>
  <c r="BV75" i="7"/>
  <c r="E76" i="63"/>
  <c r="E69" i="63"/>
  <c r="BC31" i="3"/>
  <c r="BC20" i="3"/>
  <c r="BC38" i="3"/>
  <c r="BC48" i="3"/>
  <c r="O48" i="3"/>
  <c r="O31" i="3"/>
  <c r="O38" i="3"/>
  <c r="O20" i="3"/>
  <c r="T48" i="3"/>
  <c r="E38" i="8"/>
  <c r="DA61" i="3"/>
  <c r="W18" i="11"/>
  <c r="W39" i="11" s="1"/>
  <c r="AZ56" i="3"/>
  <c r="AJ141" i="7"/>
  <c r="AJ168" i="7"/>
  <c r="AJ150" i="7"/>
  <c r="AK121" i="7"/>
  <c r="AO121" i="7"/>
  <c r="AC76" i="7"/>
  <c r="AH76" i="7"/>
  <c r="AD76" i="7"/>
  <c r="V147" i="8"/>
  <c r="U39" i="9"/>
  <c r="U34" i="9"/>
  <c r="H12" i="9"/>
  <c r="O23" i="11"/>
  <c r="I8" i="9"/>
  <c r="Q119" i="10"/>
  <c r="DE8" i="3"/>
  <c r="Q66" i="11"/>
  <c r="H8" i="9"/>
  <c r="O66" i="11"/>
  <c r="O67" i="11" s="1"/>
  <c r="H29" i="9"/>
  <c r="H33" i="9"/>
  <c r="E38" i="63"/>
  <c r="AB141" i="12"/>
  <c r="AD138" i="12"/>
  <c r="AD145" i="12"/>
  <c r="DT10" i="3"/>
  <c r="N8" i="63"/>
  <c r="AS80" i="10"/>
  <c r="V15" i="9"/>
  <c r="AS151" i="7"/>
  <c r="AO151" i="7"/>
  <c r="Q76" i="7"/>
  <c r="L76" i="7"/>
  <c r="CD24" i="21"/>
  <c r="CD36" i="21"/>
  <c r="CD30" i="21"/>
  <c r="CB42" i="3"/>
  <c r="CG64" i="3" s="1"/>
  <c r="CG50" i="3"/>
  <c r="DA62" i="3"/>
  <c r="AI84" i="10"/>
  <c r="AI85" i="10"/>
  <c r="E118" i="63"/>
  <c r="E111" i="63"/>
  <c r="N38" i="3"/>
  <c r="N20" i="3"/>
  <c r="N31" i="3"/>
  <c r="Y58" i="11"/>
  <c r="Y91" i="11"/>
  <c r="Y92" i="11" s="1"/>
  <c r="AK151" i="7"/>
  <c r="Z62" i="5"/>
  <c r="AB62" i="5" s="1"/>
  <c r="AB65" i="5"/>
  <c r="AD65" i="5" s="1"/>
  <c r="AB58" i="5"/>
  <c r="BT152" i="7"/>
  <c r="BT143" i="7"/>
  <c r="BU143" i="7" s="1"/>
  <c r="BU123" i="7"/>
  <c r="BI35" i="3"/>
  <c r="BI17" i="3"/>
  <c r="H70" i="7"/>
  <c r="G90" i="7"/>
  <c r="I70" i="7"/>
  <c r="M70" i="7"/>
  <c r="G75" i="7"/>
  <c r="G76" i="7"/>
  <c r="U39" i="3"/>
  <c r="U24" i="3"/>
  <c r="U40" i="3"/>
  <c r="DO11" i="7"/>
  <c r="DR21" i="7" s="1"/>
  <c r="AD96" i="12"/>
  <c r="BT42" i="21"/>
  <c r="BP42" i="21"/>
  <c r="BU36" i="21"/>
  <c r="Q67" i="11"/>
  <c r="K73" i="9"/>
  <c r="AS208" i="7"/>
  <c r="BM14" i="7"/>
  <c r="AW153" i="5"/>
  <c r="AU160" i="5" s="1"/>
  <c r="B113" i="12"/>
  <c r="BI14" i="7"/>
  <c r="BI44" i="7"/>
  <c r="BI34" i="7"/>
  <c r="BI84" i="7"/>
  <c r="P7" i="9"/>
  <c r="BI54" i="7"/>
  <c r="AB55" i="5"/>
  <c r="AD55" i="5" s="1"/>
  <c r="AI55" i="5"/>
  <c r="AB61" i="5"/>
  <c r="X45" i="3"/>
  <c r="X12" i="3"/>
  <c r="AC45" i="3"/>
  <c r="R111" i="5"/>
  <c r="AG107" i="5"/>
  <c r="C114" i="5"/>
  <c r="G114" i="5" s="1"/>
  <c r="AD114" i="5" s="1"/>
  <c r="AS107" i="5"/>
  <c r="C107" i="5"/>
  <c r="G107" i="5" s="1"/>
  <c r="BE76" i="7"/>
  <c r="BF76" i="7"/>
  <c r="E80" i="10"/>
  <c r="B11" i="9"/>
  <c r="D24" i="7"/>
  <c r="AF150" i="7"/>
  <c r="AF141" i="7"/>
  <c r="AF168" i="7"/>
  <c r="AF125" i="7"/>
  <c r="AF126" i="7"/>
  <c r="P133" i="12"/>
  <c r="AK133" i="12"/>
  <c r="AF133" i="12"/>
  <c r="H134" i="12"/>
  <c r="AG152" i="5"/>
  <c r="AI152" i="5" s="1"/>
  <c r="AS152" i="5"/>
  <c r="CA35" i="3"/>
  <c r="CA17" i="3"/>
  <c r="AI66" i="5"/>
  <c r="Q19" i="9"/>
  <c r="BM34" i="7"/>
  <c r="BR34" i="7"/>
  <c r="BN34" i="7"/>
  <c r="AS34" i="7"/>
  <c r="AT34" i="7"/>
  <c r="AX34" i="7"/>
  <c r="L86" i="63"/>
  <c r="L10" i="63"/>
  <c r="L35" i="63"/>
  <c r="L45" i="63"/>
  <c r="M35" i="63"/>
  <c r="Q96" i="7"/>
  <c r="L96" i="7"/>
  <c r="L116" i="7"/>
  <c r="O82" i="10"/>
  <c r="W153" i="7"/>
  <c r="X153" i="7" s="1"/>
  <c r="M10" i="11"/>
  <c r="M18" i="11" s="1"/>
  <c r="M39" i="11" s="1"/>
  <c r="M55" i="11" s="1"/>
  <c r="M58" i="11" s="1"/>
  <c r="X124" i="7"/>
  <c r="W171" i="7"/>
  <c r="X171" i="7" s="1"/>
  <c r="K142" i="7"/>
  <c r="P170" i="7"/>
  <c r="BQ35" i="3"/>
  <c r="BQ17" i="3"/>
  <c r="AD119" i="12"/>
  <c r="AI131" i="10" s="1"/>
  <c r="AD112" i="12"/>
  <c r="AG131" i="10" s="1"/>
  <c r="C62" i="5"/>
  <c r="G62" i="5" s="1"/>
  <c r="O62" i="5" s="1"/>
  <c r="C69" i="5"/>
  <c r="G69" i="5" s="1"/>
  <c r="AI58" i="5"/>
  <c r="N29" i="9"/>
  <c r="P85" i="12"/>
  <c r="AZ53" i="3" s="1"/>
  <c r="AK85" i="12"/>
  <c r="AH117" i="12"/>
  <c r="P118" i="12"/>
  <c r="R117" i="12"/>
  <c r="AK118" i="12"/>
  <c r="AF118" i="12"/>
  <c r="BN16" i="21"/>
  <c r="BN34" i="21"/>
  <c r="BN28" i="21"/>
  <c r="BN22" i="21"/>
  <c r="R7" i="9"/>
  <c r="AW167" i="5"/>
  <c r="B127" i="12"/>
  <c r="BQ24" i="7"/>
  <c r="BQ34" i="7"/>
  <c r="BQ44" i="7"/>
  <c r="BQ84" i="7"/>
  <c r="BQ14" i="7"/>
  <c r="BQ54" i="7"/>
  <c r="BU14" i="7"/>
  <c r="AV159" i="7"/>
  <c r="AW122" i="7"/>
  <c r="AV151" i="7"/>
  <c r="BA122" i="7"/>
  <c r="AV126" i="7"/>
  <c r="AV142" i="7"/>
  <c r="CL76" i="7"/>
  <c r="CK76" i="7"/>
  <c r="AJ24" i="3"/>
  <c r="AJ39" i="3"/>
  <c r="AJ40" i="3"/>
  <c r="AI58" i="11"/>
  <c r="AI91" i="11"/>
  <c r="AI92" i="11" s="1"/>
  <c r="K167" i="63"/>
  <c r="K117" i="63"/>
  <c r="K75" i="63"/>
  <c r="Z245" i="5"/>
  <c r="AB248" i="5"/>
  <c r="AD248" i="5" s="1"/>
  <c r="AB241" i="5"/>
  <c r="AD241" i="5" s="1"/>
  <c r="I31" i="3"/>
  <c r="S31" i="3"/>
  <c r="S38" i="3"/>
  <c r="S20" i="3"/>
  <c r="S48" i="3"/>
  <c r="DQ12" i="3"/>
  <c r="DR45" i="3"/>
  <c r="DQ36" i="3"/>
  <c r="AM85" i="10"/>
  <c r="AM84" i="10"/>
  <c r="AX238" i="5"/>
  <c r="DB62" i="3"/>
  <c r="F141" i="8"/>
  <c r="BM35" i="21"/>
  <c r="BH41" i="21"/>
  <c r="BI35" i="21"/>
  <c r="AK43" i="12"/>
  <c r="BU76" i="7"/>
  <c r="BZ76" i="7"/>
  <c r="BV76" i="7"/>
  <c r="J53" i="9"/>
  <c r="J51" i="9"/>
  <c r="J56" i="9"/>
  <c r="X97" i="12"/>
  <c r="AT20" i="3"/>
  <c r="AT31" i="3"/>
  <c r="AY50" i="3" s="1"/>
  <c r="AT38" i="3"/>
  <c r="V33" i="9"/>
  <c r="BC100" i="10"/>
  <c r="BE20" i="10"/>
  <c r="AI87" i="5"/>
  <c r="AB87" i="5"/>
  <c r="AD87" i="5" s="1"/>
  <c r="AB94" i="5"/>
  <c r="AD94" i="5" s="1"/>
  <c r="BK87" i="5"/>
  <c r="I45" i="63"/>
  <c r="I128" i="63"/>
  <c r="I86" i="63"/>
  <c r="BY152" i="7"/>
  <c r="BX170" i="7"/>
  <c r="P148" i="12"/>
  <c r="CK53" i="3" s="1"/>
  <c r="AK148" i="12"/>
  <c r="CL94" i="7"/>
  <c r="CK94" i="7"/>
  <c r="CJ124" i="7"/>
  <c r="CK114" i="7"/>
  <c r="I93" i="63"/>
  <c r="I134" i="63"/>
  <c r="I51" i="63"/>
  <c r="AO170" i="7"/>
  <c r="AS170" i="7"/>
  <c r="E20" i="3"/>
  <c r="E31" i="3"/>
  <c r="E38" i="3"/>
  <c r="I90" i="10"/>
  <c r="I91" i="10" s="1"/>
  <c r="AX68" i="5"/>
  <c r="K68" i="5"/>
  <c r="K72" i="5"/>
  <c r="DQ37" i="3"/>
  <c r="AY47" i="11"/>
  <c r="DR22" i="7"/>
  <c r="DR32" i="7"/>
  <c r="Y73" i="10"/>
  <c r="C111" i="63"/>
  <c r="D118" i="63"/>
  <c r="C94" i="63"/>
  <c r="J67" i="12"/>
  <c r="J74" i="12"/>
  <c r="P114" i="7"/>
  <c r="Q94" i="7"/>
  <c r="P94" i="7"/>
  <c r="O124" i="7"/>
  <c r="T124" i="7" s="1"/>
  <c r="J88" i="9"/>
  <c r="J89" i="9" s="1"/>
  <c r="J91" i="9" s="1"/>
  <c r="J93" i="9" s="1"/>
  <c r="J25" i="9"/>
  <c r="BH17" i="3"/>
  <c r="BH37" i="3"/>
  <c r="BN73" i="7"/>
  <c r="BH93" i="7"/>
  <c r="BI73" i="7"/>
  <c r="BJ73" i="7"/>
  <c r="AW96" i="7"/>
  <c r="BB96" i="7"/>
  <c r="AW116" i="7"/>
  <c r="AS91" i="11"/>
  <c r="AS92" i="11" s="1"/>
  <c r="AS58" i="11"/>
  <c r="BU74" i="7"/>
  <c r="BZ74" i="7"/>
  <c r="BV74" i="7"/>
  <c r="O99" i="63"/>
  <c r="O57" i="63"/>
  <c r="U50" i="3"/>
  <c r="U42" i="3"/>
  <c r="AK109" i="5"/>
  <c r="L114" i="7"/>
  <c r="L94" i="7"/>
  <c r="BK74" i="5"/>
  <c r="BM74" i="5" s="1"/>
  <c r="AI74" i="5"/>
  <c r="AB74" i="5"/>
  <c r="AD74" i="5" s="1"/>
  <c r="AM20" i="3"/>
  <c r="AM31" i="3"/>
  <c r="AM38" i="3"/>
  <c r="AO143" i="7"/>
  <c r="AS143" i="7"/>
  <c r="BE22" i="10"/>
  <c r="BG22" i="10" s="1"/>
  <c r="BE47" i="11" s="1"/>
  <c r="BI80" i="5"/>
  <c r="C172" i="5"/>
  <c r="G172" i="5" s="1"/>
  <c r="BM36" i="21"/>
  <c r="BQ36" i="21"/>
  <c r="BL42" i="21"/>
  <c r="O110" i="8"/>
  <c r="P5" i="8"/>
  <c r="AM55" i="11"/>
  <c r="AL59" i="13"/>
  <c r="I36" i="11"/>
  <c r="I65" i="11"/>
  <c r="I67" i="11" s="1"/>
  <c r="T76" i="7"/>
  <c r="U76" i="7"/>
  <c r="Y76" i="7"/>
  <c r="DC19" i="3"/>
  <c r="F37" i="9"/>
  <c r="BJ20" i="7"/>
  <c r="BN20" i="7"/>
  <c r="AB131" i="5"/>
  <c r="AB138" i="5"/>
  <c r="AK55" i="11"/>
  <c r="AK93" i="11"/>
  <c r="AK94" i="11" s="1"/>
  <c r="BE112" i="7"/>
  <c r="BD122" i="7"/>
  <c r="BD94" i="7"/>
  <c r="BE92" i="7"/>
  <c r="BF92" i="7"/>
  <c r="BD96" i="7"/>
  <c r="AD95" i="12"/>
  <c r="AV42" i="21"/>
  <c r="AW36" i="21"/>
  <c r="CC208" i="7"/>
  <c r="U73" i="9"/>
  <c r="U87" i="10"/>
  <c r="U88" i="10"/>
  <c r="X95" i="12"/>
  <c r="CH35" i="3"/>
  <c r="CH61" i="3" s="1"/>
  <c r="CH17" i="3"/>
  <c r="BG37" i="3"/>
  <c r="BG47" i="3"/>
  <c r="BL47" i="3"/>
  <c r="BG17" i="3"/>
  <c r="AX70" i="7"/>
  <c r="AS70" i="7"/>
  <c r="AR75" i="7"/>
  <c r="AT70" i="7"/>
  <c r="AR90" i="7"/>
  <c r="AR74" i="7"/>
  <c r="AR76" i="7"/>
  <c r="K124" i="7"/>
  <c r="K149" i="7"/>
  <c r="P149" i="7" s="1"/>
  <c r="K167" i="7"/>
  <c r="K125" i="7"/>
  <c r="K126" i="7"/>
  <c r="D35" i="7"/>
  <c r="C36" i="7"/>
  <c r="D36" i="7" s="1"/>
  <c r="C20" i="8"/>
  <c r="C117" i="8"/>
  <c r="C125" i="8" s="1"/>
  <c r="C128" i="8" s="1"/>
  <c r="BA140" i="7"/>
  <c r="CD19" i="21"/>
  <c r="CD28" i="21"/>
  <c r="CD16" i="21"/>
  <c r="CD34" i="21"/>
  <c r="CD18" i="21"/>
  <c r="CD22" i="21"/>
  <c r="CD17" i="21"/>
  <c r="I111" i="10"/>
  <c r="AZ168" i="7"/>
  <c r="BA150" i="7"/>
  <c r="BE150" i="7"/>
  <c r="F51" i="63"/>
  <c r="F134" i="63"/>
  <c r="F93" i="63"/>
  <c r="BH69" i="3"/>
  <c r="T117" i="12"/>
  <c r="V117" i="12" s="1"/>
  <c r="BD41" i="21"/>
  <c r="BJ23" i="7"/>
  <c r="BN23" i="7"/>
  <c r="CD35" i="21"/>
  <c r="CD29" i="21"/>
  <c r="CD23" i="21"/>
  <c r="AR20" i="3"/>
  <c r="I131" i="8"/>
  <c r="F57" i="3"/>
  <c r="G58" i="3" s="1"/>
  <c r="Z49" i="12"/>
  <c r="AB49" i="12" s="1"/>
  <c r="I135" i="8"/>
  <c r="Q104" i="10" s="1"/>
  <c r="H135" i="8"/>
  <c r="DD59" i="3"/>
  <c r="DD69" i="3" s="1"/>
  <c r="H131" i="8"/>
  <c r="H132" i="8" s="1"/>
  <c r="F54" i="63"/>
  <c r="F96" i="63"/>
  <c r="F137" i="63"/>
  <c r="BM24" i="7"/>
  <c r="D120" i="12"/>
  <c r="Q11" i="9"/>
  <c r="BL45" i="3"/>
  <c r="BL37" i="3"/>
  <c r="BL12" i="3"/>
  <c r="BL36" i="3"/>
  <c r="AP137" i="12"/>
  <c r="AP123" i="12"/>
  <c r="J130" i="12"/>
  <c r="J123" i="12"/>
  <c r="AC120" i="7"/>
  <c r="AB167" i="7"/>
  <c r="AB140" i="7"/>
  <c r="AG120" i="7"/>
  <c r="AB149" i="7"/>
  <c r="CK74" i="7"/>
  <c r="CL74" i="7"/>
  <c r="J79" i="8"/>
  <c r="DF58" i="3"/>
  <c r="U58" i="11"/>
  <c r="U91" i="11"/>
  <c r="U92" i="11" s="1"/>
  <c r="AB244" i="5"/>
  <c r="AD244" i="5" s="1"/>
  <c r="AB237" i="5"/>
  <c r="DL22" i="7"/>
  <c r="DL32" i="7"/>
  <c r="G36" i="7"/>
  <c r="H35" i="7"/>
  <c r="M35" i="7"/>
  <c r="I35" i="7"/>
  <c r="D20" i="3"/>
  <c r="D31" i="3"/>
  <c r="D38" i="3"/>
  <c r="D94" i="63"/>
  <c r="D107" i="63" s="1"/>
  <c r="T115" i="7"/>
  <c r="U95" i="7"/>
  <c r="T95" i="7"/>
  <c r="DL12" i="3"/>
  <c r="DU11" i="7"/>
  <c r="DL10" i="7"/>
  <c r="DI10" i="7" s="1"/>
  <c r="DU12" i="7"/>
  <c r="DU13" i="7"/>
  <c r="T28" i="5"/>
  <c r="M28" i="5"/>
  <c r="O28" i="5" s="1"/>
  <c r="H73" i="7"/>
  <c r="G93" i="7"/>
  <c r="I73" i="7"/>
  <c r="M73" i="7"/>
  <c r="AK251" i="5"/>
  <c r="AK258" i="5"/>
  <c r="CH17" i="21"/>
  <c r="CH16" i="21"/>
  <c r="CH34" i="21"/>
  <c r="CH22" i="21"/>
  <c r="CH28" i="21"/>
  <c r="M35" i="5"/>
  <c r="O35" i="5" s="1"/>
  <c r="N45" i="63"/>
  <c r="N86" i="63"/>
  <c r="N30" i="63"/>
  <c r="N160" i="63" s="1"/>
  <c r="N158" i="63" s="1"/>
  <c r="N35" i="63"/>
  <c r="AT91" i="11"/>
  <c r="AT93" i="11"/>
  <c r="DV27" i="3"/>
  <c r="X60" i="9"/>
  <c r="BC102" i="10"/>
  <c r="AK263" i="5"/>
  <c r="BK86" i="5"/>
  <c r="BM86" i="5" s="1"/>
  <c r="AI86" i="5"/>
  <c r="AB86" i="5"/>
  <c r="AD86" i="5" s="1"/>
  <c r="H8" i="63"/>
  <c r="DM10" i="3"/>
  <c r="AG80" i="10"/>
  <c r="B20" i="9"/>
  <c r="B99" i="9"/>
  <c r="AX46" i="7"/>
  <c r="AS46" i="7"/>
  <c r="CB26" i="3"/>
  <c r="CB41" i="3"/>
  <c r="E110" i="63"/>
  <c r="E94" i="63"/>
  <c r="CD31" i="21"/>
  <c r="CD37" i="21"/>
  <c r="CD25" i="21"/>
  <c r="BR20" i="3"/>
  <c r="BR31" i="3"/>
  <c r="BR48" i="3"/>
  <c r="BR38" i="3"/>
  <c r="AS48" i="3"/>
  <c r="J57" i="12"/>
  <c r="J64" i="12"/>
  <c r="BE74" i="7"/>
  <c r="BF74" i="7"/>
  <c r="P50" i="12"/>
  <c r="AK50" i="12"/>
  <c r="AF90" i="12"/>
  <c r="P90" i="12"/>
  <c r="AK90" i="12"/>
  <c r="AU38" i="3"/>
  <c r="AU31" i="3"/>
  <c r="AU20" i="3"/>
  <c r="AZ48" i="3"/>
  <c r="M21" i="5"/>
  <c r="O21" i="5" s="1"/>
  <c r="T21" i="5"/>
  <c r="V21" i="5" s="1"/>
  <c r="AN46" i="7"/>
  <c r="AO45" i="7"/>
  <c r="DU45" i="3"/>
  <c r="DT37" i="3"/>
  <c r="DT45" i="3"/>
  <c r="DT36" i="3"/>
  <c r="AY42" i="3"/>
  <c r="AE19" i="9"/>
  <c r="W23" i="9"/>
  <c r="W20" i="9"/>
  <c r="O11" i="63"/>
  <c r="DU13" i="3"/>
  <c r="DU64" i="3"/>
  <c r="X55" i="8"/>
  <c r="W33" i="9"/>
  <c r="H67" i="8"/>
  <c r="AR36" i="7"/>
  <c r="AT35" i="7"/>
  <c r="AS35" i="7"/>
  <c r="AX35" i="7"/>
  <c r="D60" i="9"/>
  <c r="DA27" i="3"/>
  <c r="E60" i="9"/>
  <c r="N15" i="9"/>
  <c r="N8" i="9"/>
  <c r="N80" i="9"/>
  <c r="N81" i="9" s="1"/>
  <c r="N86" i="9" s="1"/>
  <c r="N12" i="9"/>
  <c r="AC79" i="10"/>
  <c r="DK8" i="3"/>
  <c r="N33" i="9"/>
  <c r="F6" i="63"/>
  <c r="AC119" i="10"/>
  <c r="AA66" i="11"/>
  <c r="AA67" i="11" s="1"/>
  <c r="D128" i="8"/>
  <c r="D58" i="13"/>
  <c r="AK96" i="7"/>
  <c r="AK116" i="7"/>
  <c r="AP96" i="7"/>
  <c r="AL96" i="7"/>
  <c r="AD75" i="7"/>
  <c r="AH75" i="7"/>
  <c r="AC75" i="7"/>
  <c r="CI31" i="3"/>
  <c r="CI48" i="3"/>
  <c r="AD89" i="12"/>
  <c r="BH42" i="21"/>
  <c r="BI36" i="21"/>
  <c r="CB42" i="21"/>
  <c r="BX42" i="21"/>
  <c r="CC36" i="21"/>
  <c r="AD117" i="12"/>
  <c r="AD124" i="12"/>
  <c r="M52" i="10"/>
  <c r="BU55" i="7"/>
  <c r="BT56" i="7"/>
  <c r="BU56" i="7" s="1"/>
  <c r="BI15" i="7"/>
  <c r="BM15" i="7"/>
  <c r="BI55" i="7"/>
  <c r="BJ15" i="7"/>
  <c r="BJ16" i="7" s="1"/>
  <c r="BH43" i="21"/>
  <c r="BI37" i="21"/>
  <c r="BL43" i="21"/>
  <c r="BM37" i="21"/>
  <c r="W102" i="10"/>
  <c r="W113" i="10"/>
  <c r="U113" i="10"/>
  <c r="U119" i="10"/>
  <c r="AF123" i="7"/>
  <c r="AG113" i="7"/>
  <c r="AH93" i="7"/>
  <c r="AL93" i="7"/>
  <c r="AG93" i="7"/>
  <c r="AI88" i="5"/>
  <c r="AK95" i="5" s="1"/>
  <c r="AB88" i="5"/>
  <c r="AD88" i="5" s="1"/>
  <c r="BK88" i="5"/>
  <c r="BM95" i="5" s="1"/>
  <c r="BE167" i="7"/>
  <c r="BD172" i="7"/>
  <c r="BI72" i="7"/>
  <c r="BH92" i="7"/>
  <c r="BJ72" i="7"/>
  <c r="BL74" i="7"/>
  <c r="BM70" i="7"/>
  <c r="BL76" i="7"/>
  <c r="BN70" i="7"/>
  <c r="BL90" i="7"/>
  <c r="BL75" i="7"/>
  <c r="AI245" i="5"/>
  <c r="N30" i="21"/>
  <c r="N24" i="21"/>
  <c r="N18" i="21"/>
  <c r="N36" i="21"/>
  <c r="C90" i="7"/>
  <c r="D70" i="7"/>
  <c r="C76" i="7"/>
  <c r="D76" i="7" s="1"/>
  <c r="C74" i="7"/>
  <c r="D74" i="7" s="1"/>
  <c r="C75" i="7"/>
  <c r="D75" i="7" s="1"/>
  <c r="B28" i="8"/>
  <c r="B40" i="8"/>
  <c r="C41" i="8" s="1"/>
  <c r="AL95" i="7"/>
  <c r="AK115" i="7"/>
  <c r="AK95" i="7"/>
  <c r="AP95" i="7"/>
  <c r="AK36" i="12"/>
  <c r="P36" i="12"/>
  <c r="AK74" i="7"/>
  <c r="AP74" i="7"/>
  <c r="AL74" i="7"/>
  <c r="BA126" i="7"/>
  <c r="P111" i="12"/>
  <c r="AF111" i="12"/>
  <c r="X83" i="12"/>
  <c r="AZ42" i="21"/>
  <c r="BE36" i="21"/>
  <c r="BD42" i="21"/>
  <c r="BA36" i="21"/>
  <c r="BB31" i="21"/>
  <c r="BB37" i="21"/>
  <c r="BB19" i="21"/>
  <c r="BB25" i="21"/>
  <c r="J106" i="12"/>
  <c r="J99" i="12"/>
  <c r="DB20" i="3"/>
  <c r="DB48" i="3"/>
  <c r="DB38" i="3"/>
  <c r="DB31" i="3"/>
  <c r="BW20" i="3"/>
  <c r="BW48" i="3"/>
  <c r="BW31" i="3"/>
  <c r="BW38" i="3"/>
  <c r="BR20" i="7"/>
  <c r="BK81" i="5"/>
  <c r="AB81" i="5"/>
  <c r="AD81" i="5" s="1"/>
  <c r="AI81" i="5"/>
  <c r="AK81" i="5" s="1"/>
  <c r="AV124" i="7"/>
  <c r="AW94" i="7"/>
  <c r="AW114" i="7"/>
  <c r="AX181" i="7" s="1"/>
  <c r="AG115" i="7"/>
  <c r="AH95" i="7"/>
  <c r="AG95" i="7"/>
  <c r="AA83" i="11"/>
  <c r="AA84" i="11" s="1"/>
  <c r="I94" i="8"/>
  <c r="I114" i="10"/>
  <c r="I120" i="10"/>
  <c r="I109" i="10"/>
  <c r="I121" i="10" s="1"/>
  <c r="D52" i="63"/>
  <c r="D65" i="63" s="1"/>
  <c r="T121" i="7"/>
  <c r="S125" i="7"/>
  <c r="T125" i="7" s="1"/>
  <c r="S168" i="7"/>
  <c r="X121" i="7"/>
  <c r="S150" i="7"/>
  <c r="AE84" i="10"/>
  <c r="AE85" i="10"/>
  <c r="BT199" i="7"/>
  <c r="Q73" i="9"/>
  <c r="BM208" i="7"/>
  <c r="W144" i="7"/>
  <c r="BX153" i="7"/>
  <c r="BX161" i="7"/>
  <c r="H141" i="12"/>
  <c r="V65" i="5"/>
  <c r="X37" i="3"/>
  <c r="AK244" i="5"/>
  <c r="AA48" i="3"/>
  <c r="Q36" i="9"/>
  <c r="BM84" i="7"/>
  <c r="AH91" i="7"/>
  <c r="AB121" i="7"/>
  <c r="AC91" i="7"/>
  <c r="AD91" i="7"/>
  <c r="AC111" i="7"/>
  <c r="AB95" i="7"/>
  <c r="DI20" i="3"/>
  <c r="DI31" i="3"/>
  <c r="DI48" i="3"/>
  <c r="DI38" i="3"/>
  <c r="G54" i="63"/>
  <c r="G96" i="63"/>
  <c r="G137" i="63"/>
  <c r="AK142" i="7"/>
  <c r="DK56" i="3"/>
  <c r="P24" i="8"/>
  <c r="AI234" i="5"/>
  <c r="Z238" i="5"/>
  <c r="AB238" i="5" s="1"/>
  <c r="AO84" i="10"/>
  <c r="AO85" i="10"/>
  <c r="AJ124" i="7"/>
  <c r="AK114" i="7"/>
  <c r="AL94" i="7"/>
  <c r="AK94" i="7"/>
  <c r="AP94" i="7"/>
  <c r="CD20" i="3"/>
  <c r="CD38" i="3"/>
  <c r="CD31" i="3"/>
  <c r="CD48" i="3"/>
  <c r="BA125" i="7"/>
  <c r="BE125" i="7"/>
  <c r="AF112" i="12"/>
  <c r="H113" i="12"/>
  <c r="P113" i="12" s="1"/>
  <c r="BD53" i="3" s="1"/>
  <c r="P112" i="12"/>
  <c r="AK112" i="12"/>
  <c r="AC116" i="7"/>
  <c r="AC96" i="7"/>
  <c r="AD96" i="7"/>
  <c r="AH96" i="7"/>
  <c r="BQ204" i="7"/>
  <c r="BU204" i="7"/>
  <c r="BP208" i="7"/>
  <c r="AZ170" i="7"/>
  <c r="BA170" i="7" s="1"/>
  <c r="BA152" i="7"/>
  <c r="F39" i="9"/>
  <c r="G147" i="8"/>
  <c r="G148" i="8" s="1"/>
  <c r="F34" i="9"/>
  <c r="I34" i="21"/>
  <c r="H40" i="21"/>
  <c r="M34" i="21"/>
  <c r="L40" i="21"/>
  <c r="H71" i="12"/>
  <c r="AK70" i="12"/>
  <c r="P70" i="12"/>
  <c r="AF70" i="12"/>
  <c r="H78" i="12"/>
  <c r="BL123" i="7"/>
  <c r="BQ123" i="7" s="1"/>
  <c r="BM93" i="7"/>
  <c r="BM113" i="7"/>
  <c r="BR93" i="7"/>
  <c r="BN93" i="7"/>
  <c r="BD190" i="7"/>
  <c r="AT28" i="3"/>
  <c r="DD17" i="3"/>
  <c r="DD35" i="3"/>
  <c r="CC36" i="7"/>
  <c r="CD36" i="7"/>
  <c r="AL75" i="7"/>
  <c r="AP75" i="7"/>
  <c r="AK75" i="7"/>
  <c r="R109" i="12"/>
  <c r="AH109" i="12"/>
  <c r="AK110" i="12"/>
  <c r="P110" i="12"/>
  <c r="AF110" i="12"/>
  <c r="BJ28" i="21"/>
  <c r="BJ16" i="21"/>
  <c r="BJ22" i="21"/>
  <c r="BJ34" i="21"/>
  <c r="AB188" i="5"/>
  <c r="S18" i="11"/>
  <c r="S39" i="11" s="1"/>
  <c r="AX56" i="3"/>
  <c r="E154" i="63"/>
  <c r="E135" i="63"/>
  <c r="AO91" i="11"/>
  <c r="AO92" i="11" s="1"/>
  <c r="AO58" i="11"/>
  <c r="AX20" i="3"/>
  <c r="AX31" i="3"/>
  <c r="AX48" i="3"/>
  <c r="AX38" i="3"/>
  <c r="M134" i="63"/>
  <c r="M13" i="63"/>
  <c r="M51" i="63"/>
  <c r="M93" i="63"/>
  <c r="Q84" i="10"/>
  <c r="Q85" i="10"/>
  <c r="I67" i="8"/>
  <c r="I112" i="8"/>
  <c r="L56" i="9"/>
  <c r="L51" i="9"/>
  <c r="L53" i="9"/>
  <c r="CH74" i="7"/>
  <c r="CG74" i="7"/>
  <c r="AD97" i="12"/>
  <c r="AB108" i="5"/>
  <c r="AD108" i="5" s="1"/>
  <c r="AB118" i="5"/>
  <c r="AB85" i="12"/>
  <c r="AL57" i="13"/>
  <c r="AK256" i="5"/>
  <c r="AI259" i="5"/>
  <c r="BA34" i="21"/>
  <c r="AW34" i="21"/>
  <c r="AV40" i="21"/>
  <c r="AZ40" i="21"/>
  <c r="B36" i="9"/>
  <c r="B37" i="9" s="1"/>
  <c r="D84" i="7"/>
  <c r="BB16" i="21"/>
  <c r="BB22" i="21"/>
  <c r="BB34" i="21"/>
  <c r="BB28" i="21"/>
  <c r="BK66" i="5"/>
  <c r="V18" i="5"/>
  <c r="V25" i="5"/>
  <c r="CF35" i="3"/>
  <c r="CK61" i="3" s="1"/>
  <c r="CF17" i="3"/>
  <c r="BI35" i="7"/>
  <c r="AK84" i="7"/>
  <c r="AK24" i="7"/>
  <c r="B71" i="12"/>
  <c r="U79" i="10"/>
  <c r="AK54" i="7"/>
  <c r="AO14" i="7"/>
  <c r="AK34" i="7"/>
  <c r="AK14" i="7"/>
  <c r="AK64" i="7"/>
  <c r="AH74" i="7"/>
  <c r="AG74" i="7"/>
  <c r="U55" i="8"/>
  <c r="L11" i="63"/>
  <c r="U23" i="9"/>
  <c r="DR64" i="3"/>
  <c r="T33" i="9"/>
  <c r="DR13" i="3"/>
  <c r="AO81" i="10"/>
  <c r="T20" i="9"/>
  <c r="T23" i="9"/>
  <c r="CF204" i="7"/>
  <c r="CG207" i="7"/>
  <c r="CC207" i="7"/>
  <c r="Q132" i="8"/>
  <c r="R132" i="8"/>
  <c r="BD189" i="7"/>
  <c r="AS28" i="3"/>
  <c r="Z90" i="5"/>
  <c r="BK89" i="5"/>
  <c r="BM96" i="5" s="1"/>
  <c r="AB89" i="5"/>
  <c r="AD89" i="5" s="1"/>
  <c r="AB96" i="5"/>
  <c r="AD96" i="5" s="1"/>
  <c r="AK29" i="3"/>
  <c r="AR199" i="7"/>
  <c r="AJ140" i="7"/>
  <c r="AJ125" i="7"/>
  <c r="AJ167" i="7"/>
  <c r="AK120" i="7"/>
  <c r="AJ149" i="7"/>
  <c r="AO120" i="7"/>
  <c r="AJ126" i="7"/>
  <c r="T42" i="5"/>
  <c r="V42" i="5" s="1"/>
  <c r="Z34" i="8"/>
  <c r="Y31" i="8"/>
  <c r="Y32" i="8" s="1"/>
  <c r="X13" i="9" s="1"/>
  <c r="Y35" i="8"/>
  <c r="Y134" i="8"/>
  <c r="AI100" i="5"/>
  <c r="AB107" i="5"/>
  <c r="AD107" i="5" s="1"/>
  <c r="BE141" i="7"/>
  <c r="BA141" i="7"/>
  <c r="AZ144" i="7"/>
  <c r="BH120" i="7"/>
  <c r="BI90" i="7"/>
  <c r="BI110" i="7"/>
  <c r="BJ90" i="7"/>
  <c r="BM111" i="7"/>
  <c r="BL121" i="7"/>
  <c r="BN91" i="7"/>
  <c r="BR91" i="7"/>
  <c r="BM91" i="7"/>
  <c r="M54" i="63"/>
  <c r="M96" i="63"/>
  <c r="M137" i="63"/>
  <c r="BE37" i="3"/>
  <c r="BE45" i="3"/>
  <c r="BE12" i="3"/>
  <c r="BJ45" i="3"/>
  <c r="Z93" i="5"/>
  <c r="AI93" i="5" s="1"/>
  <c r="L68" i="3"/>
  <c r="BQ16" i="7"/>
  <c r="BU16" i="7"/>
  <c r="BQ86" i="7"/>
  <c r="BQ37" i="7"/>
  <c r="BQ36" i="7"/>
  <c r="AB80" i="5"/>
  <c r="AD80" i="5" s="1"/>
  <c r="BK80" i="5"/>
  <c r="Z83" i="5"/>
  <c r="AI80" i="5"/>
  <c r="AK80" i="5" s="1"/>
  <c r="AK57" i="12"/>
  <c r="P57" i="12"/>
  <c r="AJ42" i="3"/>
  <c r="M34" i="7"/>
  <c r="C19" i="9"/>
  <c r="G74" i="7"/>
  <c r="I34" i="7"/>
  <c r="H34" i="7"/>
  <c r="G81" i="10"/>
  <c r="T96" i="7"/>
  <c r="U96" i="7"/>
  <c r="Y96" i="7"/>
  <c r="T116" i="7"/>
  <c r="O33" i="9"/>
  <c r="BB38" i="3"/>
  <c r="BB20" i="3"/>
  <c r="BB48" i="3"/>
  <c r="BB31" i="3"/>
  <c r="V49" i="5"/>
  <c r="BU111" i="7"/>
  <c r="BT121" i="7"/>
  <c r="BT94" i="7"/>
  <c r="BZ91" i="7"/>
  <c r="BT96" i="7"/>
  <c r="BU116" i="7" s="1"/>
  <c r="BT95" i="7"/>
  <c r="BV91" i="7"/>
  <c r="BU91" i="7"/>
  <c r="AF40" i="3"/>
  <c r="AF39" i="3"/>
  <c r="AF24" i="3"/>
  <c r="D132" i="8"/>
  <c r="D145" i="8" s="1"/>
  <c r="D140" i="8"/>
  <c r="E141" i="8" s="1"/>
  <c r="E132" i="8"/>
  <c r="E145" i="8" s="1"/>
  <c r="Z42" i="3"/>
  <c r="Z50" i="3"/>
  <c r="W172" i="7"/>
  <c r="X167" i="7"/>
  <c r="BI24" i="7"/>
  <c r="BJ24" i="7" s="1"/>
  <c r="K141" i="7"/>
  <c r="P169" i="7"/>
  <c r="AY48" i="3"/>
  <c r="CB170" i="7"/>
  <c r="CC152" i="7"/>
  <c r="CO75" i="7"/>
  <c r="CP75" i="7"/>
  <c r="AC74" i="7"/>
  <c r="AD74" i="7"/>
  <c r="S122" i="7"/>
  <c r="S126" i="7" s="1"/>
  <c r="T92" i="7"/>
  <c r="U92" i="7"/>
  <c r="T112" i="7"/>
  <c r="Y92" i="7"/>
  <c r="D93" i="7"/>
  <c r="C113" i="7"/>
  <c r="L72" i="9"/>
  <c r="DI29" i="3" s="1"/>
  <c r="M71" i="9"/>
  <c r="DI28" i="3"/>
  <c r="O86" i="11"/>
  <c r="O84" i="11"/>
  <c r="DC45" i="3"/>
  <c r="DC12" i="3"/>
  <c r="DC36" i="3"/>
  <c r="DD45" i="3"/>
  <c r="CG76" i="7"/>
  <c r="CH76" i="7"/>
  <c r="AD158" i="5"/>
  <c r="T88" i="5"/>
  <c r="V88" i="5" s="1"/>
  <c r="M88" i="5"/>
  <c r="O88" i="5" s="1"/>
  <c r="BG88" i="5"/>
  <c r="BI88" i="5" s="1"/>
  <c r="AD172" i="5"/>
  <c r="BI69" i="3"/>
  <c r="J158" i="5"/>
  <c r="K158" i="5"/>
  <c r="T118" i="12"/>
  <c r="T131" i="12"/>
  <c r="V131" i="12" s="1"/>
  <c r="J172" i="5"/>
  <c r="J171" i="5"/>
  <c r="K172" i="5"/>
  <c r="K171" i="5"/>
  <c r="AD110" i="5"/>
  <c r="R164" i="5"/>
  <c r="AS164" i="5" s="1"/>
  <c r="AM171" i="5"/>
  <c r="AU164" i="5"/>
  <c r="AU163" i="5"/>
  <c r="R163" i="5"/>
  <c r="AS163" i="5" s="1"/>
  <c r="AM170" i="5"/>
  <c r="AD122" i="5"/>
  <c r="AI149" i="5"/>
  <c r="AD121" i="5"/>
  <c r="M157" i="5"/>
  <c r="M164" i="5"/>
  <c r="AD102" i="5"/>
  <c r="X130" i="12"/>
  <c r="X137" i="12"/>
  <c r="AK115" i="5"/>
  <c r="AK122" i="5"/>
  <c r="K113" i="8"/>
  <c r="AB132" i="5"/>
  <c r="AB125" i="5"/>
  <c r="N8" i="8"/>
  <c r="N113" i="8" s="1"/>
  <c r="AO139" i="5"/>
  <c r="AQ132" i="5"/>
  <c r="AM130" i="5"/>
  <c r="AO132" i="5"/>
  <c r="AM128" i="5"/>
  <c r="AM129" i="5"/>
  <c r="AB111" i="5"/>
  <c r="AD123" i="5"/>
  <c r="AG165" i="5"/>
  <c r="AI165" i="5" s="1"/>
  <c r="C165" i="5"/>
  <c r="G165" i="5" s="1"/>
  <c r="T165" i="5"/>
  <c r="AD124" i="5"/>
  <c r="DR13" i="7"/>
  <c r="DQ13" i="7" s="1"/>
  <c r="DN24" i="7"/>
  <c r="DN34" i="7"/>
  <c r="AG156" i="5"/>
  <c r="AS156" i="5"/>
  <c r="C156" i="5"/>
  <c r="G156" i="5" s="1"/>
  <c r="AD156" i="5" s="1"/>
  <c r="H52" i="8"/>
  <c r="H10" i="8"/>
  <c r="D117" i="63"/>
  <c r="D167" i="63"/>
  <c r="D122" i="63"/>
  <c r="D123" i="63" s="1"/>
  <c r="D80" i="63"/>
  <c r="D81" i="63" s="1"/>
  <c r="D175" i="63"/>
  <c r="D176" i="63" s="1"/>
  <c r="D75" i="63"/>
  <c r="AG97" i="5"/>
  <c r="AK102" i="5"/>
  <c r="AS165" i="5"/>
  <c r="AD103" i="5"/>
  <c r="AQ159" i="5"/>
  <c r="AM166" i="5"/>
  <c r="AM167" i="5" s="1"/>
  <c r="R159" i="5"/>
  <c r="R160" i="5" s="1"/>
  <c r="AU159" i="5"/>
  <c r="AB160" i="5"/>
  <c r="AB167" i="5"/>
  <c r="T179" i="5"/>
  <c r="AG179" i="5"/>
  <c r="AI179" i="5" s="1"/>
  <c r="AK179" i="5" s="1"/>
  <c r="C179" i="5"/>
  <c r="G179" i="5" s="1"/>
  <c r="DR14" i="7"/>
  <c r="AG118" i="5"/>
  <c r="AI114" i="5"/>
  <c r="AK121" i="5" s="1"/>
  <c r="AK82" i="5"/>
  <c r="AK89" i="5"/>
  <c r="H114" i="8"/>
  <c r="G14" i="9"/>
  <c r="G15" i="9" s="1"/>
  <c r="G17" i="9"/>
  <c r="H145" i="8"/>
  <c r="AG143" i="5"/>
  <c r="AI143" i="5" s="1"/>
  <c r="C150" i="5"/>
  <c r="G150" i="5" s="1"/>
  <c r="C143" i="5"/>
  <c r="G143" i="5" s="1"/>
  <c r="E75" i="63"/>
  <c r="E167" i="63"/>
  <c r="E175" i="63"/>
  <c r="E176" i="63" s="1"/>
  <c r="E122" i="63"/>
  <c r="E123" i="63" s="1"/>
  <c r="E117" i="63"/>
  <c r="E80" i="63"/>
  <c r="E81" i="63" s="1"/>
  <c r="J67" i="8"/>
  <c r="J112" i="8"/>
  <c r="I14" i="9"/>
  <c r="J40" i="8"/>
  <c r="J9" i="8"/>
  <c r="AI101" i="5"/>
  <c r="AG104" i="5"/>
  <c r="M7" i="8"/>
  <c r="M113" i="8"/>
  <c r="C118" i="5"/>
  <c r="G118" i="5" s="1"/>
  <c r="C125" i="5"/>
  <c r="G125" i="5" s="1"/>
  <c r="AS118" i="5"/>
  <c r="L7" i="8"/>
  <c r="AG151" i="5"/>
  <c r="AI151" i="5" s="1"/>
  <c r="T151" i="5"/>
  <c r="R153" i="5"/>
  <c r="I113" i="8"/>
  <c r="I9" i="8"/>
  <c r="AS151" i="5"/>
  <c r="AI123" i="5"/>
  <c r="AK123" i="5" s="1"/>
  <c r="AG125" i="5"/>
  <c r="DR20" i="7"/>
  <c r="DR30" i="7"/>
  <c r="T157" i="5"/>
  <c r="V157" i="5" s="1"/>
  <c r="AG157" i="5"/>
  <c r="AI157" i="5" s="1"/>
  <c r="AK157" i="5" s="1"/>
  <c r="AS157" i="5"/>
  <c r="C157" i="5"/>
  <c r="G157" i="5" s="1"/>
  <c r="BM89" i="5"/>
  <c r="R186" i="5"/>
  <c r="AM193" i="5"/>
  <c r="AU186" i="5"/>
  <c r="AN144" i="7" l="1"/>
  <c r="K172" i="7"/>
  <c r="K144" i="7" s="1"/>
  <c r="BY143" i="7"/>
  <c r="BC119" i="10"/>
  <c r="BC113" i="10"/>
  <c r="BG24" i="10"/>
  <c r="BE107" i="10"/>
  <c r="CQ29" i="3"/>
  <c r="CS29" i="3"/>
  <c r="CR29" i="3"/>
  <c r="P54" i="63"/>
  <c r="P96" i="63"/>
  <c r="V21" i="72"/>
  <c r="V24" i="72" s="1"/>
  <c r="O29" i="72"/>
  <c r="N37" i="72"/>
  <c r="N39" i="72" s="1"/>
  <c r="N35" i="72"/>
  <c r="BN42" i="7"/>
  <c r="BP42" i="7"/>
  <c r="BM42" i="7"/>
  <c r="BI14" i="3" s="1"/>
  <c r="BL40" i="7"/>
  <c r="BB14" i="3"/>
  <c r="BI40" i="7"/>
  <c r="BJ40" i="7"/>
  <c r="BM41" i="7"/>
  <c r="BH14" i="3" s="1"/>
  <c r="BN41" i="7"/>
  <c r="BP41" i="7"/>
  <c r="BL45" i="7"/>
  <c r="BF43" i="7"/>
  <c r="AZ14" i="3"/>
  <c r="BE43" i="7"/>
  <c r="BH43" i="7"/>
  <c r="BJ45" i="7"/>
  <c r="BH46" i="7"/>
  <c r="F42" i="3"/>
  <c r="AR48" i="3"/>
  <c r="CM38" i="3"/>
  <c r="P40" i="3"/>
  <c r="AR31" i="3"/>
  <c r="CM20" i="3"/>
  <c r="CN38" i="3"/>
  <c r="AE31" i="3"/>
  <c r="AE20" i="3"/>
  <c r="AJ48" i="3"/>
  <c r="L122" i="7"/>
  <c r="G151" i="7"/>
  <c r="L151" i="7" s="1"/>
  <c r="G169" i="7"/>
  <c r="X125" i="7"/>
  <c r="V28" i="5"/>
  <c r="G42" i="5"/>
  <c r="O42" i="5" s="1"/>
  <c r="CC125" i="7"/>
  <c r="CG125" i="7"/>
  <c r="CC24" i="3"/>
  <c r="CC40" i="3"/>
  <c r="C168" i="7"/>
  <c r="C140" i="7" s="1"/>
  <c r="H140" i="7" s="1"/>
  <c r="C150" i="7"/>
  <c r="H150" i="7" s="1"/>
  <c r="CR206" i="7"/>
  <c r="CS205" i="7"/>
  <c r="AK113" i="12"/>
  <c r="CG39" i="3"/>
  <c r="CC168" i="7"/>
  <c r="CB172" i="7"/>
  <c r="CG168" i="7"/>
  <c r="P137" i="63"/>
  <c r="AN172" i="7"/>
  <c r="AN173" i="7" s="1"/>
  <c r="AS168" i="7"/>
  <c r="CR196" i="7"/>
  <c r="CR200" i="7" s="1"/>
  <c r="CM61" i="3"/>
  <c r="BE100" i="10"/>
  <c r="BG20" i="10"/>
  <c r="BG12" i="10"/>
  <c r="BE27" i="11" s="1"/>
  <c r="BC27" i="11"/>
  <c r="CC141" i="7"/>
  <c r="CG141" i="7"/>
  <c r="AN153" i="7"/>
  <c r="AN161" i="7"/>
  <c r="AN171" i="7"/>
  <c r="BA54" i="10"/>
  <c r="BA45" i="11"/>
  <c r="CC39" i="3"/>
  <c r="CC150" i="7"/>
  <c r="CG150" i="7"/>
  <c r="O134" i="63"/>
  <c r="O93" i="63"/>
  <c r="O51" i="63"/>
  <c r="BC47" i="11"/>
  <c r="J92" i="8"/>
  <c r="I241" i="5"/>
  <c r="K237" i="5"/>
  <c r="I244" i="5"/>
  <c r="I248" i="5" s="1"/>
  <c r="I80" i="8"/>
  <c r="I82" i="8"/>
  <c r="K73" i="8"/>
  <c r="K78" i="8" s="1"/>
  <c r="DA24" i="3"/>
  <c r="DA41" i="3" s="1"/>
  <c r="DA38" i="3"/>
  <c r="DA31" i="3"/>
  <c r="DA42" i="3" s="1"/>
  <c r="DA39" i="3"/>
  <c r="I38" i="3"/>
  <c r="AK50" i="3"/>
  <c r="DT12" i="3"/>
  <c r="DT17" i="3" s="1"/>
  <c r="I48" i="3"/>
  <c r="I20" i="3"/>
  <c r="AO31" i="3"/>
  <c r="AO48" i="3"/>
  <c r="G38" i="3"/>
  <c r="G31" i="3"/>
  <c r="L50" i="3" s="1"/>
  <c r="CF61" i="3"/>
  <c r="AU48" i="3"/>
  <c r="AO38" i="3"/>
  <c r="AT48" i="3"/>
  <c r="DR29" i="3"/>
  <c r="U72" i="9"/>
  <c r="E16" i="63"/>
  <c r="E26" i="63"/>
  <c r="E31" i="63"/>
  <c r="D43" i="9"/>
  <c r="D45" i="9"/>
  <c r="D40" i="9"/>
  <c r="D154" i="63"/>
  <c r="D135" i="63"/>
  <c r="E40" i="9"/>
  <c r="E45" i="9"/>
  <c r="E43" i="9"/>
  <c r="I40" i="9"/>
  <c r="I43" i="9"/>
  <c r="I25" i="9" s="1"/>
  <c r="I45" i="9"/>
  <c r="D40" i="63"/>
  <c r="C143" i="63"/>
  <c r="C145" i="63" s="1"/>
  <c r="C163" i="63"/>
  <c r="P64" i="12"/>
  <c r="AW53" i="3" s="1"/>
  <c r="AK64" i="12"/>
  <c r="DL33" i="7"/>
  <c r="DL23" i="7"/>
  <c r="AB174" i="5"/>
  <c r="I114" i="8"/>
  <c r="I140" i="8" s="1"/>
  <c r="BM81" i="5"/>
  <c r="AK75" i="5"/>
  <c r="AK68" i="5"/>
  <c r="DR31" i="7"/>
  <c r="BM75" i="5"/>
  <c r="AK252" i="5"/>
  <c r="CG24" i="3"/>
  <c r="CG26" i="3" s="1"/>
  <c r="CG49" i="3" s="1"/>
  <c r="AP20" i="3"/>
  <c r="AP31" i="3"/>
  <c r="AP38" i="3"/>
  <c r="F39" i="3"/>
  <c r="F24" i="3"/>
  <c r="F40" i="3"/>
  <c r="BM40" i="3"/>
  <c r="AK24" i="3"/>
  <c r="AK26" i="3" s="1"/>
  <c r="AK39" i="3"/>
  <c r="CK39" i="3"/>
  <c r="DO13" i="7"/>
  <c r="BM73" i="5"/>
  <c r="G40" i="3"/>
  <c r="G39" i="3"/>
  <c r="G24" i="3"/>
  <c r="AG153" i="5"/>
  <c r="DK10" i="7"/>
  <c r="DL20" i="7" s="1"/>
  <c r="G83" i="5"/>
  <c r="BM39" i="3"/>
  <c r="CK24" i="3"/>
  <c r="CK41" i="3" s="1"/>
  <c r="DG24" i="3"/>
  <c r="AW20" i="3"/>
  <c r="AW38" i="3"/>
  <c r="AW31" i="3"/>
  <c r="BB50" i="3" s="1"/>
  <c r="DG40" i="3"/>
  <c r="AZ38" i="3"/>
  <c r="AZ20" i="3"/>
  <c r="AZ31" i="3"/>
  <c r="AZ42" i="3" s="1"/>
  <c r="AW48" i="3"/>
  <c r="CN48" i="3"/>
  <c r="BY31" i="3"/>
  <c r="BY48" i="3"/>
  <c r="BY38" i="3"/>
  <c r="BY20" i="3"/>
  <c r="CI38" i="3"/>
  <c r="P26" i="3"/>
  <c r="P41" i="3"/>
  <c r="DH48" i="3"/>
  <c r="DH31" i="3"/>
  <c r="DI50" i="3" s="1"/>
  <c r="DH20" i="3"/>
  <c r="DH38" i="3"/>
  <c r="BM41" i="3"/>
  <c r="BM26" i="3"/>
  <c r="L42" i="3"/>
  <c r="CL20" i="3"/>
  <c r="CL38" i="3"/>
  <c r="CL63" i="3" s="1"/>
  <c r="CL48" i="3"/>
  <c r="CL31" i="3"/>
  <c r="BT39" i="3"/>
  <c r="BT24" i="3"/>
  <c r="BT40" i="3"/>
  <c r="BN24" i="3"/>
  <c r="BN40" i="3"/>
  <c r="BN39" i="3"/>
  <c r="Q39" i="3"/>
  <c r="Q24" i="3"/>
  <c r="Q40" i="3"/>
  <c r="BS31" i="3"/>
  <c r="BS48" i="3"/>
  <c r="BS20" i="3"/>
  <c r="BS38" i="3"/>
  <c r="BO24" i="3"/>
  <c r="BO39" i="3"/>
  <c r="BO40" i="3"/>
  <c r="Q42" i="3"/>
  <c r="Q50" i="3"/>
  <c r="BX48" i="3"/>
  <c r="BX20" i="3"/>
  <c r="BX31" i="3"/>
  <c r="BX38" i="3"/>
  <c r="CC48" i="3"/>
  <c r="BT50" i="3"/>
  <c r="BT42" i="3"/>
  <c r="L39" i="3"/>
  <c r="L24" i="3"/>
  <c r="L40" i="3"/>
  <c r="DG41" i="3"/>
  <c r="DG26" i="3"/>
  <c r="K38" i="3"/>
  <c r="K48" i="3"/>
  <c r="K31" i="3"/>
  <c r="P48" i="3"/>
  <c r="K20" i="3"/>
  <c r="BV20" i="3"/>
  <c r="BV31" i="3"/>
  <c r="BV42" i="3" s="1"/>
  <c r="BV38" i="3"/>
  <c r="AS38" i="3"/>
  <c r="AS31" i="3"/>
  <c r="AX50" i="3" s="1"/>
  <c r="AS20" i="3"/>
  <c r="AD20" i="3"/>
  <c r="AD31" i="3"/>
  <c r="AD42" i="3" s="1"/>
  <c r="AD38" i="3"/>
  <c r="AI38" i="3"/>
  <c r="AI48" i="3"/>
  <c r="AI20" i="3"/>
  <c r="AI31" i="3"/>
  <c r="AN50" i="3" s="1"/>
  <c r="T20" i="3"/>
  <c r="T38" i="3"/>
  <c r="T31" i="3"/>
  <c r="T42" i="3" s="1"/>
  <c r="BO48" i="3"/>
  <c r="BJ20" i="3"/>
  <c r="BJ31" i="3"/>
  <c r="BJ38" i="3"/>
  <c r="CN39" i="3"/>
  <c r="CN40" i="3"/>
  <c r="CN24" i="3"/>
  <c r="H74" i="7"/>
  <c r="G94" i="7"/>
  <c r="M74" i="7"/>
  <c r="I74" i="7"/>
  <c r="U85" i="10"/>
  <c r="U84" i="10"/>
  <c r="S55" i="11"/>
  <c r="S93" i="11"/>
  <c r="AB141" i="7"/>
  <c r="AC141" i="7" s="1"/>
  <c r="AB150" i="7"/>
  <c r="AC150" i="7" s="1"/>
  <c r="AB168" i="7"/>
  <c r="AC168" i="7" s="1"/>
  <c r="AC121" i="7"/>
  <c r="AB126" i="7"/>
  <c r="AC126" i="7" s="1"/>
  <c r="AG121" i="7"/>
  <c r="AB125" i="7"/>
  <c r="AC125" i="7" s="1"/>
  <c r="DQ14" i="7"/>
  <c r="DO14" i="7"/>
  <c r="AK165" i="5"/>
  <c r="AK172" i="5"/>
  <c r="AX42" i="3"/>
  <c r="BW42" i="3"/>
  <c r="BW50" i="3"/>
  <c r="CB50" i="3"/>
  <c r="DB24" i="3"/>
  <c r="DB40" i="3"/>
  <c r="DB39" i="3"/>
  <c r="DC35" i="3"/>
  <c r="DC17" i="3"/>
  <c r="AO167" i="7"/>
  <c r="AJ172" i="7"/>
  <c r="AK167" i="7"/>
  <c r="AI238" i="5"/>
  <c r="AK245" i="5" s="1"/>
  <c r="AK241" i="5"/>
  <c r="N71" i="9"/>
  <c r="DJ28" i="3"/>
  <c r="BU115" i="7"/>
  <c r="BU95" i="7"/>
  <c r="BZ95" i="7"/>
  <c r="D113" i="7"/>
  <c r="C123" i="7"/>
  <c r="BM74" i="7"/>
  <c r="BN74" i="7"/>
  <c r="BK83" i="5"/>
  <c r="AB83" i="5"/>
  <c r="T150" i="7"/>
  <c r="S154" i="7"/>
  <c r="X150" i="7"/>
  <c r="T39" i="9"/>
  <c r="U147" i="8"/>
  <c r="T34" i="9"/>
  <c r="Z134" i="8"/>
  <c r="Z35" i="8"/>
  <c r="AA34" i="8"/>
  <c r="Z31" i="8"/>
  <c r="Z32" i="8" s="1"/>
  <c r="Y13" i="9" s="1"/>
  <c r="CF31" i="3"/>
  <c r="CF20" i="3"/>
  <c r="CF38" i="3"/>
  <c r="CK63" i="3" s="1"/>
  <c r="CF48" i="3"/>
  <c r="CK48" i="3"/>
  <c r="BK90" i="5"/>
  <c r="AB90" i="5"/>
  <c r="AD90" i="5" s="1"/>
  <c r="AF26" i="3"/>
  <c r="AF41" i="3"/>
  <c r="BU94" i="7"/>
  <c r="BT124" i="7"/>
  <c r="BZ94" i="7"/>
  <c r="BU114" i="7"/>
  <c r="P147" i="8"/>
  <c r="O34" i="9"/>
  <c r="O83" i="9" s="1"/>
  <c r="O39" i="9"/>
  <c r="L57" i="9"/>
  <c r="M57" i="9"/>
  <c r="T126" i="7"/>
  <c r="X126" i="7"/>
  <c r="AV161" i="7"/>
  <c r="AV153" i="7"/>
  <c r="CI39" i="3"/>
  <c r="CI40" i="3"/>
  <c r="CI24" i="3"/>
  <c r="AX36" i="7"/>
  <c r="AS36" i="7"/>
  <c r="AT36" i="7"/>
  <c r="BN24" i="7"/>
  <c r="X117" i="12"/>
  <c r="X124" i="12"/>
  <c r="AT75" i="7"/>
  <c r="AS75" i="7"/>
  <c r="AX75" i="7"/>
  <c r="AG126" i="7"/>
  <c r="AK168" i="7"/>
  <c r="AO168" i="7"/>
  <c r="AO40" i="3"/>
  <c r="AO24" i="3"/>
  <c r="AO39" i="3"/>
  <c r="DK37" i="3"/>
  <c r="DK36" i="3"/>
  <c r="DK47" i="3"/>
  <c r="Y42" i="3"/>
  <c r="AC42" i="3"/>
  <c r="O105" i="63"/>
  <c r="O149" i="63" s="1"/>
  <c r="O147" i="63"/>
  <c r="BI76" i="7"/>
  <c r="BJ76" i="7"/>
  <c r="CG94" i="7"/>
  <c r="CG114" i="7"/>
  <c r="CH94" i="7"/>
  <c r="CF124" i="7"/>
  <c r="CK124" i="7" s="1"/>
  <c r="K173" i="7"/>
  <c r="P173" i="7" s="1"/>
  <c r="G88" i="10"/>
  <c r="G87" i="10"/>
  <c r="AJ144" i="7"/>
  <c r="AO140" i="7"/>
  <c r="AK140" i="7"/>
  <c r="AX28" i="3"/>
  <c r="BH189" i="7"/>
  <c r="DR36" i="3"/>
  <c r="DR17" i="3"/>
  <c r="DR37" i="3"/>
  <c r="DS47" i="3"/>
  <c r="DR47" i="3"/>
  <c r="DD38" i="3"/>
  <c r="DD20" i="3"/>
  <c r="DD31" i="3"/>
  <c r="AK78" i="12"/>
  <c r="P78" i="12"/>
  <c r="AY53" i="3" s="1"/>
  <c r="BX171" i="7"/>
  <c r="D90" i="7"/>
  <c r="C95" i="7"/>
  <c r="D95" i="7" s="1"/>
  <c r="C110" i="7"/>
  <c r="C120" i="7" s="1"/>
  <c r="C94" i="7"/>
  <c r="D94" i="7" s="1"/>
  <c r="C96" i="7"/>
  <c r="D96" i="7" s="1"/>
  <c r="BM88" i="5"/>
  <c r="DU37" i="3"/>
  <c r="DU36" i="3"/>
  <c r="DU47" i="3"/>
  <c r="DU17" i="3"/>
  <c r="BR42" i="3"/>
  <c r="BR50" i="3"/>
  <c r="BE102" i="10"/>
  <c r="M93" i="7"/>
  <c r="I93" i="7"/>
  <c r="H93" i="7"/>
  <c r="G113" i="7"/>
  <c r="G123" i="7"/>
  <c r="DL30" i="7"/>
  <c r="D24" i="3"/>
  <c r="D40" i="3"/>
  <c r="D39" i="3"/>
  <c r="K171" i="7"/>
  <c r="I82" i="10"/>
  <c r="K153" i="7"/>
  <c r="P153" i="7" s="1"/>
  <c r="E40" i="63"/>
  <c r="AM42" i="3"/>
  <c r="M68" i="5"/>
  <c r="O68" i="5" s="1"/>
  <c r="T68" i="5"/>
  <c r="BG68" i="5"/>
  <c r="K69" i="5"/>
  <c r="AT42" i="3"/>
  <c r="AT50" i="3"/>
  <c r="K54" i="9"/>
  <c r="AB245" i="5"/>
  <c r="AD245" i="5" s="1"/>
  <c r="AB252" i="5"/>
  <c r="AD252" i="5" s="1"/>
  <c r="AJ41" i="3"/>
  <c r="AJ26" i="3"/>
  <c r="BV24" i="7"/>
  <c r="BR24" i="7"/>
  <c r="P142" i="7"/>
  <c r="L49" i="63"/>
  <c r="M74" i="63"/>
  <c r="L74" i="63"/>
  <c r="K7" i="8"/>
  <c r="C111" i="5"/>
  <c r="E111" i="5"/>
  <c r="AS111" i="5"/>
  <c r="AK55" i="5"/>
  <c r="AK61" i="5"/>
  <c r="J113" i="12"/>
  <c r="J120" i="12"/>
  <c r="H34" i="9"/>
  <c r="I147" i="8"/>
  <c r="H39" i="9"/>
  <c r="DF45" i="3"/>
  <c r="DE12" i="3"/>
  <c r="DE45" i="3"/>
  <c r="DE36" i="3"/>
  <c r="DE37" i="3"/>
  <c r="AO42" i="3"/>
  <c r="AO50" i="3"/>
  <c r="DS20" i="3"/>
  <c r="DS31" i="3"/>
  <c r="DS38" i="3"/>
  <c r="D32" i="63"/>
  <c r="D21" i="63"/>
  <c r="D23" i="63" s="1"/>
  <c r="AW168" i="7"/>
  <c r="AV172" i="7"/>
  <c r="F30" i="63"/>
  <c r="F91" i="63"/>
  <c r="F37" i="63"/>
  <c r="F50" i="63"/>
  <c r="F133" i="63"/>
  <c r="BE152" i="7"/>
  <c r="BD170" i="7"/>
  <c r="BE170" i="7" s="1"/>
  <c r="C21" i="63"/>
  <c r="C23" i="63" s="1"/>
  <c r="C32" i="63"/>
  <c r="G49" i="63"/>
  <c r="BQ75" i="7"/>
  <c r="BR75" i="7"/>
  <c r="J20" i="3"/>
  <c r="J38" i="3"/>
  <c r="J31" i="3"/>
  <c r="J48" i="3"/>
  <c r="BC238" i="5"/>
  <c r="F10" i="63"/>
  <c r="F86" i="63"/>
  <c r="G116" i="63" s="1"/>
  <c r="F128" i="63"/>
  <c r="F35" i="63"/>
  <c r="F45" i="63"/>
  <c r="G74" i="63" s="1"/>
  <c r="O50" i="63"/>
  <c r="O91" i="63"/>
  <c r="O30" i="63"/>
  <c r="O160" i="63" s="1"/>
  <c r="O158" i="63" s="1"/>
  <c r="O37" i="63"/>
  <c r="AO46" i="7"/>
  <c r="BR39" i="3"/>
  <c r="BR24" i="3"/>
  <c r="N175" i="63"/>
  <c r="N122" i="63"/>
  <c r="N80" i="63"/>
  <c r="N81" i="63" s="1"/>
  <c r="N177" i="63" s="1"/>
  <c r="AC140" i="7"/>
  <c r="AG140" i="7"/>
  <c r="BL17" i="3"/>
  <c r="BQ48" i="3" s="1"/>
  <c r="BL35" i="3"/>
  <c r="J132" i="8"/>
  <c r="I132" i="8"/>
  <c r="I145" i="8" s="1"/>
  <c r="BG31" i="3"/>
  <c r="BG38" i="3"/>
  <c r="BG48" i="3"/>
  <c r="BG20" i="3"/>
  <c r="AM58" i="11"/>
  <c r="AM91" i="11"/>
  <c r="AM92" i="11" s="1"/>
  <c r="AM40" i="3"/>
  <c r="AM39" i="3"/>
  <c r="AM24" i="3"/>
  <c r="BH48" i="3"/>
  <c r="BH31" i="3"/>
  <c r="BH38" i="3"/>
  <c r="BM48" i="3"/>
  <c r="BH20" i="3"/>
  <c r="AT39" i="3"/>
  <c r="AT40" i="3"/>
  <c r="AT24" i="3"/>
  <c r="BA159" i="7"/>
  <c r="AW159" i="7"/>
  <c r="J127" i="12"/>
  <c r="J134" i="12"/>
  <c r="L122" i="63"/>
  <c r="L175" i="63"/>
  <c r="L80" i="63"/>
  <c r="L81" i="63" s="1"/>
  <c r="L177" i="63" s="1"/>
  <c r="AH168" i="7"/>
  <c r="AH171" i="7" s="1"/>
  <c r="AF172" i="7"/>
  <c r="BI38" i="3"/>
  <c r="BI20" i="3"/>
  <c r="BN48" i="3"/>
  <c r="BI31" i="3"/>
  <c r="N50" i="3"/>
  <c r="N42" i="3"/>
  <c r="W93" i="11"/>
  <c r="W94" i="11" s="1"/>
  <c r="W55" i="11"/>
  <c r="DM57" i="3"/>
  <c r="R25" i="8"/>
  <c r="M114" i="10"/>
  <c r="M109" i="10"/>
  <c r="M121" i="10" s="1"/>
  <c r="M120" i="10"/>
  <c r="F38" i="8"/>
  <c r="D59" i="3"/>
  <c r="DB61" i="3"/>
  <c r="G90" i="63"/>
  <c r="AN40" i="3"/>
  <c r="AN24" i="3"/>
  <c r="AN39" i="3"/>
  <c r="V24" i="3"/>
  <c r="V40" i="3"/>
  <c r="V39" i="3"/>
  <c r="BI91" i="7"/>
  <c r="BH121" i="7"/>
  <c r="BH125" i="7" s="1"/>
  <c r="BI125" i="7" s="1"/>
  <c r="BJ91" i="7"/>
  <c r="BI111" i="7"/>
  <c r="M72" i="10"/>
  <c r="M73" i="10"/>
  <c r="AB151" i="7"/>
  <c r="AC122" i="7"/>
  <c r="AB169" i="7"/>
  <c r="AB142" i="7"/>
  <c r="AG122" i="7"/>
  <c r="P106" i="12"/>
  <c r="BC53" i="3" s="1"/>
  <c r="AK106" i="12"/>
  <c r="BA34" i="10"/>
  <c r="AW30" i="11"/>
  <c r="AY127" i="10"/>
  <c r="CG122" i="7"/>
  <c r="CF151" i="7"/>
  <c r="CF142" i="7"/>
  <c r="CF126" i="7"/>
  <c r="CK122" i="7"/>
  <c r="CC170" i="7"/>
  <c r="CG170" i="7"/>
  <c r="P141" i="7"/>
  <c r="BT150" i="7"/>
  <c r="BT141" i="7"/>
  <c r="BY121" i="7"/>
  <c r="BT168" i="7"/>
  <c r="BT125" i="7"/>
  <c r="BU121" i="7"/>
  <c r="BT126" i="7"/>
  <c r="BL141" i="7"/>
  <c r="BQ121" i="7"/>
  <c r="BL168" i="7"/>
  <c r="BL150" i="7"/>
  <c r="BL158" i="7"/>
  <c r="BH149" i="7"/>
  <c r="BI149" i="7" s="1"/>
  <c r="BI120" i="7"/>
  <c r="BH130" i="7"/>
  <c r="BH157" i="7"/>
  <c r="BI157" i="7" s="1"/>
  <c r="BH140" i="7"/>
  <c r="BH167" i="7"/>
  <c r="AO126" i="7"/>
  <c r="AK126" i="7"/>
  <c r="AK266" i="5"/>
  <c r="AK259" i="5"/>
  <c r="AX40" i="3"/>
  <c r="AX39" i="3"/>
  <c r="AX24" i="3"/>
  <c r="AY28" i="3"/>
  <c r="BH190" i="7"/>
  <c r="AI83" i="5"/>
  <c r="DI42" i="3"/>
  <c r="AK88" i="5"/>
  <c r="N34" i="9"/>
  <c r="N83" i="9" s="1"/>
  <c r="N39" i="9"/>
  <c r="O147" i="8"/>
  <c r="AF147" i="8" s="1"/>
  <c r="P148" i="63"/>
  <c r="P146" i="63" s="1"/>
  <c r="DU14" i="7"/>
  <c r="D97" i="63"/>
  <c r="D119" i="63"/>
  <c r="D112" i="63"/>
  <c r="AC167" i="7"/>
  <c r="AG167" i="7"/>
  <c r="AR39" i="3"/>
  <c r="AR40" i="3"/>
  <c r="AR24" i="3"/>
  <c r="W173" i="7"/>
  <c r="AT76" i="7"/>
  <c r="AS76" i="7"/>
  <c r="AX76" i="7"/>
  <c r="AU50" i="11"/>
  <c r="BF94" i="7"/>
  <c r="BE94" i="7"/>
  <c r="BE114" i="7"/>
  <c r="BD124" i="7"/>
  <c r="P110" i="8"/>
  <c r="Q5" i="8"/>
  <c r="AJ44" i="7"/>
  <c r="DG14" i="3"/>
  <c r="J26" i="9"/>
  <c r="AK94" i="5"/>
  <c r="AK87" i="5"/>
  <c r="AI62" i="5"/>
  <c r="AK62" i="5" s="1"/>
  <c r="AK58" i="5"/>
  <c r="AK65" i="5"/>
  <c r="L29" i="63"/>
  <c r="L156" i="63" s="1"/>
  <c r="L154" i="63" s="1"/>
  <c r="L13" i="63"/>
  <c r="M38" i="63" s="1"/>
  <c r="R55" i="8"/>
  <c r="DO64" i="3" s="1"/>
  <c r="Q23" i="9"/>
  <c r="Q20" i="9"/>
  <c r="DO13" i="3"/>
  <c r="AI81" i="10"/>
  <c r="R23" i="9"/>
  <c r="I11" i="63"/>
  <c r="P134" i="12"/>
  <c r="CD53" i="3" s="1"/>
  <c r="AK134" i="12"/>
  <c r="X35" i="3"/>
  <c r="X17" i="3"/>
  <c r="N24" i="3"/>
  <c r="N40" i="3"/>
  <c r="N39" i="3"/>
  <c r="D92" i="7"/>
  <c r="I92" i="7"/>
  <c r="C112" i="7"/>
  <c r="C122" i="7" s="1"/>
  <c r="AK73" i="5"/>
  <c r="AI76" i="5"/>
  <c r="DL37" i="3"/>
  <c r="DM47" i="3"/>
  <c r="DL36" i="3"/>
  <c r="DL47" i="3"/>
  <c r="CD94" i="7"/>
  <c r="CC94" i="7"/>
  <c r="CB124" i="7"/>
  <c r="CC114" i="7"/>
  <c r="G40" i="9"/>
  <c r="G43" i="9"/>
  <c r="G45" i="9"/>
  <c r="K79" i="5"/>
  <c r="K90" i="10"/>
  <c r="K91" i="10" s="1"/>
  <c r="T35" i="12"/>
  <c r="V35" i="12" s="1"/>
  <c r="X35" i="12" s="1"/>
  <c r="AX75" i="5"/>
  <c r="K75" i="5"/>
  <c r="CN168" i="7"/>
  <c r="CN125" i="7"/>
  <c r="CO125" i="7" s="1"/>
  <c r="CN150" i="7"/>
  <c r="CO150" i="7" s="1"/>
  <c r="CN141" i="7"/>
  <c r="CO141" i="7" s="1"/>
  <c r="CO121" i="7"/>
  <c r="E126" i="8"/>
  <c r="E128" i="8"/>
  <c r="E129" i="8" s="1"/>
  <c r="O49" i="63"/>
  <c r="O74" i="63"/>
  <c r="G166" i="63"/>
  <c r="G132" i="63"/>
  <c r="AA50" i="3"/>
  <c r="V42" i="3"/>
  <c r="V50" i="3"/>
  <c r="BQ76" i="7"/>
  <c r="BR76" i="7"/>
  <c r="T153" i="7"/>
  <c r="P73" i="9"/>
  <c r="BI208" i="7"/>
  <c r="Z26" i="3"/>
  <c r="Z41" i="3"/>
  <c r="M94" i="63"/>
  <c r="BU208" i="7"/>
  <c r="BQ208" i="7"/>
  <c r="R73" i="9"/>
  <c r="DI39" i="3"/>
  <c r="DI40" i="3"/>
  <c r="DI24" i="3"/>
  <c r="S140" i="7"/>
  <c r="T140" i="7" s="1"/>
  <c r="T168" i="7"/>
  <c r="E49" i="3" s="1"/>
  <c r="X168" i="7"/>
  <c r="S172" i="7"/>
  <c r="AT46" i="7"/>
  <c r="C21" i="8"/>
  <c r="D21" i="8"/>
  <c r="C28" i="8"/>
  <c r="C29" i="8" s="1"/>
  <c r="AX74" i="7"/>
  <c r="AS74" i="7"/>
  <c r="AT74" i="7"/>
  <c r="BD159" i="7"/>
  <c r="BE159" i="7" s="1"/>
  <c r="BE122" i="7"/>
  <c r="BD151" i="7"/>
  <c r="BD132" i="7"/>
  <c r="BD126" i="7"/>
  <c r="BE126" i="7" s="1"/>
  <c r="BD142" i="7"/>
  <c r="C112" i="63"/>
  <c r="C107" i="63"/>
  <c r="D121" i="63" s="1"/>
  <c r="C97" i="63"/>
  <c r="L90" i="63"/>
  <c r="L116" i="63"/>
  <c r="M116" i="63"/>
  <c r="AG150" i="7"/>
  <c r="P8" i="9"/>
  <c r="AE66" i="11"/>
  <c r="AE67" i="11" s="1"/>
  <c r="P80" i="9"/>
  <c r="P81" i="9" s="1"/>
  <c r="P86" i="9" s="1"/>
  <c r="DM8" i="3"/>
  <c r="P12" i="9"/>
  <c r="AG119" i="10"/>
  <c r="P20" i="9"/>
  <c r="H6" i="63"/>
  <c r="P37" i="9"/>
  <c r="AG79" i="10"/>
  <c r="P15" i="9"/>
  <c r="Q8" i="9"/>
  <c r="P33" i="9"/>
  <c r="AG66" i="11"/>
  <c r="AG67" i="11" s="1"/>
  <c r="P29" i="9"/>
  <c r="I76" i="7"/>
  <c r="H76" i="7"/>
  <c r="N88" i="63"/>
  <c r="N47" i="63"/>
  <c r="N49" i="63" s="1"/>
  <c r="BM36" i="7"/>
  <c r="BR36" i="7"/>
  <c r="BN36" i="7"/>
  <c r="DO14" i="3"/>
  <c r="R25" i="9"/>
  <c r="AZ44" i="7"/>
  <c r="O13" i="63"/>
  <c r="O29" i="63"/>
  <c r="O156" i="63" s="1"/>
  <c r="O154" i="63" s="1"/>
  <c r="K13" i="63"/>
  <c r="K29" i="63"/>
  <c r="BD191" i="7"/>
  <c r="AU28" i="3"/>
  <c r="AZ192" i="7"/>
  <c r="S151" i="7"/>
  <c r="T122" i="7"/>
  <c r="X122" i="7"/>
  <c r="S169" i="7"/>
  <c r="CZ13" i="3"/>
  <c r="C20" i="9"/>
  <c r="DA47" i="3"/>
  <c r="C99" i="9"/>
  <c r="C33" i="9"/>
  <c r="BM80" i="5"/>
  <c r="BH94" i="7"/>
  <c r="Y135" i="8"/>
  <c r="DV59" i="3"/>
  <c r="AH134" i="8"/>
  <c r="Y131" i="8"/>
  <c r="Z131" i="8"/>
  <c r="AK149" i="7"/>
  <c r="AO149" i="7"/>
  <c r="CK204" i="7"/>
  <c r="CF208" i="7"/>
  <c r="CG204" i="7"/>
  <c r="L54" i="9"/>
  <c r="M54" i="9"/>
  <c r="M52" i="63"/>
  <c r="M65" i="63" s="1"/>
  <c r="AK71" i="12"/>
  <c r="P71" i="12"/>
  <c r="AX53" i="3" s="1"/>
  <c r="CD50" i="3"/>
  <c r="CD42" i="3"/>
  <c r="I15" i="63"/>
  <c r="DO19" i="3"/>
  <c r="Q84" i="9"/>
  <c r="Q86" i="9" s="1"/>
  <c r="Q37" i="9"/>
  <c r="DB42" i="3"/>
  <c r="DB50" i="3"/>
  <c r="BN75" i="7"/>
  <c r="BM75" i="7"/>
  <c r="BJ92" i="7"/>
  <c r="BH122" i="7"/>
  <c r="BI92" i="7"/>
  <c r="BI112" i="7"/>
  <c r="D126" i="8"/>
  <c r="AC85" i="10"/>
  <c r="AC84" i="10"/>
  <c r="DT35" i="3"/>
  <c r="N69" i="63"/>
  <c r="N159" i="63" s="1"/>
  <c r="N74" i="63"/>
  <c r="DL35" i="3"/>
  <c r="DL17" i="3"/>
  <c r="I36" i="7"/>
  <c r="H36" i="7"/>
  <c r="M36" i="7"/>
  <c r="AI80" i="10"/>
  <c r="I8" i="63"/>
  <c r="DO10" i="3"/>
  <c r="DO12" i="3" s="1"/>
  <c r="Q33" i="9"/>
  <c r="Q12" i="9"/>
  <c r="Q15" i="9"/>
  <c r="AR42" i="3"/>
  <c r="AR50" i="3"/>
  <c r="P126" i="7"/>
  <c r="AR96" i="7"/>
  <c r="AR94" i="7"/>
  <c r="AR120" i="7"/>
  <c r="AS110" i="7"/>
  <c r="AS90" i="7"/>
  <c r="AR95" i="7"/>
  <c r="AX90" i="7"/>
  <c r="AT90" i="7"/>
  <c r="AK74" i="5"/>
  <c r="K82" i="10"/>
  <c r="P124" i="7"/>
  <c r="O171" i="7"/>
  <c r="T171" i="7" s="1"/>
  <c r="E50" i="3"/>
  <c r="E42" i="3"/>
  <c r="DJ14" i="7"/>
  <c r="BA234" i="5"/>
  <c r="BQ20" i="3"/>
  <c r="BQ38" i="3"/>
  <c r="BQ31" i="3"/>
  <c r="BV48" i="3"/>
  <c r="CA48" i="3"/>
  <c r="CA31" i="3"/>
  <c r="CA38" i="3"/>
  <c r="CA20" i="3"/>
  <c r="H75" i="7"/>
  <c r="M75" i="7"/>
  <c r="I75" i="7"/>
  <c r="M76" i="7"/>
  <c r="BC50" i="3"/>
  <c r="BC42" i="3"/>
  <c r="K140" i="7"/>
  <c r="P168" i="7"/>
  <c r="L168" i="7"/>
  <c r="CM39" i="3"/>
  <c r="CM40" i="3"/>
  <c r="CM24" i="3"/>
  <c r="BA235" i="5"/>
  <c r="G50" i="63"/>
  <c r="G37" i="63"/>
  <c r="G133" i="63"/>
  <c r="G91" i="63"/>
  <c r="G30" i="63"/>
  <c r="H37" i="63"/>
  <c r="DF38" i="3"/>
  <c r="DF20" i="3"/>
  <c r="DG48" i="3"/>
  <c r="DF31" i="3"/>
  <c r="AW12" i="11"/>
  <c r="BA13" i="10"/>
  <c r="F125" i="8"/>
  <c r="F137" i="8"/>
  <c r="F138" i="8" s="1"/>
  <c r="DB53" i="3"/>
  <c r="DB70" i="3" s="1"/>
  <c r="G117" i="8"/>
  <c r="G124" i="8" s="1"/>
  <c r="O122" i="63"/>
  <c r="O175" i="63"/>
  <c r="O80" i="63"/>
  <c r="O81" i="63" s="1"/>
  <c r="O177" i="63" s="1"/>
  <c r="K68" i="63"/>
  <c r="K52" i="63"/>
  <c r="AN42" i="3"/>
  <c r="AD94" i="7"/>
  <c r="AC114" i="7"/>
  <c r="AB124" i="7"/>
  <c r="AG124" i="7" s="1"/>
  <c r="AC94" i="7"/>
  <c r="BI75" i="7"/>
  <c r="BJ75" i="7"/>
  <c r="C70" i="63"/>
  <c r="C65" i="63"/>
  <c r="D79" i="63" s="1"/>
  <c r="C55" i="63"/>
  <c r="V56" i="5"/>
  <c r="AD56" i="5" s="1"/>
  <c r="V62" i="5"/>
  <c r="AD62" i="5" s="1"/>
  <c r="AF171" i="7"/>
  <c r="AF153" i="7"/>
  <c r="DJ20" i="3"/>
  <c r="DJ31" i="3"/>
  <c r="DJ38" i="3"/>
  <c r="DJ48" i="3"/>
  <c r="BW39" i="3"/>
  <c r="BW24" i="3"/>
  <c r="BW40" i="3"/>
  <c r="DK45" i="3"/>
  <c r="DK12" i="3"/>
  <c r="H130" i="63"/>
  <c r="H88" i="63"/>
  <c r="H47" i="63"/>
  <c r="N116" i="63"/>
  <c r="N111" i="63"/>
  <c r="N161" i="63" s="1"/>
  <c r="N90" i="63"/>
  <c r="DL45" i="3"/>
  <c r="K79" i="8"/>
  <c r="K91" i="8"/>
  <c r="I251" i="5"/>
  <c r="K255" i="5" s="1"/>
  <c r="DG58" i="3"/>
  <c r="L73" i="8"/>
  <c r="L78" i="8" s="1"/>
  <c r="DQ35" i="3"/>
  <c r="DQ17" i="3"/>
  <c r="I40" i="3"/>
  <c r="I24" i="3"/>
  <c r="I39" i="3"/>
  <c r="BA142" i="7"/>
  <c r="AW142" i="7"/>
  <c r="R21" i="9"/>
  <c r="J6" i="63"/>
  <c r="R15" i="9"/>
  <c r="AI66" i="11"/>
  <c r="AI67" i="11" s="1"/>
  <c r="R20" i="9"/>
  <c r="R33" i="9"/>
  <c r="AK119" i="10"/>
  <c r="R80" i="9"/>
  <c r="R81" i="9" s="1"/>
  <c r="R86" i="9" s="1"/>
  <c r="AK79" i="10"/>
  <c r="R12" i="9"/>
  <c r="DP8" i="3"/>
  <c r="AE7" i="9"/>
  <c r="R8" i="9"/>
  <c r="R37" i="9"/>
  <c r="AK66" i="11"/>
  <c r="AK67" i="11" s="1"/>
  <c r="S8" i="9"/>
  <c r="R29" i="9"/>
  <c r="O73" i="10"/>
  <c r="AK66" i="5"/>
  <c r="AI69" i="5"/>
  <c r="BC40" i="3"/>
  <c r="BC39" i="3"/>
  <c r="BC24" i="3"/>
  <c r="L150" i="7"/>
  <c r="P150" i="7"/>
  <c r="DV13" i="7"/>
  <c r="DY13" i="7" s="1"/>
  <c r="DV11" i="7"/>
  <c r="DV12" i="7"/>
  <c r="DY12" i="7" s="1"/>
  <c r="DL11" i="7"/>
  <c r="DI11" i="7" s="1"/>
  <c r="BX188" i="7"/>
  <c r="CB188" i="7" s="1"/>
  <c r="CF188" i="7" s="1"/>
  <c r="CJ188" i="7" s="1"/>
  <c r="CN188" i="7" s="1"/>
  <c r="CR188" i="7" s="1"/>
  <c r="BQ28" i="3"/>
  <c r="F21" i="8"/>
  <c r="E99" i="9"/>
  <c r="F28" i="8"/>
  <c r="F29" i="8" s="1"/>
  <c r="AC40" i="3"/>
  <c r="AC24" i="3"/>
  <c r="AC39" i="3"/>
  <c r="G13" i="63"/>
  <c r="G29" i="63"/>
  <c r="CG116" i="7"/>
  <c r="CG96" i="7"/>
  <c r="CH96" i="7"/>
  <c r="CL96" i="7"/>
  <c r="CZ62" i="3"/>
  <c r="D141" i="8"/>
  <c r="BB42" i="3"/>
  <c r="BK93" i="5"/>
  <c r="BM93" i="5" s="1"/>
  <c r="AB93" i="5"/>
  <c r="AD93" i="5" s="1"/>
  <c r="AB100" i="5"/>
  <c r="AD100" i="5" s="1"/>
  <c r="Z97" i="5"/>
  <c r="BH96" i="7"/>
  <c r="L30" i="63"/>
  <c r="L160" i="63" s="1"/>
  <c r="L158" i="63" s="1"/>
  <c r="L37" i="63"/>
  <c r="L50" i="63"/>
  <c r="L91" i="63"/>
  <c r="M37" i="63"/>
  <c r="M26" i="63"/>
  <c r="M31" i="63"/>
  <c r="M16" i="63"/>
  <c r="E138" i="63"/>
  <c r="E162" i="63"/>
  <c r="E172" i="63"/>
  <c r="E151" i="63"/>
  <c r="AJ171" i="7"/>
  <c r="U82" i="10"/>
  <c r="AJ153" i="7"/>
  <c r="AK124" i="7"/>
  <c r="AO124" i="7"/>
  <c r="DL56" i="3"/>
  <c r="Q24" i="8"/>
  <c r="AD95" i="7"/>
  <c r="AC115" i="7"/>
  <c r="AC95" i="7"/>
  <c r="P141" i="12"/>
  <c r="CF53" i="3" s="1"/>
  <c r="AK141" i="12"/>
  <c r="BL96" i="7"/>
  <c r="BM90" i="7"/>
  <c r="BL95" i="7"/>
  <c r="BM110" i="7"/>
  <c r="BN90" i="7"/>
  <c r="BL94" i="7"/>
  <c r="BL120" i="7"/>
  <c r="Y102" i="10"/>
  <c r="CI63" i="3"/>
  <c r="X147" i="8"/>
  <c r="W39" i="9"/>
  <c r="W34" i="9"/>
  <c r="AK86" i="5"/>
  <c r="AI90" i="5"/>
  <c r="N10" i="63"/>
  <c r="K248" i="5"/>
  <c r="I249" i="5"/>
  <c r="AC149" i="7"/>
  <c r="AG149" i="7"/>
  <c r="P120" i="12"/>
  <c r="AK120" i="12"/>
  <c r="BA168" i="7"/>
  <c r="AZ172" i="7"/>
  <c r="BE168" i="7"/>
  <c r="CH48" i="3"/>
  <c r="CH31" i="3"/>
  <c r="CM50" i="3" s="1"/>
  <c r="CH38" i="3"/>
  <c r="CH63" i="3" s="1"/>
  <c r="CH20" i="3"/>
  <c r="AO144" i="7"/>
  <c r="E39" i="3"/>
  <c r="E24" i="3"/>
  <c r="E40" i="3"/>
  <c r="V39" i="9"/>
  <c r="V34" i="9"/>
  <c r="W147" i="8"/>
  <c r="S24" i="3"/>
  <c r="S40" i="3"/>
  <c r="S39" i="3"/>
  <c r="I42" i="3"/>
  <c r="I50" i="3"/>
  <c r="B12" i="9"/>
  <c r="B15" i="9" s="1"/>
  <c r="B33" i="9"/>
  <c r="U26" i="3"/>
  <c r="U49" i="3" s="1"/>
  <c r="U41" i="3"/>
  <c r="AK150" i="7"/>
  <c r="AO150" i="7"/>
  <c r="O40" i="3"/>
  <c r="O24" i="3"/>
  <c r="O39" i="3"/>
  <c r="CM48" i="3"/>
  <c r="AE88" i="10"/>
  <c r="AE87" i="10"/>
  <c r="CC116" i="7"/>
  <c r="CC96" i="7"/>
  <c r="CD96" i="7"/>
  <c r="BR40" i="3"/>
  <c r="CO95" i="7"/>
  <c r="CP95" i="7"/>
  <c r="CO115" i="7"/>
  <c r="O90" i="63"/>
  <c r="O116" i="63"/>
  <c r="K94" i="63"/>
  <c r="K110" i="63"/>
  <c r="S143" i="7"/>
  <c r="BA124" i="7"/>
  <c r="AZ153" i="7"/>
  <c r="AZ161" i="7"/>
  <c r="BA161" i="7" s="1"/>
  <c r="K18" i="63"/>
  <c r="DQ22" i="3"/>
  <c r="S43" i="9"/>
  <c r="S88" i="9" s="1"/>
  <c r="S89" i="9" s="1"/>
  <c r="S91" i="9" s="1"/>
  <c r="S93" i="9" s="1"/>
  <c r="S45" i="9"/>
  <c r="E70" i="63"/>
  <c r="E65" i="63"/>
  <c r="E79" i="63" s="1"/>
  <c r="E77" i="63"/>
  <c r="E55" i="63"/>
  <c r="CD39" i="3"/>
  <c r="CD40" i="3"/>
  <c r="CD24" i="3"/>
  <c r="AU40" i="3"/>
  <c r="AU24" i="3"/>
  <c r="AU39" i="3"/>
  <c r="J82" i="8"/>
  <c r="J80" i="8"/>
  <c r="J94" i="8"/>
  <c r="Q106" i="10"/>
  <c r="S104" i="10"/>
  <c r="AK58" i="11"/>
  <c r="AK91" i="11"/>
  <c r="AK92" i="11" s="1"/>
  <c r="BJ93" i="7"/>
  <c r="BI93" i="7"/>
  <c r="BI113" i="7"/>
  <c r="BH123" i="7"/>
  <c r="BM123" i="7" s="1"/>
  <c r="K57" i="9"/>
  <c r="U43" i="9"/>
  <c r="U40" i="9"/>
  <c r="U45" i="9"/>
  <c r="CM42" i="3"/>
  <c r="BP170" i="7"/>
  <c r="BQ152" i="7"/>
  <c r="DC54" i="3"/>
  <c r="DC68" i="3" s="1"/>
  <c r="H12" i="8"/>
  <c r="H19" i="8" s="1"/>
  <c r="M90" i="10"/>
  <c r="M91" i="10" s="1"/>
  <c r="G37" i="8"/>
  <c r="I82" i="5"/>
  <c r="G20" i="8"/>
  <c r="AY41" i="3"/>
  <c r="AY26" i="3"/>
  <c r="K154" i="63"/>
  <c r="K135" i="63"/>
  <c r="BQ74" i="7"/>
  <c r="BR74" i="7"/>
  <c r="BU96" i="7"/>
  <c r="BZ96" i="7"/>
  <c r="BB40" i="3"/>
  <c r="BB39" i="3"/>
  <c r="BB24" i="3"/>
  <c r="BE35" i="3"/>
  <c r="BE17" i="3"/>
  <c r="BH95" i="7"/>
  <c r="X16" i="9"/>
  <c r="AO125" i="7"/>
  <c r="AK125" i="7"/>
  <c r="AO87" i="10"/>
  <c r="AO88" i="10"/>
  <c r="J71" i="12"/>
  <c r="J78" i="12"/>
  <c r="H14" i="9"/>
  <c r="H15" i="9" s="1"/>
  <c r="H17" i="9"/>
  <c r="BL143" i="7"/>
  <c r="BL152" i="7"/>
  <c r="F45" i="9"/>
  <c r="F43" i="9"/>
  <c r="F40" i="9"/>
  <c r="D55" i="63"/>
  <c r="D77" i="63"/>
  <c r="D70" i="63"/>
  <c r="BN76" i="7"/>
  <c r="BM76" i="7"/>
  <c r="AF170" i="7"/>
  <c r="AF152" i="7"/>
  <c r="AF143" i="7"/>
  <c r="AF144" i="7" s="1"/>
  <c r="AG123" i="7"/>
  <c r="AK123" i="7"/>
  <c r="CI50" i="3"/>
  <c r="CI42" i="3"/>
  <c r="CI64" i="3" s="1"/>
  <c r="CN50" i="3"/>
  <c r="AU42" i="3"/>
  <c r="E112" i="63"/>
  <c r="E119" i="63"/>
  <c r="E97" i="63"/>
  <c r="E107" i="63"/>
  <c r="E121" i="63" s="1"/>
  <c r="D50" i="3"/>
  <c r="D42" i="3"/>
  <c r="AD49" i="12"/>
  <c r="AB50" i="12"/>
  <c r="AD56" i="12"/>
  <c r="AV144" i="7"/>
  <c r="BA144" i="7" s="1"/>
  <c r="K154" i="7"/>
  <c r="BE116" i="7"/>
  <c r="BF96" i="7"/>
  <c r="BE96" i="7"/>
  <c r="M72" i="5"/>
  <c r="O72" i="5" s="1"/>
  <c r="T72" i="5"/>
  <c r="BG72" i="5"/>
  <c r="BI72" i="5" s="1"/>
  <c r="CJ153" i="7"/>
  <c r="CJ161" i="7"/>
  <c r="BM94" i="5"/>
  <c r="BM87" i="5"/>
  <c r="S42" i="3"/>
  <c r="S50" i="3"/>
  <c r="BA151" i="7"/>
  <c r="AW151" i="7"/>
  <c r="AV169" i="7"/>
  <c r="M175" i="63"/>
  <c r="M122" i="63"/>
  <c r="M80" i="63"/>
  <c r="M81" i="63" s="1"/>
  <c r="M177" i="63" s="1"/>
  <c r="AG125" i="7"/>
  <c r="AI107" i="5"/>
  <c r="AG111" i="5"/>
  <c r="H90" i="7"/>
  <c r="I90" i="7"/>
  <c r="G120" i="7"/>
  <c r="G96" i="7"/>
  <c r="H96" i="7" s="1"/>
  <c r="G95" i="7"/>
  <c r="H95" i="7" s="1"/>
  <c r="G110" i="7"/>
  <c r="BU152" i="7"/>
  <c r="BT170" i="7"/>
  <c r="BU170" i="7" s="1"/>
  <c r="AK141" i="7"/>
  <c r="AO141" i="7"/>
  <c r="T50" i="3"/>
  <c r="O42" i="3"/>
  <c r="O50" i="3"/>
  <c r="BM92" i="7"/>
  <c r="BL122" i="7"/>
  <c r="BM112" i="7"/>
  <c r="BR92" i="7"/>
  <c r="BN92" i="7"/>
  <c r="AB76" i="5"/>
  <c r="AD76" i="5" s="1"/>
  <c r="BK76" i="5"/>
  <c r="CC122" i="7"/>
  <c r="CB151" i="7"/>
  <c r="CB142" i="7"/>
  <c r="CB126" i="7"/>
  <c r="CC126" i="7" s="1"/>
  <c r="AC87" i="10"/>
  <c r="AC88" i="10"/>
  <c r="AH38" i="3"/>
  <c r="AH31" i="3"/>
  <c r="AM50" i="3" s="1"/>
  <c r="AH20" i="3"/>
  <c r="AH48" i="3"/>
  <c r="Y40" i="3"/>
  <c r="Y39" i="3"/>
  <c r="Y24" i="3"/>
  <c r="G35" i="63"/>
  <c r="BQ90" i="7"/>
  <c r="BV90" i="7"/>
  <c r="BR90" i="7"/>
  <c r="BP94" i="7"/>
  <c r="BV94" i="7" s="1"/>
  <c r="BP96" i="7"/>
  <c r="BV96" i="7" s="1"/>
  <c r="BP120" i="7"/>
  <c r="BP95" i="7"/>
  <c r="BQ110" i="7"/>
  <c r="BJ74" i="7"/>
  <c r="BI74" i="7"/>
  <c r="BD17" i="3"/>
  <c r="BI48" i="3" s="1"/>
  <c r="BD35" i="3"/>
  <c r="AB69" i="5"/>
  <c r="AD69" i="5" s="1"/>
  <c r="BK69" i="5"/>
  <c r="F9" i="9"/>
  <c r="G143" i="8"/>
  <c r="G52" i="8"/>
  <c r="L9" i="8"/>
  <c r="K14" i="9"/>
  <c r="L112" i="8"/>
  <c r="L67" i="8"/>
  <c r="AK143" i="5"/>
  <c r="AK150" i="5"/>
  <c r="AG186" i="5"/>
  <c r="AI186" i="5" s="1"/>
  <c r="AK186" i="5" s="1"/>
  <c r="T186" i="5"/>
  <c r="V186" i="5" s="1"/>
  <c r="C186" i="5"/>
  <c r="G186" i="5" s="1"/>
  <c r="AK101" i="5"/>
  <c r="AI104" i="5"/>
  <c r="AM177" i="5"/>
  <c r="R170" i="5"/>
  <c r="AS170" i="5" s="1"/>
  <c r="AU170" i="5"/>
  <c r="M171" i="5"/>
  <c r="M178" i="5"/>
  <c r="AD125" i="5"/>
  <c r="J10" i="8"/>
  <c r="J52" i="8"/>
  <c r="H115" i="8"/>
  <c r="H148" i="8"/>
  <c r="H140" i="8"/>
  <c r="AD165" i="5"/>
  <c r="AM178" i="5"/>
  <c r="AU171" i="5"/>
  <c r="R171" i="5"/>
  <c r="AS171" i="5" s="1"/>
  <c r="M158" i="5"/>
  <c r="M165" i="5"/>
  <c r="T158" i="5"/>
  <c r="V158" i="5" s="1"/>
  <c r="AD118" i="5"/>
  <c r="AI156" i="5"/>
  <c r="R128" i="5"/>
  <c r="AS128" i="5" s="1"/>
  <c r="AM135" i="5"/>
  <c r="AO128" i="5"/>
  <c r="AQ128" i="5"/>
  <c r="AI153" i="5"/>
  <c r="AS186" i="5"/>
  <c r="AK158" i="5"/>
  <c r="M112" i="8"/>
  <c r="M67" i="8"/>
  <c r="L14" i="9"/>
  <c r="M9" i="8"/>
  <c r="I17" i="9"/>
  <c r="J145" i="8"/>
  <c r="J114" i="8"/>
  <c r="AD143" i="5"/>
  <c r="AD179" i="5"/>
  <c r="AG159" i="5"/>
  <c r="AI159" i="5" s="1"/>
  <c r="AK159" i="5" s="1"/>
  <c r="C159" i="5"/>
  <c r="G159" i="5" s="1"/>
  <c r="DR33" i="7"/>
  <c r="DR23" i="7"/>
  <c r="X138" i="12"/>
  <c r="X131" i="12"/>
  <c r="AU193" i="5"/>
  <c r="R193" i="5"/>
  <c r="AS193" i="5" s="1"/>
  <c r="AM200" i="5"/>
  <c r="AQ167" i="5"/>
  <c r="AU167" i="5"/>
  <c r="S8" i="8"/>
  <c r="S113" i="8" s="1"/>
  <c r="AO167" i="5"/>
  <c r="AQ165" i="5"/>
  <c r="V118" i="12"/>
  <c r="C160" i="5"/>
  <c r="G160" i="5" s="1"/>
  <c r="AS160" i="5"/>
  <c r="R7" i="8"/>
  <c r="I52" i="8"/>
  <c r="I10" i="8"/>
  <c r="AO129" i="5"/>
  <c r="AO136" i="5"/>
  <c r="R129" i="5"/>
  <c r="AS129" i="5" s="1"/>
  <c r="AQ129" i="5"/>
  <c r="C163" i="5"/>
  <c r="G163" i="5" s="1"/>
  <c r="AG163" i="5"/>
  <c r="M172" i="5"/>
  <c r="O172" i="5" s="1"/>
  <c r="M179" i="5"/>
  <c r="O179" i="5" s="1"/>
  <c r="T172" i="5"/>
  <c r="V172" i="5" s="1"/>
  <c r="Q7" i="8"/>
  <c r="AS153" i="5"/>
  <c r="J41" i="8"/>
  <c r="K41" i="8"/>
  <c r="AK93" i="5"/>
  <c r="AK100" i="5"/>
  <c r="AI97" i="5"/>
  <c r="AG164" i="5"/>
  <c r="AI164" i="5" s="1"/>
  <c r="AK164" i="5" s="1"/>
  <c r="T164" i="5"/>
  <c r="V164" i="5" s="1"/>
  <c r="C164" i="5"/>
  <c r="G164" i="5" s="1"/>
  <c r="AM131" i="5"/>
  <c r="O157" i="5"/>
  <c r="AD157" i="5"/>
  <c r="AD150" i="5"/>
  <c r="AI118" i="5"/>
  <c r="AS159" i="5"/>
  <c r="AI125" i="5"/>
  <c r="AK125" i="5" s="1"/>
  <c r="AK108" i="5"/>
  <c r="AQ130" i="5"/>
  <c r="R130" i="5"/>
  <c r="AS130" i="5" s="1"/>
  <c r="AO130" i="5"/>
  <c r="AO137" i="5"/>
  <c r="AU166" i="5"/>
  <c r="R166" i="5"/>
  <c r="R167" i="5" s="1"/>
  <c r="AM173" i="5"/>
  <c r="AQ166" i="5"/>
  <c r="AQ163" i="5"/>
  <c r="AQ164" i="5"/>
  <c r="AG141" i="7" l="1"/>
  <c r="BE113" i="10"/>
  <c r="BE119" i="10"/>
  <c r="AK69" i="5"/>
  <c r="W21" i="72"/>
  <c r="W24" i="72" s="1"/>
  <c r="O30" i="72"/>
  <c r="O15" i="72" s="1"/>
  <c r="BT42" i="7"/>
  <c r="BP159" i="7"/>
  <c r="BR42" i="7"/>
  <c r="BN14" i="3" s="1"/>
  <c r="BQ42" i="7"/>
  <c r="BM40" i="7"/>
  <c r="BG14" i="3" s="1"/>
  <c r="BP40" i="7"/>
  <c r="BN40" i="7"/>
  <c r="BJ43" i="7"/>
  <c r="BE14" i="3"/>
  <c r="BI43" i="7"/>
  <c r="BL43" i="7"/>
  <c r="BL46" i="7"/>
  <c r="BN45" i="7"/>
  <c r="BM45" i="7"/>
  <c r="BR41" i="7"/>
  <c r="BM14" i="3" s="1"/>
  <c r="BT41" i="7"/>
  <c r="BQ41" i="7"/>
  <c r="BP158" i="7"/>
  <c r="BP45" i="7"/>
  <c r="BI46" i="7"/>
  <c r="BJ46" i="7"/>
  <c r="I115" i="8"/>
  <c r="I148" i="8"/>
  <c r="CN63" i="3"/>
  <c r="AE39" i="3"/>
  <c r="AE24" i="3"/>
  <c r="AE40" i="3"/>
  <c r="AE42" i="3"/>
  <c r="AE50" i="3"/>
  <c r="AJ50" i="3"/>
  <c r="DA26" i="3"/>
  <c r="AK41" i="3"/>
  <c r="CN64" i="3"/>
  <c r="CG172" i="7"/>
  <c r="CC172" i="7"/>
  <c r="CM63" i="3"/>
  <c r="CS206" i="7"/>
  <c r="CR207" i="7"/>
  <c r="CC41" i="3"/>
  <c r="CC26" i="3"/>
  <c r="BY170" i="7"/>
  <c r="BC45" i="11"/>
  <c r="BC54" i="10"/>
  <c r="CU27" i="3" a="1"/>
  <c r="CR197" i="7"/>
  <c r="CR183" i="7"/>
  <c r="G141" i="7"/>
  <c r="L141" i="7" s="1"/>
  <c r="L169" i="7"/>
  <c r="CG41" i="3"/>
  <c r="T237" i="5"/>
  <c r="K238" i="5"/>
  <c r="K241" i="5"/>
  <c r="I242" i="5"/>
  <c r="AZ50" i="3"/>
  <c r="G42" i="3"/>
  <c r="G50" i="3"/>
  <c r="E50" i="9"/>
  <c r="E46" i="9"/>
  <c r="I10" i="11"/>
  <c r="I18" i="11" s="1"/>
  <c r="I39" i="11" s="1"/>
  <c r="I55" i="11" s="1"/>
  <c r="I58" i="11" s="1"/>
  <c r="G10" i="11"/>
  <c r="G18" i="11" s="1"/>
  <c r="G39" i="11" s="1"/>
  <c r="G55" i="11" s="1"/>
  <c r="G58" i="11" s="1"/>
  <c r="D46" i="9"/>
  <c r="D50" i="9"/>
  <c r="DS29" i="3"/>
  <c r="V72" i="9"/>
  <c r="Q10" i="11"/>
  <c r="I46" i="9"/>
  <c r="I50" i="9"/>
  <c r="D162" i="63"/>
  <c r="D172" i="63"/>
  <c r="D151" i="63"/>
  <c r="D174" i="63" s="1"/>
  <c r="D138" i="63"/>
  <c r="E32" i="63"/>
  <c r="E21" i="63"/>
  <c r="E23" i="63" s="1"/>
  <c r="DF14" i="3"/>
  <c r="I26" i="9"/>
  <c r="DK11" i="7"/>
  <c r="V179" i="5"/>
  <c r="AK90" i="5"/>
  <c r="Y50" i="3"/>
  <c r="CK26" i="3"/>
  <c r="AP50" i="3"/>
  <c r="AP42" i="3"/>
  <c r="F26" i="3"/>
  <c r="F41" i="3"/>
  <c r="AP39" i="3"/>
  <c r="AP40" i="3"/>
  <c r="AP24" i="3"/>
  <c r="AU50" i="3"/>
  <c r="AD83" i="5"/>
  <c r="BM90" i="5"/>
  <c r="V165" i="5"/>
  <c r="DV14" i="7"/>
  <c r="G26" i="3"/>
  <c r="G41" i="3"/>
  <c r="AW40" i="3"/>
  <c r="AW39" i="3"/>
  <c r="AW24" i="3"/>
  <c r="AW42" i="3"/>
  <c r="AW50" i="3"/>
  <c r="AZ24" i="3"/>
  <c r="AZ40" i="3"/>
  <c r="AZ39" i="3"/>
  <c r="BY42" i="3"/>
  <c r="BY50" i="3"/>
  <c r="BY24" i="3"/>
  <c r="BY39" i="3"/>
  <c r="BY40" i="3"/>
  <c r="BX39" i="3"/>
  <c r="BX24" i="3"/>
  <c r="BX40" i="3"/>
  <c r="BS39" i="3"/>
  <c r="BS24" i="3"/>
  <c r="BS40" i="3"/>
  <c r="Q41" i="3"/>
  <c r="Q26" i="3"/>
  <c r="BN41" i="3"/>
  <c r="BN26" i="3"/>
  <c r="BT26" i="3"/>
  <c r="BT41" i="3"/>
  <c r="DH42" i="3"/>
  <c r="DH50" i="3"/>
  <c r="CL40" i="3"/>
  <c r="CL39" i="3"/>
  <c r="CL24" i="3"/>
  <c r="L41" i="3"/>
  <c r="L26" i="3"/>
  <c r="BS42" i="3"/>
  <c r="BS50" i="3"/>
  <c r="CL50" i="3"/>
  <c r="CL42" i="3"/>
  <c r="CL64" i="3" s="1"/>
  <c r="DH40" i="3"/>
  <c r="DH39" i="3"/>
  <c r="DH24" i="3"/>
  <c r="BX50" i="3"/>
  <c r="BX42" i="3"/>
  <c r="CC50" i="3"/>
  <c r="BO26" i="3"/>
  <c r="BO41" i="3"/>
  <c r="K42" i="3"/>
  <c r="P50" i="3"/>
  <c r="K50" i="3"/>
  <c r="AD50" i="3"/>
  <c r="K24" i="3"/>
  <c r="K40" i="3"/>
  <c r="K39" i="3"/>
  <c r="BJ24" i="3"/>
  <c r="BJ40" i="3"/>
  <c r="BJ39" i="3"/>
  <c r="T40" i="3"/>
  <c r="T24" i="3"/>
  <c r="T39" i="3"/>
  <c r="AI24" i="3"/>
  <c r="AI39" i="3"/>
  <c r="AI40" i="3"/>
  <c r="AD39" i="3"/>
  <c r="AD24" i="3"/>
  <c r="AD40" i="3"/>
  <c r="CN41" i="3"/>
  <c r="CN26" i="3"/>
  <c r="AS24" i="3"/>
  <c r="AS39" i="3"/>
  <c r="AS40" i="3"/>
  <c r="BJ42" i="3"/>
  <c r="BO50" i="3"/>
  <c r="AI50" i="3"/>
  <c r="AI42" i="3"/>
  <c r="AS50" i="3"/>
  <c r="AS42" i="3"/>
  <c r="BV24" i="3"/>
  <c r="BV39" i="3"/>
  <c r="BV40" i="3"/>
  <c r="C149" i="7"/>
  <c r="C154" i="7" s="1"/>
  <c r="C167" i="7"/>
  <c r="C172" i="7" s="1"/>
  <c r="C126" i="7"/>
  <c r="C125" i="7"/>
  <c r="C124" i="7"/>
  <c r="N52" i="63"/>
  <c r="N68" i="63"/>
  <c r="N155" i="63" s="1"/>
  <c r="AS116" i="7"/>
  <c r="AS96" i="7"/>
  <c r="AT96" i="7"/>
  <c r="AX96" i="7"/>
  <c r="AG84" i="10"/>
  <c r="AG85" i="10"/>
  <c r="BI167" i="7"/>
  <c r="W91" i="11"/>
  <c r="W92" i="11" s="1"/>
  <c r="W58" i="11"/>
  <c r="BI24" i="3"/>
  <c r="BI39" i="3"/>
  <c r="BI40" i="3"/>
  <c r="DB41" i="3"/>
  <c r="DB26" i="3"/>
  <c r="M248" i="5"/>
  <c r="O248" i="5" s="1"/>
  <c r="T248" i="5"/>
  <c r="BM96" i="7"/>
  <c r="BN96" i="7"/>
  <c r="BM116" i="7"/>
  <c r="M21" i="63"/>
  <c r="M23" i="63" s="1"/>
  <c r="M32" i="63"/>
  <c r="M163" i="63" s="1"/>
  <c r="DL31" i="7"/>
  <c r="DL21" i="7"/>
  <c r="DL24" i="7" s="1"/>
  <c r="DF39" i="3"/>
  <c r="DF24" i="3"/>
  <c r="DF40" i="3"/>
  <c r="I47" i="63"/>
  <c r="I49" i="63" s="1"/>
  <c r="I130" i="63"/>
  <c r="I132" i="63" s="1"/>
  <c r="I88" i="63"/>
  <c r="I90" i="63" s="1"/>
  <c r="I10" i="63"/>
  <c r="M55" i="63"/>
  <c r="M70" i="63"/>
  <c r="O16" i="63"/>
  <c r="O31" i="63"/>
  <c r="O26" i="63"/>
  <c r="T172" i="7"/>
  <c r="S144" i="7"/>
  <c r="G46" i="9"/>
  <c r="G50" i="9"/>
  <c r="H122" i="7"/>
  <c r="C151" i="7"/>
  <c r="H151" i="7" s="1"/>
  <c r="C169" i="7"/>
  <c r="X20" i="3"/>
  <c r="X31" i="3"/>
  <c r="X48" i="3"/>
  <c r="X38" i="3"/>
  <c r="AC48" i="3"/>
  <c r="AI88" i="10"/>
  <c r="AI87" i="10"/>
  <c r="AJ40" i="7"/>
  <c r="AK44" i="7"/>
  <c r="AJ42" i="7"/>
  <c r="AJ43" i="7"/>
  <c r="AJ41" i="7"/>
  <c r="AP44" i="7"/>
  <c r="Q110" i="8"/>
  <c r="R5" i="8"/>
  <c r="AB172" i="7"/>
  <c r="AC172" i="7" s="1"/>
  <c r="P149" i="63"/>
  <c r="P147" i="63"/>
  <c r="N45" i="9"/>
  <c r="N40" i="9"/>
  <c r="N43" i="9"/>
  <c r="N88" i="9" s="1"/>
  <c r="N89" i="9" s="1"/>
  <c r="N91" i="9" s="1"/>
  <c r="N93" i="9" s="1"/>
  <c r="BI140" i="7"/>
  <c r="BQ168" i="7"/>
  <c r="BU168" i="7"/>
  <c r="BY168" i="7"/>
  <c r="BT172" i="7"/>
  <c r="AC169" i="7"/>
  <c r="AB173" i="7"/>
  <c r="AC173" i="7" s="1"/>
  <c r="AG169" i="7"/>
  <c r="G110" i="63"/>
  <c r="G94" i="63"/>
  <c r="L178" i="63"/>
  <c r="L176" i="63" s="1"/>
  <c r="L166" i="63" s="1"/>
  <c r="L128" i="63" s="1"/>
  <c r="L123" i="63"/>
  <c r="L179" i="63" s="1"/>
  <c r="BH42" i="3"/>
  <c r="BH50" i="3"/>
  <c r="BM50" i="3"/>
  <c r="O76" i="63"/>
  <c r="O69" i="63"/>
  <c r="O159" i="63" s="1"/>
  <c r="DS40" i="3"/>
  <c r="DS71" i="3" s="1"/>
  <c r="DS39" i="3"/>
  <c r="DS24" i="3"/>
  <c r="AL14" i="7"/>
  <c r="K43" i="8"/>
  <c r="I73" i="10"/>
  <c r="I72" i="10"/>
  <c r="G170" i="7"/>
  <c r="G152" i="7"/>
  <c r="L123" i="7"/>
  <c r="H123" i="7"/>
  <c r="DU38" i="3"/>
  <c r="DU20" i="3"/>
  <c r="DU48" i="3"/>
  <c r="DU31" i="3"/>
  <c r="DD42" i="3"/>
  <c r="X172" i="7"/>
  <c r="BM83" i="5"/>
  <c r="DC38" i="3"/>
  <c r="DC48" i="3"/>
  <c r="DC31" i="3"/>
  <c r="DD50" i="3" s="1"/>
  <c r="DC20" i="3"/>
  <c r="AG160" i="5"/>
  <c r="G175" i="63"/>
  <c r="G176" i="63" s="1"/>
  <c r="G80" i="63"/>
  <c r="G81" i="63" s="1"/>
  <c r="G122" i="63"/>
  <c r="G123" i="63" s="1"/>
  <c r="BE48" i="3"/>
  <c r="BE38" i="3"/>
  <c r="BE20" i="3"/>
  <c r="BJ48" i="3"/>
  <c r="BE31" i="3"/>
  <c r="AA102" i="10"/>
  <c r="AB97" i="5"/>
  <c r="AD97" i="5" s="1"/>
  <c r="AB104" i="5"/>
  <c r="AD104" i="5" s="1"/>
  <c r="BK97" i="5"/>
  <c r="BM97" i="5" s="1"/>
  <c r="AC26" i="3"/>
  <c r="AC41" i="3"/>
  <c r="BC26" i="3"/>
  <c r="BC41" i="3"/>
  <c r="DQ38" i="3"/>
  <c r="DQ31" i="3"/>
  <c r="DQ20" i="3"/>
  <c r="DQ40" i="3" s="1"/>
  <c r="DQ71" i="3" s="1"/>
  <c r="DH58" i="3"/>
  <c r="L79" i="8"/>
  <c r="I258" i="5"/>
  <c r="K258" i="5" s="1"/>
  <c r="K259" i="5" s="1"/>
  <c r="AY12" i="11"/>
  <c r="BC13" i="10"/>
  <c r="DL14" i="7"/>
  <c r="DI14" i="7" s="1"/>
  <c r="DJ24" i="7"/>
  <c r="DT48" i="3"/>
  <c r="DT31" i="3"/>
  <c r="DT20" i="3"/>
  <c r="DT38" i="3"/>
  <c r="BI122" i="7"/>
  <c r="BH132" i="7"/>
  <c r="BH142" i="7"/>
  <c r="BI142" i="7" s="1"/>
  <c r="BH159" i="7"/>
  <c r="BI159" i="7" s="1"/>
  <c r="BH151" i="7"/>
  <c r="Z132" i="8"/>
  <c r="C34" i="9"/>
  <c r="C39" i="9"/>
  <c r="D147" i="8"/>
  <c r="D148" i="8" s="1"/>
  <c r="DA48" i="3"/>
  <c r="DA50" i="3"/>
  <c r="T151" i="7"/>
  <c r="X151" i="7"/>
  <c r="P34" i="9"/>
  <c r="P83" i="9" s="1"/>
  <c r="Q147" i="8"/>
  <c r="P39" i="9"/>
  <c r="H128" i="63"/>
  <c r="H86" i="63"/>
  <c r="H35" i="63"/>
  <c r="H10" i="63"/>
  <c r="H45" i="63"/>
  <c r="H30" i="63"/>
  <c r="I35" i="63"/>
  <c r="BD136" i="7"/>
  <c r="BD134" i="7"/>
  <c r="O48" i="9" s="1"/>
  <c r="O52" i="63"/>
  <c r="O68" i="63"/>
  <c r="O155" i="63" s="1"/>
  <c r="CN172" i="7"/>
  <c r="CO172" i="7" s="1"/>
  <c r="CO168" i="7"/>
  <c r="DP47" i="3"/>
  <c r="DO36" i="3"/>
  <c r="DO47" i="3"/>
  <c r="DO37" i="3"/>
  <c r="BM121" i="7"/>
  <c r="AM26" i="3"/>
  <c r="AM41" i="3"/>
  <c r="BG50" i="3"/>
  <c r="BG42" i="3"/>
  <c r="F49" i="63"/>
  <c r="F74" i="63"/>
  <c r="J42" i="3"/>
  <c r="J50" i="3"/>
  <c r="H40" i="9"/>
  <c r="H45" i="9"/>
  <c r="H43" i="9"/>
  <c r="H25" i="9" s="1"/>
  <c r="G111" i="5"/>
  <c r="V68" i="5"/>
  <c r="T69" i="5"/>
  <c r="V69" i="5" s="1"/>
  <c r="K143" i="7"/>
  <c r="H113" i="7"/>
  <c r="DD40" i="3"/>
  <c r="DD24" i="3"/>
  <c r="DD39" i="3"/>
  <c r="BL189" i="7"/>
  <c r="BC28" i="3"/>
  <c r="AV171" i="7"/>
  <c r="BT153" i="7"/>
  <c r="BT161" i="7"/>
  <c r="BY124" i="7"/>
  <c r="AA35" i="8"/>
  <c r="AB34" i="8"/>
  <c r="AB31" i="8" s="1"/>
  <c r="AA134" i="8"/>
  <c r="AA131" i="8" s="1"/>
  <c r="AA132" i="8" s="1"/>
  <c r="T45" i="9"/>
  <c r="T40" i="9"/>
  <c r="T43" i="9"/>
  <c r="DJ34" i="7"/>
  <c r="T42" i="12"/>
  <c r="V42" i="12" s="1"/>
  <c r="X42" i="12" s="1"/>
  <c r="K82" i="5"/>
  <c r="K86" i="5"/>
  <c r="G69" i="3"/>
  <c r="AX82" i="5"/>
  <c r="BA153" i="7"/>
  <c r="AZ171" i="7"/>
  <c r="BA171" i="7" s="1"/>
  <c r="N13" i="63"/>
  <c r="O38" i="63" s="1"/>
  <c r="N29" i="63"/>
  <c r="N156" i="63" s="1"/>
  <c r="N154" i="63" s="1"/>
  <c r="DJ40" i="3"/>
  <c r="DJ24" i="3"/>
  <c r="DJ39" i="3"/>
  <c r="BH124" i="7"/>
  <c r="BJ94" i="7"/>
  <c r="BI94" i="7"/>
  <c r="BI114" i="7"/>
  <c r="AC142" i="7"/>
  <c r="AG142" i="7"/>
  <c r="DR20" i="3"/>
  <c r="DR31" i="3"/>
  <c r="DR48" i="3"/>
  <c r="DR38" i="3"/>
  <c r="AZ173" i="7"/>
  <c r="BA172" i="7"/>
  <c r="W43" i="9"/>
  <c r="W40" i="9"/>
  <c r="W45" i="9"/>
  <c r="DP12" i="3"/>
  <c r="DP36" i="3"/>
  <c r="DP37" i="3"/>
  <c r="DP45" i="3"/>
  <c r="DQ45" i="3"/>
  <c r="BQ95" i="7"/>
  <c r="BR95" i="7"/>
  <c r="BQ115" i="7"/>
  <c r="AK107" i="5"/>
  <c r="AI111" i="5"/>
  <c r="AK118" i="5" s="1"/>
  <c r="E113" i="63"/>
  <c r="E102" i="63"/>
  <c r="E104" i="63" s="1"/>
  <c r="BE172" i="7"/>
  <c r="DK35" i="3"/>
  <c r="DK17" i="3"/>
  <c r="DL48" i="3" s="1"/>
  <c r="BW41" i="3"/>
  <c r="BW26" i="3"/>
  <c r="AS115" i="7"/>
  <c r="AS95" i="7"/>
  <c r="AT95" i="7"/>
  <c r="AX95" i="7"/>
  <c r="AH131" i="8"/>
  <c r="Y132" i="8"/>
  <c r="BE151" i="7"/>
  <c r="BD169" i="7"/>
  <c r="BY141" i="7"/>
  <c r="BU141" i="7"/>
  <c r="BT144" i="7"/>
  <c r="CF153" i="7"/>
  <c r="CF161" i="7"/>
  <c r="CK161" i="7" s="1"/>
  <c r="CG124" i="7"/>
  <c r="AK114" i="5"/>
  <c r="AK97" i="5"/>
  <c r="AK104" i="5"/>
  <c r="BD38" i="3"/>
  <c r="BD31" i="3"/>
  <c r="BD20" i="3"/>
  <c r="BD48" i="3"/>
  <c r="BU120" i="7"/>
  <c r="BP126" i="7"/>
  <c r="BP157" i="7"/>
  <c r="BQ120" i="7"/>
  <c r="BP125" i="7"/>
  <c r="BP140" i="7"/>
  <c r="BP167" i="7"/>
  <c r="BP149" i="7"/>
  <c r="H110" i="7"/>
  <c r="G116" i="7"/>
  <c r="H116" i="7" s="1"/>
  <c r="G114" i="7"/>
  <c r="G115" i="7"/>
  <c r="V72" i="5"/>
  <c r="AG143" i="7"/>
  <c r="AK143" i="7"/>
  <c r="F50" i="9"/>
  <c r="F46" i="9"/>
  <c r="BB41" i="3"/>
  <c r="BB26" i="3"/>
  <c r="CD26" i="3"/>
  <c r="CD41" i="3"/>
  <c r="O41" i="3"/>
  <c r="O26" i="3"/>
  <c r="CH40" i="3"/>
  <c r="CH39" i="3"/>
  <c r="CH24" i="3"/>
  <c r="BM94" i="7"/>
  <c r="BL124" i="7"/>
  <c r="BN94" i="7"/>
  <c r="BM114" i="7"/>
  <c r="L118" i="63"/>
  <c r="L111" i="63"/>
  <c r="L161" i="63" s="1"/>
  <c r="M118" i="63"/>
  <c r="AK84" i="10"/>
  <c r="AK85" i="10"/>
  <c r="M262" i="5"/>
  <c r="T255" i="5"/>
  <c r="M255" i="5"/>
  <c r="O255" i="5" s="1"/>
  <c r="DF42" i="3"/>
  <c r="DG50" i="3"/>
  <c r="M97" i="63"/>
  <c r="M112" i="63"/>
  <c r="AR41" i="3"/>
  <c r="AR26" i="3"/>
  <c r="BQ141" i="7"/>
  <c r="BU150" i="7"/>
  <c r="BY150" i="7"/>
  <c r="CG126" i="7"/>
  <c r="CK126" i="7"/>
  <c r="V41" i="3"/>
  <c r="V26" i="3"/>
  <c r="AG172" i="7"/>
  <c r="AF173" i="7"/>
  <c r="F166" i="63"/>
  <c r="F132" i="63"/>
  <c r="J24" i="3"/>
  <c r="J40" i="3"/>
  <c r="J39" i="3"/>
  <c r="F158" i="63"/>
  <c r="F171" i="63"/>
  <c r="D39" i="63"/>
  <c r="E39" i="63"/>
  <c r="DD48" i="3"/>
  <c r="AO26" i="3"/>
  <c r="AO49" i="3" s="1"/>
  <c r="AO41" i="3"/>
  <c r="AA31" i="8"/>
  <c r="AA32" i="8" s="1"/>
  <c r="BV95" i="7"/>
  <c r="I94" i="7"/>
  <c r="H94" i="7"/>
  <c r="M94" i="7"/>
  <c r="AW169" i="7"/>
  <c r="BA169" i="7"/>
  <c r="AV173" i="7"/>
  <c r="K162" i="63"/>
  <c r="K138" i="63"/>
  <c r="K151" i="63"/>
  <c r="I250" i="5"/>
  <c r="K251" i="5" s="1"/>
  <c r="G16" i="63"/>
  <c r="G26" i="63"/>
  <c r="G31" i="63"/>
  <c r="G137" i="8"/>
  <c r="G138" i="8" s="1"/>
  <c r="G125" i="8"/>
  <c r="H117" i="8"/>
  <c r="H124" i="8" s="1"/>
  <c r="DC53" i="3"/>
  <c r="DC70" i="3" s="1"/>
  <c r="E53" i="3"/>
  <c r="L140" i="7"/>
  <c r="P140" i="7"/>
  <c r="DL38" i="3"/>
  <c r="DL31" i="3"/>
  <c r="DL20" i="3"/>
  <c r="AM82" i="10"/>
  <c r="S46" i="9"/>
  <c r="S50" i="9"/>
  <c r="V43" i="9"/>
  <c r="V40" i="9"/>
  <c r="V45" i="9"/>
  <c r="BL130" i="7"/>
  <c r="BL140" i="7" s="1"/>
  <c r="BL167" i="7"/>
  <c r="BL125" i="7"/>
  <c r="BM125" i="7" s="1"/>
  <c r="BL149" i="7"/>
  <c r="BM149" i="7" s="1"/>
  <c r="BM120" i="7"/>
  <c r="BL157" i="7"/>
  <c r="BM157" i="7" s="1"/>
  <c r="BL126" i="7"/>
  <c r="DV15" i="7"/>
  <c r="DV16" i="7" s="1"/>
  <c r="DV17" i="7" s="1"/>
  <c r="J10" i="63"/>
  <c r="K35" i="63"/>
  <c r="J128" i="63"/>
  <c r="J35" i="63"/>
  <c r="J30" i="63"/>
  <c r="J86" i="63"/>
  <c r="J45" i="63"/>
  <c r="K70" i="63"/>
  <c r="K55" i="63"/>
  <c r="K65" i="63"/>
  <c r="M75" i="5"/>
  <c r="O75" i="5" s="1"/>
  <c r="T75" i="5"/>
  <c r="V75" i="5" s="1"/>
  <c r="BG75" i="5"/>
  <c r="BI75" i="5" s="1"/>
  <c r="BD161" i="7"/>
  <c r="BE161" i="7" s="1"/>
  <c r="BD153" i="7"/>
  <c r="BE124" i="7"/>
  <c r="BC34" i="10"/>
  <c r="BA127" i="10"/>
  <c r="AY30" i="11"/>
  <c r="BQ96" i="7"/>
  <c r="BR96" i="7"/>
  <c r="BQ116" i="7"/>
  <c r="CC142" i="7"/>
  <c r="CB144" i="7"/>
  <c r="CC144" i="7" s="1"/>
  <c r="AG152" i="7"/>
  <c r="AK152" i="7"/>
  <c r="U50" i="9"/>
  <c r="AQ82" i="10"/>
  <c r="U46" i="9"/>
  <c r="E71" i="63"/>
  <c r="E60" i="63"/>
  <c r="E62" i="63" s="1"/>
  <c r="S26" i="3"/>
  <c r="S41" i="3"/>
  <c r="AK153" i="7"/>
  <c r="AO153" i="7"/>
  <c r="L69" i="63"/>
  <c r="L159" i="63" s="1"/>
  <c r="M76" i="63"/>
  <c r="L76" i="63"/>
  <c r="K92" i="8"/>
  <c r="L92" i="8"/>
  <c r="G118" i="63"/>
  <c r="G111" i="63"/>
  <c r="H118" i="63"/>
  <c r="CG208" i="7"/>
  <c r="CK208" i="7"/>
  <c r="BB44" i="7"/>
  <c r="BA44" i="7"/>
  <c r="BF44" i="7"/>
  <c r="DI41" i="3"/>
  <c r="DI26" i="3"/>
  <c r="M107" i="63"/>
  <c r="AK76" i="5"/>
  <c r="D113" i="63"/>
  <c r="D102" i="63"/>
  <c r="D104" i="63" s="1"/>
  <c r="AK83" i="5"/>
  <c r="AG168" i="7"/>
  <c r="F116" i="63"/>
  <c r="F90" i="63"/>
  <c r="F69" i="63"/>
  <c r="F76" i="63"/>
  <c r="O45" i="9"/>
  <c r="O40" i="9"/>
  <c r="O43" i="9"/>
  <c r="O88" i="9" s="1"/>
  <c r="O89" i="9" s="1"/>
  <c r="O91" i="9" s="1"/>
  <c r="O93" i="9" s="1"/>
  <c r="CF63" i="3"/>
  <c r="Z135" i="8"/>
  <c r="DW59" i="3"/>
  <c r="DK28" i="3"/>
  <c r="O71" i="9"/>
  <c r="Z13" i="9"/>
  <c r="Y16" i="9"/>
  <c r="U104" i="10"/>
  <c r="S106" i="10"/>
  <c r="I26" i="3"/>
  <c r="I41" i="3"/>
  <c r="G69" i="63"/>
  <c r="G76" i="63"/>
  <c r="H76" i="63"/>
  <c r="DO17" i="3"/>
  <c r="DO35" i="3"/>
  <c r="AX26" i="3"/>
  <c r="AX41" i="3"/>
  <c r="BU125" i="7"/>
  <c r="BY125" i="7"/>
  <c r="BH131" i="7"/>
  <c r="BH141" i="7" s="1"/>
  <c r="BI141" i="7" s="1"/>
  <c r="BH150" i="7"/>
  <c r="BI150" i="7" s="1"/>
  <c r="BH158" i="7"/>
  <c r="BI158" i="7" s="1"/>
  <c r="BH168" i="7"/>
  <c r="BI168" i="7" s="1"/>
  <c r="BI121" i="7"/>
  <c r="BL48" i="3"/>
  <c r="BL20" i="3"/>
  <c r="BL38" i="3"/>
  <c r="BL31" i="3"/>
  <c r="BQ50" i="3" s="1"/>
  <c r="O92" i="63"/>
  <c r="O118" i="63"/>
  <c r="O111" i="63"/>
  <c r="O161" i="63" s="1"/>
  <c r="L68" i="63"/>
  <c r="L155" i="63" s="1"/>
  <c r="L52" i="63"/>
  <c r="M77" i="63" s="1"/>
  <c r="D110" i="7"/>
  <c r="C116" i="7"/>
  <c r="D116" i="7" s="1"/>
  <c r="C115" i="7"/>
  <c r="C114" i="7"/>
  <c r="CI41" i="3"/>
  <c r="CI26" i="3"/>
  <c r="BM76" i="5"/>
  <c r="CK153" i="7"/>
  <c r="CJ171" i="7"/>
  <c r="G38" i="8"/>
  <c r="DC61" i="3"/>
  <c r="E59" i="3"/>
  <c r="Q112" i="10"/>
  <c r="Q118" i="10"/>
  <c r="DM56" i="3"/>
  <c r="R24" i="8"/>
  <c r="BI96" i="7"/>
  <c r="BJ96" i="7"/>
  <c r="BI116" i="7"/>
  <c r="BA237" i="5"/>
  <c r="CA42" i="3"/>
  <c r="CA50" i="3"/>
  <c r="O143" i="7"/>
  <c r="P171" i="7"/>
  <c r="Y26" i="3"/>
  <c r="Y41" i="3"/>
  <c r="BQ143" i="7"/>
  <c r="DD54" i="3"/>
  <c r="DD68" i="3" s="1"/>
  <c r="I89" i="5"/>
  <c r="M69" i="11"/>
  <c r="M73" i="11" s="1"/>
  <c r="M75" i="11" s="1"/>
  <c r="M76" i="11" s="1"/>
  <c r="H20" i="8"/>
  <c r="O90" i="10"/>
  <c r="O91" i="10" s="1"/>
  <c r="I12" i="8"/>
  <c r="I19" i="8" s="1"/>
  <c r="H37" i="8"/>
  <c r="B39" i="9"/>
  <c r="B34" i="9"/>
  <c r="F126" i="8"/>
  <c r="F128" i="8"/>
  <c r="F129" i="8" s="1"/>
  <c r="CM41" i="3"/>
  <c r="CM26" i="3"/>
  <c r="K73" i="10"/>
  <c r="K72" i="10"/>
  <c r="BH135" i="7"/>
  <c r="BH136" i="7"/>
  <c r="AC151" i="7"/>
  <c r="AG151" i="7"/>
  <c r="DO57" i="3"/>
  <c r="S25" i="8"/>
  <c r="AB144" i="7"/>
  <c r="AC144" i="7" s="1"/>
  <c r="BR94" i="7"/>
  <c r="BP124" i="7"/>
  <c r="BU124" i="7" s="1"/>
  <c r="BQ114" i="7"/>
  <c r="BQ94" i="7"/>
  <c r="AH24" i="3"/>
  <c r="AH39" i="3"/>
  <c r="AH40" i="3"/>
  <c r="CC151" i="7"/>
  <c r="CB169" i="7"/>
  <c r="M123" i="63"/>
  <c r="M179" i="63" s="1"/>
  <c r="M178" i="63"/>
  <c r="M176" i="63" s="1"/>
  <c r="M166" i="63" s="1"/>
  <c r="K76" i="5"/>
  <c r="AG170" i="7"/>
  <c r="AK170" i="7"/>
  <c r="BL170" i="7"/>
  <c r="BH160" i="7"/>
  <c r="BI160" i="7" s="1"/>
  <c r="BI123" i="7"/>
  <c r="BH152" i="7"/>
  <c r="BM152" i="7" s="1"/>
  <c r="BH133" i="7"/>
  <c r="BH134" i="7" s="1"/>
  <c r="P48" i="9" s="1"/>
  <c r="K140" i="63"/>
  <c r="K163" i="63" s="1"/>
  <c r="K57" i="63"/>
  <c r="K99" i="63"/>
  <c r="K107" i="63"/>
  <c r="K97" i="63"/>
  <c r="K112" i="63"/>
  <c r="CH42" i="3"/>
  <c r="CH64" i="3" s="1"/>
  <c r="CH50" i="3"/>
  <c r="U73" i="10"/>
  <c r="K94" i="8"/>
  <c r="K80" i="8"/>
  <c r="K82" i="8"/>
  <c r="C60" i="63"/>
  <c r="C62" i="63" s="1"/>
  <c r="C71" i="63"/>
  <c r="AC124" i="7"/>
  <c r="AB171" i="7"/>
  <c r="AC171" i="7" s="1"/>
  <c r="AB153" i="7"/>
  <c r="AC153" i="7" s="1"/>
  <c r="G158" i="63"/>
  <c r="G171" i="63"/>
  <c r="H171" i="63"/>
  <c r="BQ42" i="3"/>
  <c r="BV50" i="3"/>
  <c r="AR125" i="7"/>
  <c r="AS120" i="7"/>
  <c r="AR149" i="7"/>
  <c r="AR140" i="7"/>
  <c r="AR157" i="7"/>
  <c r="AW120" i="7"/>
  <c r="AR126" i="7"/>
  <c r="AR167" i="7"/>
  <c r="I96" i="63"/>
  <c r="I137" i="63"/>
  <c r="I54" i="63"/>
  <c r="DV60" i="3"/>
  <c r="DV69" i="3"/>
  <c r="CZ37" i="3"/>
  <c r="CZ17" i="3"/>
  <c r="CZ47" i="3"/>
  <c r="CZ36" i="3"/>
  <c r="BD192" i="7"/>
  <c r="BH191" i="7"/>
  <c r="AZ28" i="3"/>
  <c r="DP14" i="3"/>
  <c r="S25" i="9"/>
  <c r="L94" i="63"/>
  <c r="L110" i="63"/>
  <c r="L157" i="63" s="1"/>
  <c r="C113" i="63"/>
  <c r="C102" i="63"/>
  <c r="C104" i="63" s="1"/>
  <c r="CB153" i="7"/>
  <c r="CB161" i="7"/>
  <c r="CC161" i="7" s="1"/>
  <c r="CC124" i="7"/>
  <c r="DU15" i="7"/>
  <c r="DU16" i="7" s="1"/>
  <c r="DU17" i="7" s="1"/>
  <c r="BL190" i="7"/>
  <c r="BD28" i="3"/>
  <c r="BU126" i="7"/>
  <c r="BY126" i="7"/>
  <c r="CG142" i="7"/>
  <c r="CK142" i="7"/>
  <c r="CF144" i="7"/>
  <c r="AN26" i="3"/>
  <c r="AN41" i="3"/>
  <c r="BI42" i="3"/>
  <c r="BN50" i="3"/>
  <c r="BH24" i="3"/>
  <c r="BH40" i="3"/>
  <c r="BH39" i="3"/>
  <c r="N178" i="63"/>
  <c r="N176" i="63" s="1"/>
  <c r="N166" i="63" s="1"/>
  <c r="N123" i="63"/>
  <c r="N179" i="63" s="1"/>
  <c r="F13" i="63"/>
  <c r="F29" i="63"/>
  <c r="D26" i="3"/>
  <c r="D41" i="3"/>
  <c r="AK144" i="7"/>
  <c r="AF49" i="3"/>
  <c r="AK49" i="3"/>
  <c r="CF24" i="3"/>
  <c r="CF39" i="3"/>
  <c r="CF40" i="3"/>
  <c r="C170" i="7"/>
  <c r="C142" i="7" s="1"/>
  <c r="C152" i="7"/>
  <c r="S91" i="11"/>
  <c r="S58" i="11"/>
  <c r="O110" i="63"/>
  <c r="O157" i="63" s="1"/>
  <c r="O94" i="63"/>
  <c r="E41" i="3"/>
  <c r="E26" i="3"/>
  <c r="AU119" i="10"/>
  <c r="N110" i="63"/>
  <c r="N157" i="63" s="1"/>
  <c r="N94" i="63"/>
  <c r="BQ40" i="3"/>
  <c r="BQ39" i="3"/>
  <c r="BQ24" i="3"/>
  <c r="BE142" i="7"/>
  <c r="BD144" i="7"/>
  <c r="Z73" i="9"/>
  <c r="BM150" i="7"/>
  <c r="BQ150" i="7"/>
  <c r="BR26" i="3"/>
  <c r="BR49" i="3" s="1"/>
  <c r="BR41" i="3"/>
  <c r="DS42" i="3"/>
  <c r="DS50" i="3"/>
  <c r="M69" i="5"/>
  <c r="O69" i="5" s="1"/>
  <c r="BG69" i="5"/>
  <c r="BI95" i="7"/>
  <c r="BJ95" i="7"/>
  <c r="BI115" i="7"/>
  <c r="P154" i="7"/>
  <c r="K112" i="8"/>
  <c r="K67" i="8"/>
  <c r="J14" i="9"/>
  <c r="K9" i="8"/>
  <c r="L10" i="8" s="1"/>
  <c r="G145" i="8"/>
  <c r="DC46" i="3"/>
  <c r="AS166" i="5"/>
  <c r="AH42" i="3"/>
  <c r="AH50" i="3"/>
  <c r="BL132" i="7"/>
  <c r="BL142" i="7" s="1"/>
  <c r="BQ122" i="7"/>
  <c r="BL151" i="7"/>
  <c r="BL159" i="7"/>
  <c r="BM122" i="7"/>
  <c r="G167" i="7"/>
  <c r="G172" i="7" s="1"/>
  <c r="G173" i="7" s="1"/>
  <c r="G149" i="7"/>
  <c r="G125" i="7"/>
  <c r="G124" i="7"/>
  <c r="G126" i="7"/>
  <c r="L126" i="7" s="1"/>
  <c r="D60" i="63"/>
  <c r="D62" i="63" s="1"/>
  <c r="D78" i="63" s="1"/>
  <c r="D71" i="63"/>
  <c r="AK165" i="12"/>
  <c r="AK166" i="12"/>
  <c r="G21" i="8"/>
  <c r="F99" i="9"/>
  <c r="F100" i="9" s="1"/>
  <c r="G28" i="8"/>
  <c r="G29" i="8" s="1"/>
  <c r="AU26" i="3"/>
  <c r="AU41" i="3"/>
  <c r="K249" i="5"/>
  <c r="BM115" i="7"/>
  <c r="BM95" i="7"/>
  <c r="BN95" i="7"/>
  <c r="AK171" i="7"/>
  <c r="AO171" i="7"/>
  <c r="E143" i="63"/>
  <c r="E145" i="63" s="1"/>
  <c r="E163" i="63"/>
  <c r="R39" i="9"/>
  <c r="R34" i="9"/>
  <c r="R83" i="9" s="1"/>
  <c r="AE33" i="9"/>
  <c r="AA147" i="8" s="1"/>
  <c r="S147" i="8"/>
  <c r="DJ42" i="3"/>
  <c r="DJ50" i="3"/>
  <c r="O178" i="63"/>
  <c r="O176" i="63" s="1"/>
  <c r="O166" i="63" s="1"/>
  <c r="O123" i="63"/>
  <c r="O179" i="63" s="1"/>
  <c r="CA39" i="3"/>
  <c r="CA24" i="3"/>
  <c r="CA40" i="3"/>
  <c r="AS94" i="7"/>
  <c r="AR124" i="7"/>
  <c r="AS114" i="7"/>
  <c r="AT94" i="7"/>
  <c r="AX94" i="7"/>
  <c r="Q34" i="9"/>
  <c r="Q83" i="9" s="1"/>
  <c r="R147" i="8"/>
  <c r="Q39" i="9"/>
  <c r="S173" i="7"/>
  <c r="T173" i="7" s="1"/>
  <c r="T169" i="7"/>
  <c r="F49" i="3" s="1"/>
  <c r="S141" i="7"/>
  <c r="T141" i="7" s="1"/>
  <c r="X169" i="7"/>
  <c r="K16" i="63"/>
  <c r="K21" i="63" s="1"/>
  <c r="K23" i="63" s="1"/>
  <c r="K31" i="63"/>
  <c r="K26" i="63"/>
  <c r="DM36" i="3"/>
  <c r="DM45" i="3"/>
  <c r="DM12" i="3"/>
  <c r="DO45" i="3"/>
  <c r="DM37" i="3"/>
  <c r="Z49" i="3"/>
  <c r="G154" i="63"/>
  <c r="G135" i="63"/>
  <c r="BG79" i="5"/>
  <c r="BI79" i="5" s="1"/>
  <c r="T79" i="5"/>
  <c r="M79" i="5"/>
  <c r="O79" i="5" s="1"/>
  <c r="K83" i="5"/>
  <c r="D112" i="7"/>
  <c r="N41" i="3"/>
  <c r="N26" i="3"/>
  <c r="I30" i="63"/>
  <c r="J37" i="63"/>
  <c r="I37" i="63"/>
  <c r="I133" i="63"/>
  <c r="I91" i="63"/>
  <c r="I50" i="63"/>
  <c r="L38" i="63"/>
  <c r="L26" i="63"/>
  <c r="L31" i="63"/>
  <c r="L16" i="63"/>
  <c r="AW56" i="10"/>
  <c r="AU51" i="11"/>
  <c r="DY11" i="7"/>
  <c r="DY14" i="7" s="1"/>
  <c r="BH126" i="7"/>
  <c r="BI126" i="7" s="1"/>
  <c r="BQ158" i="7"/>
  <c r="CG151" i="7"/>
  <c r="CF169" i="7"/>
  <c r="CK151" i="7"/>
  <c r="AT41" i="3"/>
  <c r="AT26" i="3"/>
  <c r="AY49" i="3" s="1"/>
  <c r="BG39" i="3"/>
  <c r="BG40" i="3"/>
  <c r="BG24" i="3"/>
  <c r="G68" i="63"/>
  <c r="G52" i="63"/>
  <c r="F111" i="63"/>
  <c r="F118" i="63"/>
  <c r="DS48" i="3"/>
  <c r="DE17" i="3"/>
  <c r="DE35" i="3"/>
  <c r="CF50" i="3"/>
  <c r="CK50" i="3"/>
  <c r="CF42" i="3"/>
  <c r="AJ173" i="7"/>
  <c r="AK172" i="7"/>
  <c r="AO172" i="7"/>
  <c r="C167" i="5"/>
  <c r="G167" i="5" s="1"/>
  <c r="S7" i="8"/>
  <c r="AS167" i="5"/>
  <c r="L17" i="9"/>
  <c r="M114" i="8"/>
  <c r="R131" i="5"/>
  <c r="R132" i="5" s="1"/>
  <c r="AO131" i="5"/>
  <c r="AX131" i="5"/>
  <c r="AQ131" i="5"/>
  <c r="AS200" i="5"/>
  <c r="AM207" i="5"/>
  <c r="R200" i="5"/>
  <c r="AU200" i="5"/>
  <c r="AI160" i="5"/>
  <c r="AK160" i="5" s="1"/>
  <c r="AK156" i="5"/>
  <c r="O165" i="5"/>
  <c r="R178" i="5"/>
  <c r="AU178" i="5"/>
  <c r="AM185" i="5"/>
  <c r="C136" i="5"/>
  <c r="G136" i="5" s="1"/>
  <c r="T129" i="5"/>
  <c r="C129" i="5"/>
  <c r="G129" i="5" s="1"/>
  <c r="AG129" i="5"/>
  <c r="AI129" i="5" s="1"/>
  <c r="K17" i="9"/>
  <c r="L114" i="8"/>
  <c r="P14" i="9"/>
  <c r="Q67" i="8"/>
  <c r="Q9" i="8"/>
  <c r="Q112" i="8"/>
  <c r="R52" i="8"/>
  <c r="Q14" i="9"/>
  <c r="R9" i="8"/>
  <c r="R112" i="8"/>
  <c r="R67" i="8"/>
  <c r="AD159" i="5"/>
  <c r="DE62" i="3"/>
  <c r="I141" i="8"/>
  <c r="G60" i="3"/>
  <c r="DD62" i="3"/>
  <c r="H141" i="8"/>
  <c r="F60" i="3"/>
  <c r="AI163" i="5"/>
  <c r="AD186" i="5"/>
  <c r="O186" i="5"/>
  <c r="AG128" i="5"/>
  <c r="C128" i="5"/>
  <c r="G128" i="5" s="1"/>
  <c r="C170" i="5"/>
  <c r="G170" i="5" s="1"/>
  <c r="AG170" i="5"/>
  <c r="T170" i="5"/>
  <c r="AU173" i="5"/>
  <c r="R173" i="5"/>
  <c r="AM180" i="5"/>
  <c r="C130" i="5"/>
  <c r="G130" i="5" s="1"/>
  <c r="AG130" i="5"/>
  <c r="AI130" i="5" s="1"/>
  <c r="C137" i="5"/>
  <c r="G137" i="5" s="1"/>
  <c r="T130" i="5"/>
  <c r="AD163" i="5"/>
  <c r="J140" i="8"/>
  <c r="J148" i="8"/>
  <c r="J115" i="8"/>
  <c r="M40" i="8"/>
  <c r="M52" i="8"/>
  <c r="M10" i="8"/>
  <c r="AM174" i="5"/>
  <c r="AQ135" i="5"/>
  <c r="AO135" i="5"/>
  <c r="AM138" i="5"/>
  <c r="AM142" i="5"/>
  <c r="AX135" i="5"/>
  <c r="R135" i="5"/>
  <c r="O158" i="5"/>
  <c r="T193" i="5"/>
  <c r="V193" i="5" s="1"/>
  <c r="AG193" i="5"/>
  <c r="AI193" i="5" s="1"/>
  <c r="AK193" i="5" s="1"/>
  <c r="C193" i="5"/>
  <c r="G193" i="5" s="1"/>
  <c r="AG171" i="5"/>
  <c r="AI171" i="5" s="1"/>
  <c r="AK171" i="5" s="1"/>
  <c r="C171" i="5"/>
  <c r="G171" i="5" s="1"/>
  <c r="T171" i="5"/>
  <c r="V171" i="5" s="1"/>
  <c r="C166" i="5"/>
  <c r="G166" i="5" s="1"/>
  <c r="T166" i="5"/>
  <c r="AG166" i="5"/>
  <c r="AI166" i="5" s="1"/>
  <c r="AK166" i="5" s="1"/>
  <c r="AD164" i="5"/>
  <c r="O164" i="5"/>
  <c r="AD160" i="5"/>
  <c r="X118" i="12"/>
  <c r="X125" i="12"/>
  <c r="R177" i="5"/>
  <c r="AS177" i="5" s="1"/>
  <c r="AU177" i="5"/>
  <c r="AM184" i="5"/>
  <c r="AM181" i="5"/>
  <c r="AG173" i="7" l="1"/>
  <c r="O33" i="72"/>
  <c r="O38" i="72"/>
  <c r="O16" i="72"/>
  <c r="BT159" i="7"/>
  <c r="BU159" i="7" s="1"/>
  <c r="BS14" i="3"/>
  <c r="BX42" i="7"/>
  <c r="BV42" i="7"/>
  <c r="BU42" i="7"/>
  <c r="BM158" i="7"/>
  <c r="BQ40" i="7"/>
  <c r="BT40" i="7"/>
  <c r="BR40" i="7"/>
  <c r="BL14" i="3" s="1"/>
  <c r="BR45" i="7"/>
  <c r="BQ45" i="7"/>
  <c r="BP46" i="7"/>
  <c r="BM43" i="7"/>
  <c r="BJ14" i="3" s="1"/>
  <c r="BP43" i="7"/>
  <c r="BN43" i="7"/>
  <c r="BL160" i="7"/>
  <c r="BX41" i="7"/>
  <c r="BU41" i="7"/>
  <c r="BV41" i="7"/>
  <c r="BR14" i="3"/>
  <c r="BT158" i="7"/>
  <c r="BU158" i="7" s="1"/>
  <c r="BT45" i="7"/>
  <c r="BN46" i="7"/>
  <c r="BM46" i="7"/>
  <c r="AM214" i="5"/>
  <c r="R207" i="5"/>
  <c r="CR181" i="7"/>
  <c r="Y59" i="9" s="1"/>
  <c r="N49" i="3"/>
  <c r="AE41" i="3"/>
  <c r="AE26" i="3"/>
  <c r="CM64" i="3"/>
  <c r="CV27" i="3"/>
  <c r="CW27" i="3"/>
  <c r="CX27" i="3"/>
  <c r="CU27" i="3"/>
  <c r="AG153" i="7"/>
  <c r="BE45" i="11"/>
  <c r="BG54" i="10" s="1"/>
  <c r="BE54" i="10"/>
  <c r="CS207" i="7"/>
  <c r="CR208" i="7"/>
  <c r="CS208" i="7" s="1"/>
  <c r="CF64" i="3"/>
  <c r="CK64" i="3"/>
  <c r="BH143" i="7"/>
  <c r="BI143" i="7" s="1"/>
  <c r="AB32" i="8"/>
  <c r="CR201" i="7"/>
  <c r="K102" i="63"/>
  <c r="K104" i="63" s="1"/>
  <c r="AG144" i="7"/>
  <c r="CR198" i="7"/>
  <c r="CU29" i="3" s="1" a="1"/>
  <c r="K242" i="5"/>
  <c r="M249" i="5" s="1"/>
  <c r="O249" i="5" s="1"/>
  <c r="I243" i="5"/>
  <c r="T241" i="5"/>
  <c r="V241" i="5" s="1"/>
  <c r="M241" i="5"/>
  <c r="O241" i="5" s="1"/>
  <c r="V237" i="5"/>
  <c r="T238" i="5"/>
  <c r="L49" i="3"/>
  <c r="E53" i="9"/>
  <c r="E51" i="9"/>
  <c r="E56" i="9"/>
  <c r="D51" i="9"/>
  <c r="D53" i="9"/>
  <c r="DB49" i="3" s="1"/>
  <c r="D56" i="9"/>
  <c r="Q18" i="11"/>
  <c r="Q39" i="11" s="1"/>
  <c r="AW56" i="3"/>
  <c r="D163" i="63"/>
  <c r="D143" i="63"/>
  <c r="D145" i="63" s="1"/>
  <c r="D173" i="63" s="1"/>
  <c r="I56" i="9"/>
  <c r="J57" i="9" s="1"/>
  <c r="I51" i="9"/>
  <c r="I53" i="9"/>
  <c r="J54" i="9" s="1"/>
  <c r="DT29" i="3"/>
  <c r="W72" i="9"/>
  <c r="E174" i="63"/>
  <c r="L40" i="63"/>
  <c r="K71" i="63"/>
  <c r="L52" i="8"/>
  <c r="AK111" i="5"/>
  <c r="K250" i="5"/>
  <c r="K252" i="5" s="1"/>
  <c r="DK14" i="7"/>
  <c r="AP26" i="3"/>
  <c r="AP49" i="3" s="1"/>
  <c r="AP41" i="3"/>
  <c r="E120" i="63"/>
  <c r="K32" i="63"/>
  <c r="AW26" i="3"/>
  <c r="BB49" i="3" s="1"/>
  <c r="AW41" i="3"/>
  <c r="AZ26" i="3"/>
  <c r="AZ49" i="3" s="1"/>
  <c r="AZ41" i="3"/>
  <c r="BY26" i="3"/>
  <c r="BY49" i="3" s="1"/>
  <c r="BY41" i="3"/>
  <c r="Q49" i="3"/>
  <c r="BT49" i="3"/>
  <c r="DH41" i="3"/>
  <c r="DH26" i="3"/>
  <c r="DH49" i="3" s="1"/>
  <c r="CL26" i="3"/>
  <c r="CL49" i="3" s="1"/>
  <c r="CL41" i="3"/>
  <c r="BX41" i="3"/>
  <c r="BX26" i="3"/>
  <c r="BS26" i="3"/>
  <c r="BS49" i="3" s="1"/>
  <c r="BS41" i="3"/>
  <c r="K41" i="3"/>
  <c r="K26" i="3"/>
  <c r="BV26" i="3"/>
  <c r="BV41" i="3"/>
  <c r="AD26" i="3"/>
  <c r="AD49" i="3" s="1"/>
  <c r="AD41" i="3"/>
  <c r="AI41" i="3"/>
  <c r="AI26" i="3"/>
  <c r="AN49" i="3" s="1"/>
  <c r="AS41" i="3"/>
  <c r="AS26" i="3"/>
  <c r="AX49" i="3" s="1"/>
  <c r="T41" i="3"/>
  <c r="T26" i="3"/>
  <c r="T49" i="3" s="1"/>
  <c r="BJ41" i="3"/>
  <c r="BJ26" i="3"/>
  <c r="BO49" i="3" s="1"/>
  <c r="BQ142" i="7"/>
  <c r="BM142" i="7"/>
  <c r="M266" i="5"/>
  <c r="M256" i="5"/>
  <c r="O256" i="5" s="1"/>
  <c r="T249" i="5"/>
  <c r="AO82" i="10"/>
  <c r="T50" i="9"/>
  <c r="T46" i="9"/>
  <c r="P43" i="9"/>
  <c r="P88" i="9" s="1"/>
  <c r="P89" i="9" s="1"/>
  <c r="P91" i="9" s="1"/>
  <c r="P93" i="9" s="1"/>
  <c r="P45" i="9"/>
  <c r="P40" i="9"/>
  <c r="BE42" i="3"/>
  <c r="BE50" i="3"/>
  <c r="BJ50" i="3"/>
  <c r="C173" i="7"/>
  <c r="H169" i="7"/>
  <c r="I13" i="63"/>
  <c r="I29" i="63"/>
  <c r="BP190" i="7"/>
  <c r="BI28" i="3"/>
  <c r="F110" i="63"/>
  <c r="F94" i="63"/>
  <c r="J80" i="63"/>
  <c r="J81" i="63" s="1"/>
  <c r="J122" i="63"/>
  <c r="J123" i="63" s="1"/>
  <c r="J175" i="63"/>
  <c r="J176" i="63" s="1"/>
  <c r="DL42" i="3"/>
  <c r="BU149" i="7"/>
  <c r="BQ149" i="7"/>
  <c r="I122" i="63"/>
  <c r="I123" i="63" s="1"/>
  <c r="I80" i="63"/>
  <c r="I81" i="63" s="1"/>
  <c r="I175" i="63"/>
  <c r="I176" i="63" s="1"/>
  <c r="DT40" i="3"/>
  <c r="DT71" i="3" s="1"/>
  <c r="DT39" i="3"/>
  <c r="DT24" i="3"/>
  <c r="L94" i="8"/>
  <c r="L82" i="8"/>
  <c r="L80" i="8"/>
  <c r="DU42" i="3"/>
  <c r="DU50" i="3"/>
  <c r="BT173" i="7"/>
  <c r="BY172" i="7"/>
  <c r="R110" i="8"/>
  <c r="S5" i="8"/>
  <c r="O21" i="63"/>
  <c r="O23" i="63" s="1"/>
  <c r="O32" i="63"/>
  <c r="O163" i="63" s="1"/>
  <c r="I110" i="63"/>
  <c r="I94" i="63"/>
  <c r="N55" i="63"/>
  <c r="N70" i="63"/>
  <c r="N77" i="63"/>
  <c r="N65" i="63"/>
  <c r="N79" i="63" s="1"/>
  <c r="AT49" i="3"/>
  <c r="I111" i="63"/>
  <c r="I118" i="63"/>
  <c r="J118" i="63"/>
  <c r="C141" i="7"/>
  <c r="H141" i="7" s="1"/>
  <c r="BH41" i="3"/>
  <c r="BH26" i="3"/>
  <c r="K113" i="63"/>
  <c r="BQ124" i="7"/>
  <c r="BP161" i="7"/>
  <c r="BP153" i="7"/>
  <c r="DP57" i="3"/>
  <c r="T25" i="8"/>
  <c r="B40" i="9"/>
  <c r="D120" i="63"/>
  <c r="AG171" i="7"/>
  <c r="S49" i="3"/>
  <c r="E78" i="63"/>
  <c r="K166" i="63"/>
  <c r="J132" i="63"/>
  <c r="J166" i="63"/>
  <c r="J158" i="63"/>
  <c r="S51" i="9"/>
  <c r="S53" i="9"/>
  <c r="S56" i="9"/>
  <c r="G126" i="8"/>
  <c r="G128" i="8"/>
  <c r="G129" i="8" s="1"/>
  <c r="CH41" i="3"/>
  <c r="CH26" i="3"/>
  <c r="CH49" i="3" s="1"/>
  <c r="BQ167" i="7"/>
  <c r="BU167" i="7"/>
  <c r="BP172" i="7"/>
  <c r="BU172" i="7" s="1"/>
  <c r="BD40" i="3"/>
  <c r="BD39" i="3"/>
  <c r="BD24" i="3"/>
  <c r="BE169" i="7"/>
  <c r="BD173" i="7"/>
  <c r="BE173" i="7" s="1"/>
  <c r="BW49" i="3"/>
  <c r="CB49" i="3"/>
  <c r="W50" i="9"/>
  <c r="W46" i="9"/>
  <c r="AA135" i="8"/>
  <c r="DX59" i="3"/>
  <c r="BY161" i="7"/>
  <c r="DD26" i="3"/>
  <c r="DD41" i="3"/>
  <c r="DT42" i="3"/>
  <c r="DT50" i="3"/>
  <c r="BC49" i="3"/>
  <c r="BE40" i="3"/>
  <c r="BE24" i="3"/>
  <c r="BE39" i="3"/>
  <c r="DC24" i="3"/>
  <c r="DC40" i="3"/>
  <c r="DC39" i="3"/>
  <c r="M128" i="63"/>
  <c r="L133" i="63"/>
  <c r="L171" i="63" s="1"/>
  <c r="L132" i="63"/>
  <c r="I154" i="63"/>
  <c r="I135" i="63"/>
  <c r="U23" i="63"/>
  <c r="W23" i="63" s="1"/>
  <c r="X23" i="63" s="1"/>
  <c r="DY15" i="7"/>
  <c r="DY16" i="7" s="1"/>
  <c r="DY17" i="7" s="1"/>
  <c r="DM35" i="3"/>
  <c r="DM17" i="3"/>
  <c r="DO48" i="3" s="1"/>
  <c r="AS140" i="7"/>
  <c r="AR144" i="7"/>
  <c r="AW140" i="7"/>
  <c r="DP17" i="3"/>
  <c r="DP35" i="3"/>
  <c r="C40" i="9"/>
  <c r="H170" i="7"/>
  <c r="L170" i="7"/>
  <c r="AK40" i="7"/>
  <c r="X14" i="3"/>
  <c r="AJ45" i="7"/>
  <c r="AP40" i="7"/>
  <c r="Z16" i="9"/>
  <c r="K80" i="63"/>
  <c r="K81" i="63" s="1"/>
  <c r="K122" i="63"/>
  <c r="K123" i="63" s="1"/>
  <c r="K175" i="63"/>
  <c r="K176" i="63" s="1"/>
  <c r="V255" i="5"/>
  <c r="V262" i="5"/>
  <c r="BD42" i="3"/>
  <c r="BD50" i="3"/>
  <c r="DQ39" i="3"/>
  <c r="DQ24" i="3"/>
  <c r="DC42" i="3"/>
  <c r="DC50" i="3"/>
  <c r="G56" i="9"/>
  <c r="G51" i="9"/>
  <c r="G53" i="9"/>
  <c r="R40" i="9"/>
  <c r="R45" i="9"/>
  <c r="AE39" i="9"/>
  <c r="R43" i="9"/>
  <c r="R88" i="9" s="1"/>
  <c r="R89" i="9" s="1"/>
  <c r="R91" i="9" s="1"/>
  <c r="R93" i="9" s="1"/>
  <c r="BM159" i="7"/>
  <c r="BQ159" i="7"/>
  <c r="K52" i="8"/>
  <c r="K10" i="8"/>
  <c r="N107" i="63"/>
  <c r="N121" i="63" s="1"/>
  <c r="N119" i="63"/>
  <c r="N112" i="63"/>
  <c r="N97" i="63"/>
  <c r="O97" i="63"/>
  <c r="O112" i="63"/>
  <c r="O107" i="63"/>
  <c r="O119" i="63"/>
  <c r="BI50" i="3"/>
  <c r="CC153" i="7"/>
  <c r="CB171" i="7"/>
  <c r="CC171" i="7" s="1"/>
  <c r="T25" i="9"/>
  <c r="DQ14" i="3"/>
  <c r="AR172" i="7"/>
  <c r="AS167" i="7"/>
  <c r="AW167" i="7"/>
  <c r="DE54" i="3"/>
  <c r="DE68" i="3" s="1"/>
  <c r="I20" i="8"/>
  <c r="Q90" i="10"/>
  <c r="Q91" i="10" s="1"/>
  <c r="I37" i="8"/>
  <c r="O69" i="11"/>
  <c r="O73" i="11" s="1"/>
  <c r="O75" i="11" s="1"/>
  <c r="O76" i="11" s="1"/>
  <c r="I96" i="5"/>
  <c r="G54" i="3"/>
  <c r="J12" i="8"/>
  <c r="J19" i="8" s="1"/>
  <c r="P143" i="7"/>
  <c r="O144" i="7"/>
  <c r="P144" i="7" s="1"/>
  <c r="BL42" i="3"/>
  <c r="BL50" i="3"/>
  <c r="P71" i="9"/>
  <c r="DL28" i="3"/>
  <c r="J29" i="63"/>
  <c r="J13" i="63"/>
  <c r="AM73" i="10"/>
  <c r="K143" i="63"/>
  <c r="K145" i="63" s="1"/>
  <c r="F135" i="63"/>
  <c r="F154" i="63"/>
  <c r="T76" i="5"/>
  <c r="V76" i="5" s="1"/>
  <c r="BQ125" i="7"/>
  <c r="CG153" i="7"/>
  <c r="CF171" i="7"/>
  <c r="CK171" i="7" s="1"/>
  <c r="DK31" i="3"/>
  <c r="DK48" i="3"/>
  <c r="DK20" i="3"/>
  <c r="DK38" i="3"/>
  <c r="DR42" i="3"/>
  <c r="DR50" i="3"/>
  <c r="DJ26" i="3"/>
  <c r="DJ49" i="3" s="1"/>
  <c r="DJ41" i="3"/>
  <c r="BG86" i="5"/>
  <c r="BI86" i="5" s="1"/>
  <c r="M86" i="5"/>
  <c r="O86" i="5" s="1"/>
  <c r="T86" i="5"/>
  <c r="F52" i="63"/>
  <c r="G77" i="63" s="1"/>
  <c r="F68" i="63"/>
  <c r="H29" i="63"/>
  <c r="H13" i="63"/>
  <c r="DQ42" i="3"/>
  <c r="G112" i="63"/>
  <c r="G97" i="63"/>
  <c r="G107" i="63"/>
  <c r="Y14" i="3"/>
  <c r="AK41" i="7"/>
  <c r="AP41" i="7"/>
  <c r="BH172" i="7"/>
  <c r="BI172" i="7" s="1"/>
  <c r="BG76" i="5"/>
  <c r="BI76" i="5" s="1"/>
  <c r="M76" i="5"/>
  <c r="O76" i="5" s="1"/>
  <c r="T49" i="12"/>
  <c r="V49" i="12" s="1"/>
  <c r="X49" i="12" s="1"/>
  <c r="AX89" i="5"/>
  <c r="I93" i="5"/>
  <c r="L69" i="3"/>
  <c r="K89" i="5"/>
  <c r="K90" i="5" s="1"/>
  <c r="DL40" i="3"/>
  <c r="DL24" i="3"/>
  <c r="DL39" i="3"/>
  <c r="F51" i="9"/>
  <c r="F56" i="9"/>
  <c r="F57" i="9" s="1"/>
  <c r="F53" i="9"/>
  <c r="BP189" i="7"/>
  <c r="BH28" i="3"/>
  <c r="DS41" i="3"/>
  <c r="DS26" i="3"/>
  <c r="AK173" i="7"/>
  <c r="AO173" i="7"/>
  <c r="CA26" i="3"/>
  <c r="CA41" i="3"/>
  <c r="D115" i="7"/>
  <c r="C144" i="7"/>
  <c r="T251" i="5"/>
  <c r="I171" i="63"/>
  <c r="I158" i="63"/>
  <c r="J171" i="63"/>
  <c r="AU49" i="3"/>
  <c r="L97" i="63"/>
  <c r="L119" i="63"/>
  <c r="L112" i="63"/>
  <c r="L107" i="63"/>
  <c r="L121" i="63" s="1"/>
  <c r="AW125" i="7"/>
  <c r="AS125" i="7"/>
  <c r="CB173" i="7"/>
  <c r="CC173" i="7" s="1"/>
  <c r="CC169" i="7"/>
  <c r="BL144" i="7"/>
  <c r="BM140" i="7"/>
  <c r="CG161" i="7"/>
  <c r="BT171" i="7"/>
  <c r="BU153" i="7"/>
  <c r="BY153" i="7"/>
  <c r="H74" i="63"/>
  <c r="H49" i="63"/>
  <c r="H69" i="63"/>
  <c r="I74" i="63"/>
  <c r="J9" i="9"/>
  <c r="N50" i="9"/>
  <c r="AC82" i="10"/>
  <c r="N46" i="9"/>
  <c r="AA10" i="11"/>
  <c r="AG167" i="5"/>
  <c r="G55" i="63"/>
  <c r="G70" i="63"/>
  <c r="G65" i="63"/>
  <c r="L21" i="63"/>
  <c r="L23" i="63" s="1"/>
  <c r="L39" i="63" s="1"/>
  <c r="L32" i="63"/>
  <c r="L163" i="63" s="1"/>
  <c r="BG83" i="5"/>
  <c r="BI83" i="5" s="1"/>
  <c r="M83" i="5"/>
  <c r="O83" i="5" s="1"/>
  <c r="AR153" i="7"/>
  <c r="AR161" i="7"/>
  <c r="AS124" i="7"/>
  <c r="AW124" i="7"/>
  <c r="BL169" i="7"/>
  <c r="BM151" i="7"/>
  <c r="BQ151" i="7"/>
  <c r="X173" i="7"/>
  <c r="AA73" i="9"/>
  <c r="F16" i="63"/>
  <c r="F26" i="63"/>
  <c r="F40" i="63" s="1"/>
  <c r="F31" i="63"/>
  <c r="F38" i="63"/>
  <c r="AS126" i="7"/>
  <c r="AW126" i="7"/>
  <c r="I49" i="3"/>
  <c r="BD171" i="7"/>
  <c r="BE171" i="7" s="1"/>
  <c r="BE153" i="7"/>
  <c r="BL172" i="7"/>
  <c r="BM172" i="7" s="1"/>
  <c r="BM167" i="7"/>
  <c r="BM141" i="7"/>
  <c r="M119" i="63"/>
  <c r="G144" i="7"/>
  <c r="H115" i="7"/>
  <c r="DR40" i="3"/>
  <c r="DR71" i="3" s="1"/>
  <c r="DR24" i="3"/>
  <c r="DR39" i="3"/>
  <c r="BH161" i="7"/>
  <c r="BI161" i="7" s="1"/>
  <c r="BH153" i="7"/>
  <c r="BI124" i="7"/>
  <c r="BG82" i="5"/>
  <c r="BI82" i="5" s="1"/>
  <c r="M82" i="5"/>
  <c r="O82" i="5" s="1"/>
  <c r="T82" i="5"/>
  <c r="V82" i="5" s="1"/>
  <c r="G142" i="7"/>
  <c r="AD111" i="5"/>
  <c r="H175" i="63"/>
  <c r="H176" i="63" s="1"/>
  <c r="H80" i="63"/>
  <c r="H81" i="63" s="1"/>
  <c r="H122" i="63"/>
  <c r="H123" i="63" s="1"/>
  <c r="BM168" i="7"/>
  <c r="AK43" i="7"/>
  <c r="AP43" i="7"/>
  <c r="AA14" i="3"/>
  <c r="T144" i="7"/>
  <c r="M60" i="63"/>
  <c r="M62" i="63" s="1"/>
  <c r="M71" i="63"/>
  <c r="DF41" i="3"/>
  <c r="DF26" i="3"/>
  <c r="G154" i="7"/>
  <c r="H149" i="7"/>
  <c r="L149" i="7"/>
  <c r="CF26" i="3"/>
  <c r="CF41" i="3"/>
  <c r="B42" i="9"/>
  <c r="B43" i="9" s="1"/>
  <c r="D114" i="7"/>
  <c r="I76" i="63"/>
  <c r="J76" i="63"/>
  <c r="I69" i="63"/>
  <c r="BQ26" i="3"/>
  <c r="BQ41" i="3"/>
  <c r="CG144" i="7"/>
  <c r="CK144" i="7"/>
  <c r="I117" i="8"/>
  <c r="I124" i="8" s="1"/>
  <c r="F53" i="3"/>
  <c r="DD53" i="3"/>
  <c r="DD70" i="3" s="1"/>
  <c r="H125" i="8"/>
  <c r="H137" i="8"/>
  <c r="H138" i="8" s="1"/>
  <c r="CZ48" i="3"/>
  <c r="CZ38" i="3"/>
  <c r="CZ20" i="3"/>
  <c r="CZ31" i="3"/>
  <c r="F59" i="3"/>
  <c r="H38" i="8"/>
  <c r="DD61" i="3"/>
  <c r="K60" i="63"/>
  <c r="K62" i="63" s="1"/>
  <c r="AC34" i="8"/>
  <c r="AC31" i="8" s="1"/>
  <c r="AB35" i="8"/>
  <c r="AB134" i="8"/>
  <c r="AB131" i="8" s="1"/>
  <c r="AB132" i="8" s="1"/>
  <c r="AC102" i="10"/>
  <c r="DU39" i="3"/>
  <c r="DU24" i="3"/>
  <c r="DU40" i="3"/>
  <c r="DU71" i="3" s="1"/>
  <c r="I52" i="63"/>
  <c r="I68" i="63"/>
  <c r="G171" i="7"/>
  <c r="G153" i="7"/>
  <c r="H124" i="7"/>
  <c r="L124" i="7"/>
  <c r="BI152" i="7"/>
  <c r="BH170" i="7"/>
  <c r="BI170" i="7" s="1"/>
  <c r="H21" i="8"/>
  <c r="G99" i="9"/>
  <c r="G100" i="9" s="1"/>
  <c r="H28" i="8"/>
  <c r="H29" i="8" s="1"/>
  <c r="DO56" i="3"/>
  <c r="S24" i="8"/>
  <c r="CI49" i="3"/>
  <c r="CN49" i="3"/>
  <c r="BL39" i="3"/>
  <c r="BL40" i="3"/>
  <c r="BL24" i="3"/>
  <c r="S112" i="10"/>
  <c r="S118" i="10"/>
  <c r="AQ73" i="10"/>
  <c r="J74" i="63"/>
  <c r="J49" i="63"/>
  <c r="K74" i="63"/>
  <c r="J69" i="63"/>
  <c r="BL135" i="7"/>
  <c r="BL136" i="7"/>
  <c r="BL134" i="7"/>
  <c r="G38" i="63"/>
  <c r="V49" i="3"/>
  <c r="AA49" i="3"/>
  <c r="BL153" i="7"/>
  <c r="BL161" i="7"/>
  <c r="BM124" i="7"/>
  <c r="C42" i="9"/>
  <c r="C45" i="9" s="1"/>
  <c r="H114" i="7"/>
  <c r="BQ157" i="7"/>
  <c r="BY144" i="7"/>
  <c r="M40" i="63"/>
  <c r="BA173" i="7"/>
  <c r="H26" i="9"/>
  <c r="DE14" i="3"/>
  <c r="O77" i="63"/>
  <c r="O65" i="63"/>
  <c r="O55" i="63"/>
  <c r="O70" i="63"/>
  <c r="H90" i="63"/>
  <c r="H116" i="63"/>
  <c r="H111" i="63"/>
  <c r="I116" i="63"/>
  <c r="BQ170" i="7"/>
  <c r="BH144" i="7"/>
  <c r="Z14" i="3"/>
  <c r="AK42" i="7"/>
  <c r="AP42" i="7"/>
  <c r="X42" i="3"/>
  <c r="X50" i="3"/>
  <c r="AC50" i="3"/>
  <c r="DE20" i="3"/>
  <c r="DE38" i="3"/>
  <c r="DE48" i="3"/>
  <c r="DE31" i="3"/>
  <c r="DF48" i="3"/>
  <c r="M265" i="5"/>
  <c r="T258" i="5"/>
  <c r="T259" i="5" s="1"/>
  <c r="M258" i="5"/>
  <c r="BI26" i="3"/>
  <c r="BI41" i="3"/>
  <c r="G138" i="63"/>
  <c r="G162" i="63"/>
  <c r="G151" i="63"/>
  <c r="AS149" i="7"/>
  <c r="AW149" i="7"/>
  <c r="CF173" i="7"/>
  <c r="CG169" i="7"/>
  <c r="CK169" i="7"/>
  <c r="BA30" i="11"/>
  <c r="BE34" i="10"/>
  <c r="BG34" i="10" s="1"/>
  <c r="BE30" i="11" s="1"/>
  <c r="BC127" i="10"/>
  <c r="J26" i="3"/>
  <c r="J49" i="3" s="1"/>
  <c r="J41" i="3"/>
  <c r="BP144" i="7"/>
  <c r="BU140" i="7"/>
  <c r="BQ140" i="7"/>
  <c r="BH169" i="7"/>
  <c r="BI151" i="7"/>
  <c r="BG41" i="3"/>
  <c r="BG26" i="3"/>
  <c r="BG49" i="3" s="1"/>
  <c r="V79" i="5"/>
  <c r="Q40" i="9"/>
  <c r="Q43" i="9"/>
  <c r="Q88" i="9" s="1"/>
  <c r="Q89" i="9" s="1"/>
  <c r="Q91" i="9" s="1"/>
  <c r="Q93" i="9" s="1"/>
  <c r="Q45" i="9"/>
  <c r="J17" i="9"/>
  <c r="K114" i="8"/>
  <c r="K143" i="8" s="1"/>
  <c r="AC10" i="11"/>
  <c r="BE144" i="7"/>
  <c r="BL191" i="7"/>
  <c r="BH192" i="7"/>
  <c r="BE28" i="3"/>
  <c r="AS157" i="7"/>
  <c r="AW157" i="7"/>
  <c r="AH26" i="3"/>
  <c r="AH49" i="3" s="1"/>
  <c r="AH41" i="3"/>
  <c r="L77" i="63"/>
  <c r="L55" i="63"/>
  <c r="L70" i="63"/>
  <c r="L65" i="63"/>
  <c r="DO38" i="3"/>
  <c r="DO31" i="3"/>
  <c r="DO20" i="3"/>
  <c r="W104" i="10"/>
  <c r="U106" i="10"/>
  <c r="DW69" i="3"/>
  <c r="DW60" i="3"/>
  <c r="AE82" i="10"/>
  <c r="O46" i="9"/>
  <c r="O50" i="9"/>
  <c r="U51" i="9"/>
  <c r="U53" i="9"/>
  <c r="J90" i="63"/>
  <c r="J116" i="63"/>
  <c r="J111" i="63"/>
  <c r="K116" i="63"/>
  <c r="BM126" i="7"/>
  <c r="AQ10" i="11"/>
  <c r="AS82" i="10"/>
  <c r="V50" i="9"/>
  <c r="V46" i="9"/>
  <c r="G32" i="63"/>
  <c r="G21" i="63"/>
  <c r="G23" i="63" s="1"/>
  <c r="AR49" i="3"/>
  <c r="M102" i="63"/>
  <c r="M104" i="63" s="1"/>
  <c r="M113" i="63"/>
  <c r="BQ126" i="7"/>
  <c r="T143" i="7"/>
  <c r="N31" i="63"/>
  <c r="N26" i="63"/>
  <c r="N40" i="63" s="1"/>
  <c r="N38" i="63"/>
  <c r="N16" i="63"/>
  <c r="BM143" i="7"/>
  <c r="H50" i="9"/>
  <c r="H46" i="9"/>
  <c r="O10" i="11"/>
  <c r="O18" i="11" s="1"/>
  <c r="O39" i="11" s="1"/>
  <c r="H166" i="63"/>
  <c r="H132" i="63"/>
  <c r="H158" i="63"/>
  <c r="I166" i="63"/>
  <c r="BE13" i="10"/>
  <c r="BA12" i="11"/>
  <c r="H152" i="7"/>
  <c r="L152" i="7"/>
  <c r="X39" i="3"/>
  <c r="X40" i="3"/>
  <c r="X24" i="3"/>
  <c r="V248" i="5"/>
  <c r="C171" i="7"/>
  <c r="B53" i="9" s="1"/>
  <c r="C153" i="7"/>
  <c r="C132" i="5"/>
  <c r="G132" i="5" s="1"/>
  <c r="N7" i="8"/>
  <c r="AS132" i="5"/>
  <c r="AU207" i="5"/>
  <c r="O130" i="5"/>
  <c r="AD130" i="5"/>
  <c r="AI170" i="5"/>
  <c r="AI167" i="5"/>
  <c r="AK167" i="5" s="1"/>
  <c r="AK163" i="5"/>
  <c r="AM192" i="5"/>
  <c r="R185" i="5"/>
  <c r="AS185" i="5" s="1"/>
  <c r="AU185" i="5"/>
  <c r="AG135" i="5"/>
  <c r="C135" i="5"/>
  <c r="G135" i="5" s="1"/>
  <c r="C173" i="5"/>
  <c r="G173" i="5" s="1"/>
  <c r="AG173" i="5"/>
  <c r="AI173" i="5" s="1"/>
  <c r="AK173" i="5" s="1"/>
  <c r="AK136" i="5"/>
  <c r="AK129" i="5"/>
  <c r="C178" i="5"/>
  <c r="G178" i="5" s="1"/>
  <c r="AG178" i="5"/>
  <c r="AI178" i="5" s="1"/>
  <c r="AK178" i="5" s="1"/>
  <c r="T178" i="5"/>
  <c r="V178" i="5" s="1"/>
  <c r="AD166" i="5"/>
  <c r="V130" i="5"/>
  <c r="V137" i="5"/>
  <c r="AI128" i="5"/>
  <c r="P17" i="9"/>
  <c r="Q114" i="8"/>
  <c r="M148" i="8"/>
  <c r="M140" i="8"/>
  <c r="M115" i="8"/>
  <c r="M143" i="8"/>
  <c r="AO181" i="5"/>
  <c r="AU181" i="5"/>
  <c r="AQ181" i="5"/>
  <c r="U8" i="8"/>
  <c r="AQ179" i="5"/>
  <c r="R184" i="5"/>
  <c r="AS184" i="5" s="1"/>
  <c r="AU184" i="5"/>
  <c r="AM191" i="5"/>
  <c r="AQ138" i="5"/>
  <c r="AO138" i="5"/>
  <c r="AM145" i="5"/>
  <c r="R138" i="5"/>
  <c r="AS138" i="5" s="1"/>
  <c r="AX138" i="5"/>
  <c r="O136" i="5"/>
  <c r="AD136" i="5"/>
  <c r="AQ177" i="5"/>
  <c r="O171" i="5"/>
  <c r="AD171" i="5"/>
  <c r="AS173" i="5"/>
  <c r="AD170" i="5"/>
  <c r="AS178" i="5"/>
  <c r="AD128" i="5"/>
  <c r="J141" i="8"/>
  <c r="DF62" i="3"/>
  <c r="AD129" i="5"/>
  <c r="O129" i="5"/>
  <c r="AD193" i="5"/>
  <c r="O193" i="5"/>
  <c r="AQ142" i="5"/>
  <c r="R142" i="5"/>
  <c r="AS142" i="5" s="1"/>
  <c r="AQ174" i="5"/>
  <c r="AO174" i="5"/>
  <c r="T8" i="8"/>
  <c r="AU174" i="5"/>
  <c r="AQ172" i="5"/>
  <c r="AQ170" i="5"/>
  <c r="AQ171" i="5"/>
  <c r="O137" i="5"/>
  <c r="AD137" i="5"/>
  <c r="R174" i="5"/>
  <c r="AS174" i="5" s="1"/>
  <c r="Q17" i="9"/>
  <c r="R114" i="8"/>
  <c r="V129" i="5"/>
  <c r="V136" i="5"/>
  <c r="AK130" i="5"/>
  <c r="AK137" i="5"/>
  <c r="R40" i="8"/>
  <c r="R10" i="8"/>
  <c r="Q40" i="8"/>
  <c r="L140" i="8"/>
  <c r="L148" i="8"/>
  <c r="L143" i="8"/>
  <c r="DI63" i="3"/>
  <c r="M41" i="8"/>
  <c r="AQ173" i="5"/>
  <c r="S9" i="8"/>
  <c r="R14" i="9"/>
  <c r="S67" i="8"/>
  <c r="S112" i="8"/>
  <c r="AG131" i="5"/>
  <c r="AI131" i="5" s="1"/>
  <c r="AK131" i="5" s="1"/>
  <c r="C131" i="5"/>
  <c r="G131" i="5" s="1"/>
  <c r="C177" i="5"/>
  <c r="G177" i="5" s="1"/>
  <c r="AG177" i="5"/>
  <c r="AS135" i="5"/>
  <c r="AM187" i="5"/>
  <c r="AQ180" i="5"/>
  <c r="AU180" i="5"/>
  <c r="R180" i="5"/>
  <c r="AS180" i="5" s="1"/>
  <c r="AQ178" i="5"/>
  <c r="T200" i="5"/>
  <c r="V200" i="5" s="1"/>
  <c r="C200" i="5"/>
  <c r="G200" i="5" s="1"/>
  <c r="AG200" i="5"/>
  <c r="AI200" i="5" s="1"/>
  <c r="AK200" i="5" s="1"/>
  <c r="AS131" i="5"/>
  <c r="AD167" i="5"/>
  <c r="BQ144" i="7" l="1"/>
  <c r="P29" i="72"/>
  <c r="O35" i="72"/>
  <c r="O37" i="72"/>
  <c r="O39" i="72" s="1"/>
  <c r="BX14" i="3"/>
  <c r="CB42" i="7"/>
  <c r="BZ42" i="7"/>
  <c r="BX159" i="7"/>
  <c r="BY159" i="7" s="1"/>
  <c r="BY42" i="7"/>
  <c r="BT157" i="7"/>
  <c r="BU157" i="7" s="1"/>
  <c r="BV40" i="7"/>
  <c r="BU40" i="7"/>
  <c r="BX40" i="7"/>
  <c r="BX45" i="7" s="1"/>
  <c r="BQ14" i="3"/>
  <c r="BZ41" i="7"/>
  <c r="BY41" i="7"/>
  <c r="BW14" i="3"/>
  <c r="CB41" i="7"/>
  <c r="BX158" i="7"/>
  <c r="BY158" i="7" s="1"/>
  <c r="BM160" i="7"/>
  <c r="BR46" i="7"/>
  <c r="BQ46" i="7"/>
  <c r="BU45" i="7"/>
  <c r="BV45" i="7"/>
  <c r="BT46" i="7"/>
  <c r="BT43" i="7"/>
  <c r="BR43" i="7"/>
  <c r="BO14" i="3" s="1"/>
  <c r="BQ43" i="7"/>
  <c r="BP160" i="7"/>
  <c r="BQ160" i="7" s="1"/>
  <c r="Z59" i="9"/>
  <c r="C36" i="73"/>
  <c r="C38" i="73" s="1"/>
  <c r="H39" i="73" s="1"/>
  <c r="Y60" i="9"/>
  <c r="Q24" i="63"/>
  <c r="DW27" i="3"/>
  <c r="AW50" i="11"/>
  <c r="AJ49" i="3"/>
  <c r="AE49" i="3"/>
  <c r="CV29" i="3"/>
  <c r="CU29" i="3"/>
  <c r="CX29" i="3"/>
  <c r="CW29" i="3"/>
  <c r="F54" i="9"/>
  <c r="CR199" i="7"/>
  <c r="T250" i="5"/>
  <c r="T252" i="5" s="1"/>
  <c r="V259" i="5" s="1"/>
  <c r="C143" i="7"/>
  <c r="BC12" i="11"/>
  <c r="BG13" i="10"/>
  <c r="BE12" i="11" s="1"/>
  <c r="M257" i="5"/>
  <c r="O257" i="5" s="1"/>
  <c r="AD34" i="8"/>
  <c r="AD31" i="8" s="1"/>
  <c r="K244" i="5"/>
  <c r="K243" i="5"/>
  <c r="M242" i="5"/>
  <c r="O242" i="5" s="1"/>
  <c r="T242" i="5"/>
  <c r="V242" i="5" s="1"/>
  <c r="AS49" i="3"/>
  <c r="E54" i="9"/>
  <c r="Q55" i="11"/>
  <c r="E173" i="63"/>
  <c r="E57" i="9"/>
  <c r="DU29" i="3"/>
  <c r="X72" i="9"/>
  <c r="O79" i="63"/>
  <c r="L135" i="63"/>
  <c r="L138" i="63" s="1"/>
  <c r="M259" i="5"/>
  <c r="T83" i="5"/>
  <c r="V83" i="5" s="1"/>
  <c r="R139" i="5"/>
  <c r="E139" i="5" s="1"/>
  <c r="O43" i="8" s="1"/>
  <c r="F36" i="63" s="1"/>
  <c r="G57" i="9"/>
  <c r="L115" i="8"/>
  <c r="AW49" i="3"/>
  <c r="M121" i="63"/>
  <c r="BQ161" i="7"/>
  <c r="CD49" i="3"/>
  <c r="CC49" i="3"/>
  <c r="BX49" i="3"/>
  <c r="DI49" i="3"/>
  <c r="Y49" i="3"/>
  <c r="K49" i="3"/>
  <c r="P49" i="3"/>
  <c r="CA49" i="3"/>
  <c r="CM49" i="3"/>
  <c r="AI49" i="3"/>
  <c r="AM49" i="3"/>
  <c r="C53" i="9"/>
  <c r="E10" i="11"/>
  <c r="E18" i="11" s="1"/>
  <c r="E39" i="11" s="1"/>
  <c r="E55" i="11" s="1"/>
  <c r="C56" i="9"/>
  <c r="C46" i="9"/>
  <c r="V266" i="5"/>
  <c r="H110" i="63"/>
  <c r="H94" i="63"/>
  <c r="I119" i="63" s="1"/>
  <c r="BL41" i="3"/>
  <c r="BL26" i="3"/>
  <c r="BL49" i="3" s="1"/>
  <c r="H171" i="7"/>
  <c r="L171" i="7"/>
  <c r="AC32" i="8"/>
  <c r="CZ39" i="3"/>
  <c r="DG49" i="3"/>
  <c r="O49" i="3"/>
  <c r="G60" i="63"/>
  <c r="G62" i="63" s="1"/>
  <c r="G71" i="63"/>
  <c r="DK50" i="3"/>
  <c r="DK42" i="3"/>
  <c r="P50" i="9"/>
  <c r="AG82" i="10"/>
  <c r="P46" i="9"/>
  <c r="H154" i="63"/>
  <c r="H135" i="63"/>
  <c r="I172" i="63" s="1"/>
  <c r="U104" i="63"/>
  <c r="W104" i="63" s="1"/>
  <c r="X104" i="63" s="1"/>
  <c r="V53" i="9"/>
  <c r="V54" i="9" s="1"/>
  <c r="V51" i="9"/>
  <c r="O51" i="9"/>
  <c r="O56" i="9"/>
  <c r="O53" i="9"/>
  <c r="Q46" i="9"/>
  <c r="Q50" i="9"/>
  <c r="AI82" i="10"/>
  <c r="V257" i="5"/>
  <c r="BM161" i="7"/>
  <c r="I55" i="63"/>
  <c r="I70" i="63"/>
  <c r="I65" i="63"/>
  <c r="DY59" i="3"/>
  <c r="AB135" i="8"/>
  <c r="H142" i="7"/>
  <c r="L142" i="7"/>
  <c r="F21" i="63"/>
  <c r="F23" i="63" s="1"/>
  <c r="F39" i="63" s="1"/>
  <c r="F32" i="63"/>
  <c r="F70" i="63"/>
  <c r="F55" i="63"/>
  <c r="F77" i="63"/>
  <c r="F65" i="63"/>
  <c r="F79" i="63" s="1"/>
  <c r="CG171" i="7"/>
  <c r="Q71" i="9"/>
  <c r="DM28" i="3"/>
  <c r="I100" i="5"/>
  <c r="T56" i="12"/>
  <c r="V56" i="12" s="1"/>
  <c r="X56" i="12" s="1"/>
  <c r="Q69" i="3"/>
  <c r="AX96" i="5"/>
  <c r="AA16" i="9"/>
  <c r="AB13" i="9"/>
  <c r="M39" i="63"/>
  <c r="BU161" i="7"/>
  <c r="W51" i="9"/>
  <c r="W53" i="9"/>
  <c r="BQ172" i="7"/>
  <c r="BP173" i="7"/>
  <c r="B45" i="9"/>
  <c r="BM170" i="7"/>
  <c r="I38" i="63"/>
  <c r="I16" i="63"/>
  <c r="I26" i="63"/>
  <c r="I31" i="63"/>
  <c r="X26" i="3"/>
  <c r="X41" i="3"/>
  <c r="N21" i="63"/>
  <c r="N23" i="63" s="1"/>
  <c r="N39" i="63" s="1"/>
  <c r="N32" i="63"/>
  <c r="N163" i="63" s="1"/>
  <c r="V258" i="5"/>
  <c r="V265" i="5"/>
  <c r="C43" i="9"/>
  <c r="CZ22" i="3"/>
  <c r="CZ40" i="3" s="1"/>
  <c r="H153" i="7"/>
  <c r="L153" i="7"/>
  <c r="H126" i="8"/>
  <c r="H128" i="8"/>
  <c r="H129" i="8" s="1"/>
  <c r="K93" i="5"/>
  <c r="AX93" i="5"/>
  <c r="T53" i="12"/>
  <c r="V53" i="12" s="1"/>
  <c r="X53" i="12" s="1"/>
  <c r="I94" i="5"/>
  <c r="N69" i="3"/>
  <c r="N128" i="63"/>
  <c r="M133" i="63"/>
  <c r="M171" i="63" s="1"/>
  <c r="M132" i="63"/>
  <c r="M130" i="63" s="1"/>
  <c r="I112" i="63"/>
  <c r="I97" i="63"/>
  <c r="I107" i="63"/>
  <c r="F97" i="63"/>
  <c r="F112" i="63"/>
  <c r="F119" i="63"/>
  <c r="F107" i="63"/>
  <c r="F121" i="63" s="1"/>
  <c r="AG174" i="5"/>
  <c r="AS73" i="10"/>
  <c r="DO24" i="3"/>
  <c r="DO39" i="3"/>
  <c r="DO40" i="3"/>
  <c r="DO71" i="3" s="1"/>
  <c r="AC18" i="11"/>
  <c r="AC39" i="11" s="1"/>
  <c r="BC56" i="3"/>
  <c r="DE42" i="3"/>
  <c r="DE50" i="3"/>
  <c r="DF50" i="3"/>
  <c r="O60" i="63"/>
  <c r="O62" i="63" s="1"/>
  <c r="O71" i="63"/>
  <c r="BL171" i="7"/>
  <c r="BM153" i="7"/>
  <c r="I125" i="8"/>
  <c r="J117" i="8"/>
  <c r="J124" i="8" s="1"/>
  <c r="DE53" i="3"/>
  <c r="DE70" i="3" s="1"/>
  <c r="G53" i="3"/>
  <c r="I137" i="8"/>
  <c r="I138" i="8" s="1"/>
  <c r="DR41" i="3"/>
  <c r="DR26" i="3"/>
  <c r="DS49" i="3" s="1"/>
  <c r="AA18" i="11"/>
  <c r="AA39" i="11" s="1"/>
  <c r="BB56" i="3"/>
  <c r="H52" i="63"/>
  <c r="I77" i="63" s="1"/>
  <c r="H68" i="63"/>
  <c r="M90" i="5"/>
  <c r="O90" i="5" s="1"/>
  <c r="BG90" i="5"/>
  <c r="BI90" i="5" s="1"/>
  <c r="F172" i="63"/>
  <c r="F162" i="63"/>
  <c r="F138" i="63"/>
  <c r="F151" i="63"/>
  <c r="F174" i="63" s="1"/>
  <c r="DQ26" i="3"/>
  <c r="DQ41" i="3"/>
  <c r="AS144" i="7"/>
  <c r="AW144" i="7"/>
  <c r="I138" i="63"/>
  <c r="I162" i="63"/>
  <c r="I151" i="63"/>
  <c r="DL50" i="3"/>
  <c r="V256" i="5"/>
  <c r="V249" i="5"/>
  <c r="O93" i="11"/>
  <c r="O55" i="11"/>
  <c r="CL56" i="3"/>
  <c r="AQ18" i="11"/>
  <c r="AQ39" i="11" s="1"/>
  <c r="AE73" i="10"/>
  <c r="DO42" i="3"/>
  <c r="BN49" i="3"/>
  <c r="BU144" i="7"/>
  <c r="DU41" i="3"/>
  <c r="DU26" i="3"/>
  <c r="AC134" i="8"/>
  <c r="AC35" i="8"/>
  <c r="BV49" i="3"/>
  <c r="CF49" i="3"/>
  <c r="CK49" i="3"/>
  <c r="U62" i="63"/>
  <c r="W62" i="63" s="1"/>
  <c r="X62" i="63" s="1"/>
  <c r="BL173" i="7"/>
  <c r="BM169" i="7"/>
  <c r="BQ169" i="7"/>
  <c r="AS161" i="7"/>
  <c r="AW161" i="7"/>
  <c r="DL41" i="3"/>
  <c r="DL26" i="3"/>
  <c r="V86" i="5"/>
  <c r="DE61" i="3"/>
  <c r="G59" i="3"/>
  <c r="I38" i="8"/>
  <c r="O121" i="63"/>
  <c r="DX69" i="3"/>
  <c r="DX60" i="3"/>
  <c r="T5" i="8"/>
  <c r="S110" i="8"/>
  <c r="U118" i="10"/>
  <c r="U112" i="10"/>
  <c r="L79" i="63"/>
  <c r="M79" i="63"/>
  <c r="Y104" i="10"/>
  <c r="W106" i="10"/>
  <c r="BC30" i="11"/>
  <c r="BE127" i="10"/>
  <c r="G143" i="63"/>
  <c r="G145" i="63" s="1"/>
  <c r="G163" i="63"/>
  <c r="AE10" i="11"/>
  <c r="BI144" i="7"/>
  <c r="CZ50" i="3"/>
  <c r="CZ42" i="3"/>
  <c r="BH171" i="7"/>
  <c r="BI171" i="7" s="1"/>
  <c r="BI153" i="7"/>
  <c r="DG46" i="3"/>
  <c r="K145" i="8"/>
  <c r="G102" i="63"/>
  <c r="G104" i="63" s="1"/>
  <c r="G113" i="63"/>
  <c r="I103" i="5"/>
  <c r="J37" i="8"/>
  <c r="DF54" i="3"/>
  <c r="DF68" i="3" s="1"/>
  <c r="J20" i="8"/>
  <c r="K12" i="8"/>
  <c r="K19" i="8" s="1"/>
  <c r="Q69" i="11"/>
  <c r="Q73" i="11" s="1"/>
  <c r="Q75" i="11" s="1"/>
  <c r="Q76" i="11" s="1"/>
  <c r="S90" i="10"/>
  <c r="S91" i="10" s="1"/>
  <c r="DT26" i="3"/>
  <c r="DT49" i="3" s="1"/>
  <c r="DT41" i="3"/>
  <c r="J94" i="63"/>
  <c r="J110" i="63"/>
  <c r="L60" i="63"/>
  <c r="L62" i="63" s="1"/>
  <c r="L78" i="63" s="1"/>
  <c r="L71" i="63"/>
  <c r="BI169" i="7"/>
  <c r="BH173" i="7"/>
  <c r="BI173" i="7" s="1"/>
  <c r="AB73" i="9"/>
  <c r="AR171" i="7"/>
  <c r="AS153" i="7"/>
  <c r="AW153" i="7"/>
  <c r="AC73" i="10"/>
  <c r="BM144" i="7"/>
  <c r="L102" i="63"/>
  <c r="L104" i="63" s="1"/>
  <c r="L120" i="63" s="1"/>
  <c r="L113" i="63"/>
  <c r="BM28" i="3"/>
  <c r="BT189" i="7"/>
  <c r="AS172" i="7"/>
  <c r="AR173" i="7"/>
  <c r="AW172" i="7"/>
  <c r="AK45" i="7"/>
  <c r="AJ46" i="7"/>
  <c r="AP45" i="7"/>
  <c r="DP38" i="3"/>
  <c r="DP20" i="3"/>
  <c r="DP48" i="3"/>
  <c r="DP31" i="3"/>
  <c r="DQ48" i="3"/>
  <c r="DM31" i="3"/>
  <c r="DO50" i="3" s="1"/>
  <c r="DM48" i="3"/>
  <c r="DM38" i="3"/>
  <c r="DM20" i="3"/>
  <c r="L172" i="63"/>
  <c r="DC26" i="3"/>
  <c r="DC49" i="3" s="1"/>
  <c r="DC41" i="3"/>
  <c r="U25" i="8"/>
  <c r="DQ57" i="3"/>
  <c r="BH49" i="3"/>
  <c r="BM49" i="3"/>
  <c r="BT190" i="7"/>
  <c r="BN28" i="3"/>
  <c r="T51" i="9"/>
  <c r="T53" i="9"/>
  <c r="T54" i="9" s="1"/>
  <c r="T56" i="9"/>
  <c r="T57" i="9" s="1"/>
  <c r="O40" i="63"/>
  <c r="H56" i="9"/>
  <c r="H53" i="9"/>
  <c r="H51" i="9"/>
  <c r="BJ28" i="3"/>
  <c r="BP191" i="7"/>
  <c r="BL192" i="7"/>
  <c r="K115" i="8"/>
  <c r="K148" i="8"/>
  <c r="K140" i="8"/>
  <c r="G143" i="7"/>
  <c r="DP56" i="3"/>
  <c r="T24" i="8"/>
  <c r="G40" i="63"/>
  <c r="N51" i="9"/>
  <c r="N53" i="9"/>
  <c r="N54" i="9" s="1"/>
  <c r="N56" i="9"/>
  <c r="M89" i="5"/>
  <c r="O89" i="5" s="1"/>
  <c r="BG89" i="5"/>
  <c r="BI89" i="5" s="1"/>
  <c r="T89" i="5"/>
  <c r="V89" i="5" s="1"/>
  <c r="DK40" i="3"/>
  <c r="DK24" i="3"/>
  <c r="DK39" i="3"/>
  <c r="J16" i="63"/>
  <c r="J38" i="63"/>
  <c r="J31" i="63"/>
  <c r="J26" i="63"/>
  <c r="K38" i="63"/>
  <c r="I21" i="8"/>
  <c r="H99" i="9"/>
  <c r="H100" i="9" s="1"/>
  <c r="I28" i="8"/>
  <c r="I29" i="8" s="1"/>
  <c r="O102" i="63"/>
  <c r="O104" i="63" s="1"/>
  <c r="O113" i="63"/>
  <c r="G54" i="9"/>
  <c r="L130" i="63"/>
  <c r="AO73" i="10"/>
  <c r="CG173" i="7"/>
  <c r="CK173" i="7"/>
  <c r="G172" i="63"/>
  <c r="DE39" i="3"/>
  <c r="DE40" i="3"/>
  <c r="DE24" i="3"/>
  <c r="J52" i="63"/>
  <c r="J68" i="63"/>
  <c r="AE102" i="10"/>
  <c r="H154" i="7"/>
  <c r="L154" i="7"/>
  <c r="H144" i="7"/>
  <c r="L144" i="7"/>
  <c r="BY171" i="7"/>
  <c r="G119" i="63"/>
  <c r="H26" i="63"/>
  <c r="H40" i="63" s="1"/>
  <c r="H16" i="63"/>
  <c r="H31" i="63"/>
  <c r="H38" i="63"/>
  <c r="U25" i="9"/>
  <c r="DR14" i="3"/>
  <c r="N102" i="63"/>
  <c r="N104" i="63" s="1"/>
  <c r="N120" i="63" s="1"/>
  <c r="N113" i="63"/>
  <c r="R46" i="9"/>
  <c r="AK82" i="10"/>
  <c r="R50" i="9"/>
  <c r="AE45" i="9"/>
  <c r="BE26" i="3"/>
  <c r="BE41" i="3"/>
  <c r="BD26" i="3"/>
  <c r="BD49" i="3" s="1"/>
  <c r="BD41" i="3"/>
  <c r="J135" i="63"/>
  <c r="J154" i="63"/>
  <c r="BP171" i="7"/>
  <c r="BQ171" i="7" s="1"/>
  <c r="BQ153" i="7"/>
  <c r="N71" i="63"/>
  <c r="N60" i="63"/>
  <c r="N62" i="63" s="1"/>
  <c r="N78" i="63" s="1"/>
  <c r="BU173" i="7"/>
  <c r="BY173" i="7"/>
  <c r="R41" i="8"/>
  <c r="DO63" i="3"/>
  <c r="AM144" i="5"/>
  <c r="AQ145" i="5"/>
  <c r="R145" i="5"/>
  <c r="AS145" i="5" s="1"/>
  <c r="AI177" i="5"/>
  <c r="DH62" i="3"/>
  <c r="DI46" i="3"/>
  <c r="M145" i="8"/>
  <c r="AI132" i="5"/>
  <c r="AK132" i="5" s="1"/>
  <c r="AK128" i="5"/>
  <c r="AD178" i="5"/>
  <c r="O178" i="5"/>
  <c r="N9" i="9"/>
  <c r="AK170" i="5"/>
  <c r="AI174" i="5"/>
  <c r="AK174" i="5" s="1"/>
  <c r="AD177" i="5"/>
  <c r="S52" i="8"/>
  <c r="S40" i="8"/>
  <c r="S10" i="8"/>
  <c r="AG142" i="5"/>
  <c r="C142" i="5"/>
  <c r="G142" i="5" s="1"/>
  <c r="C149" i="5"/>
  <c r="G149" i="5" s="1"/>
  <c r="AG132" i="5"/>
  <c r="C139" i="5"/>
  <c r="G139" i="5" s="1"/>
  <c r="O7" i="8"/>
  <c r="AS139" i="5"/>
  <c r="AG185" i="5"/>
  <c r="AI185" i="5" s="1"/>
  <c r="AK185" i="5" s="1"/>
  <c r="T185" i="5"/>
  <c r="V185" i="5" s="1"/>
  <c r="C185" i="5"/>
  <c r="G185" i="5" s="1"/>
  <c r="AU187" i="5"/>
  <c r="R187" i="5"/>
  <c r="R188" i="5" s="1"/>
  <c r="AM194" i="5"/>
  <c r="AM195" i="5" s="1"/>
  <c r="AQ191" i="5" s="1"/>
  <c r="AD131" i="5"/>
  <c r="DM63" i="3"/>
  <c r="DI62" i="3"/>
  <c r="M141" i="8"/>
  <c r="AI135" i="5"/>
  <c r="R115" i="8"/>
  <c r="R140" i="8"/>
  <c r="R148" i="8"/>
  <c r="R143" i="8"/>
  <c r="AM188" i="5"/>
  <c r="AQ187" i="5" s="1"/>
  <c r="R192" i="5"/>
  <c r="AS192" i="5" s="1"/>
  <c r="AU192" i="5"/>
  <c r="AM199" i="5"/>
  <c r="AS199" i="5" s="1"/>
  <c r="N67" i="8"/>
  <c r="M14" i="9"/>
  <c r="N9" i="8"/>
  <c r="N112" i="8"/>
  <c r="C184" i="5"/>
  <c r="G184" i="5" s="1"/>
  <c r="AG184" i="5"/>
  <c r="AU191" i="5"/>
  <c r="R191" i="5"/>
  <c r="AS191" i="5" s="1"/>
  <c r="AM198" i="5"/>
  <c r="U7" i="8"/>
  <c r="U113" i="8"/>
  <c r="AD132" i="5"/>
  <c r="DH46" i="3"/>
  <c r="L145" i="8"/>
  <c r="T7" i="8"/>
  <c r="C174" i="5"/>
  <c r="G174" i="5" s="1"/>
  <c r="T113" i="8"/>
  <c r="AD173" i="5"/>
  <c r="O200" i="5"/>
  <c r="AD200" i="5"/>
  <c r="AG180" i="5"/>
  <c r="AI180" i="5" s="1"/>
  <c r="AK180" i="5" s="1"/>
  <c r="C180" i="5"/>
  <c r="G180" i="5" s="1"/>
  <c r="R181" i="5"/>
  <c r="S114" i="8"/>
  <c r="R17" i="9"/>
  <c r="AG138" i="5"/>
  <c r="AI138" i="5" s="1"/>
  <c r="AK138" i="5" s="1"/>
  <c r="C138" i="5"/>
  <c r="G138" i="5" s="1"/>
  <c r="Q140" i="8"/>
  <c r="Q148" i="8"/>
  <c r="Q143" i="8"/>
  <c r="DM46" i="3" s="1"/>
  <c r="AD135" i="5"/>
  <c r="P30" i="72" l="1"/>
  <c r="P15" i="72" s="1"/>
  <c r="CF42" i="7"/>
  <c r="CC42" i="7"/>
  <c r="CC14" i="3" s="1"/>
  <c r="CB159" i="7"/>
  <c r="CC159" i="7" s="1"/>
  <c r="CD42" i="7"/>
  <c r="BX157" i="7"/>
  <c r="BY157" i="7" s="1"/>
  <c r="BY40" i="7"/>
  <c r="CB40" i="7"/>
  <c r="CB45" i="7" s="1"/>
  <c r="BZ40" i="7"/>
  <c r="BV14" i="3"/>
  <c r="CF41" i="7"/>
  <c r="CD41" i="7"/>
  <c r="CB158" i="7"/>
  <c r="CC158" i="7" s="1"/>
  <c r="CC41" i="7"/>
  <c r="CB14" i="3" s="1"/>
  <c r="BX43" i="7"/>
  <c r="BU43" i="7"/>
  <c r="BT160" i="7"/>
  <c r="BU160" i="7" s="1"/>
  <c r="BT14" i="3"/>
  <c r="BV43" i="7"/>
  <c r="BZ45" i="7"/>
  <c r="BY45" i="7"/>
  <c r="BX46" i="7"/>
  <c r="BV46" i="7"/>
  <c r="BU46" i="7"/>
  <c r="AY56" i="10"/>
  <c r="AW51" i="11"/>
  <c r="E24" i="73"/>
  <c r="F24" i="73"/>
  <c r="G24" i="73"/>
  <c r="J24" i="73"/>
  <c r="C24" i="73"/>
  <c r="I24" i="73"/>
  <c r="H24" i="73"/>
  <c r="D24" i="73"/>
  <c r="AA59" i="9"/>
  <c r="Z60" i="9"/>
  <c r="DX27" i="3"/>
  <c r="R24" i="63"/>
  <c r="AY50" i="11"/>
  <c r="Q148" i="63"/>
  <c r="Q146" i="63" s="1"/>
  <c r="AD55" i="8"/>
  <c r="AH31" i="8"/>
  <c r="AD32" i="8"/>
  <c r="L151" i="63"/>
  <c r="L174" i="63" s="1"/>
  <c r="AC73" i="9"/>
  <c r="L162" i="63"/>
  <c r="AB16" i="9"/>
  <c r="AC13" i="9"/>
  <c r="AC16" i="9" s="1"/>
  <c r="AD35" i="8"/>
  <c r="AH34" i="8"/>
  <c r="AD134" i="8"/>
  <c r="AD131" i="8" s="1"/>
  <c r="DZ59" i="3"/>
  <c r="DZ69" i="3" s="1"/>
  <c r="M243" i="5"/>
  <c r="O243" i="5" s="1"/>
  <c r="M250" i="5"/>
  <c r="K245" i="5"/>
  <c r="T243" i="5"/>
  <c r="T244" i="5"/>
  <c r="M244" i="5"/>
  <c r="O244" i="5" s="1"/>
  <c r="M251" i="5"/>
  <c r="DY60" i="3"/>
  <c r="DY69" i="3"/>
  <c r="DV29" i="3"/>
  <c r="Y72" i="9"/>
  <c r="Q91" i="11"/>
  <c r="Q58" i="11"/>
  <c r="Q93" i="11" s="1"/>
  <c r="G39" i="63"/>
  <c r="O39" i="63"/>
  <c r="O57" i="9"/>
  <c r="V3" i="63"/>
  <c r="G174" i="63"/>
  <c r="M120" i="63"/>
  <c r="T90" i="5"/>
  <c r="V90" i="5" s="1"/>
  <c r="I40" i="63"/>
  <c r="C188" i="5"/>
  <c r="G188" i="5" s="1"/>
  <c r="AD188" i="5" s="1"/>
  <c r="DD49" i="3"/>
  <c r="BQ49" i="3"/>
  <c r="DU49" i="3"/>
  <c r="AK46" i="7"/>
  <c r="AP46" i="7"/>
  <c r="I163" i="63"/>
  <c r="I143" i="63"/>
  <c r="I145" i="63" s="1"/>
  <c r="DO41" i="3"/>
  <c r="DO26" i="3"/>
  <c r="I113" i="63"/>
  <c r="I102" i="63"/>
  <c r="I104" i="63" s="1"/>
  <c r="BG93" i="5"/>
  <c r="BI93" i="5" s="1"/>
  <c r="M93" i="5"/>
  <c r="O93" i="5" s="1"/>
  <c r="T93" i="5"/>
  <c r="V93" i="5" s="1"/>
  <c r="X49" i="3"/>
  <c r="AC49" i="3"/>
  <c r="AI73" i="10"/>
  <c r="H21" i="63"/>
  <c r="H23" i="63" s="1"/>
  <c r="H39" i="63" s="1"/>
  <c r="H32" i="63"/>
  <c r="O120" i="63"/>
  <c r="J21" i="63"/>
  <c r="J23" i="63" s="1"/>
  <c r="J32" i="63"/>
  <c r="DQ56" i="3"/>
  <c r="U24" i="8"/>
  <c r="BO28" i="3"/>
  <c r="BT191" i="7"/>
  <c r="BP192" i="7"/>
  <c r="DP50" i="3"/>
  <c r="DP42" i="3"/>
  <c r="DQ50" i="3"/>
  <c r="S69" i="11"/>
  <c r="S73" i="11" s="1"/>
  <c r="S75" i="11" s="1"/>
  <c r="S76" i="11" s="1"/>
  <c r="L12" i="8"/>
  <c r="L19" i="8" s="1"/>
  <c r="K37" i="8"/>
  <c r="I110" i="5"/>
  <c r="U90" i="10"/>
  <c r="U91" i="10" s="1"/>
  <c r="DG54" i="3"/>
  <c r="DG68" i="3" s="1"/>
  <c r="K20" i="8"/>
  <c r="O78" i="63"/>
  <c r="U54" i="9"/>
  <c r="W54" i="9"/>
  <c r="Q53" i="9"/>
  <c r="Q51" i="9"/>
  <c r="Q56" i="9"/>
  <c r="AS187" i="5"/>
  <c r="V25" i="8"/>
  <c r="DR57" i="3"/>
  <c r="DM24" i="3"/>
  <c r="DM39" i="3"/>
  <c r="DM40" i="3"/>
  <c r="J21" i="8"/>
  <c r="I99" i="9"/>
  <c r="I100" i="9" s="1"/>
  <c r="J28" i="8"/>
  <c r="J29" i="8" s="1"/>
  <c r="F143" i="63"/>
  <c r="F145" i="63" s="1"/>
  <c r="F173" i="63" s="1"/>
  <c r="F163" i="63"/>
  <c r="H70" i="63"/>
  <c r="H77" i="63"/>
  <c r="H55" i="63"/>
  <c r="H65" i="63"/>
  <c r="H79" i="63" s="1"/>
  <c r="M135" i="63"/>
  <c r="H112" i="63"/>
  <c r="H119" i="63"/>
  <c r="H97" i="63"/>
  <c r="H107" i="63"/>
  <c r="H121" i="63" s="1"/>
  <c r="J77" i="63"/>
  <c r="J70" i="63"/>
  <c r="J55" i="63"/>
  <c r="J65" i="63"/>
  <c r="K77" i="63"/>
  <c r="BS28" i="3"/>
  <c r="BX190" i="7"/>
  <c r="CB190" i="7" s="1"/>
  <c r="CF190" i="7" s="1"/>
  <c r="CJ190" i="7" s="1"/>
  <c r="CN190" i="7" s="1"/>
  <c r="CR190" i="7" s="1"/>
  <c r="I60" i="63"/>
  <c r="I62" i="63" s="1"/>
  <c r="I71" i="63"/>
  <c r="DK26" i="3"/>
  <c r="DK49" i="3" s="1"/>
  <c r="DK41" i="3"/>
  <c r="DG62" i="3"/>
  <c r="K141" i="8"/>
  <c r="AK73" i="10"/>
  <c r="AC135" i="8"/>
  <c r="F102" i="63"/>
  <c r="F104" i="63" s="1"/>
  <c r="F120" i="63" s="1"/>
  <c r="F113" i="63"/>
  <c r="F71" i="63"/>
  <c r="F60" i="63"/>
  <c r="F62" i="63" s="1"/>
  <c r="F78" i="63" s="1"/>
  <c r="I54" i="9"/>
  <c r="H54" i="9"/>
  <c r="J38" i="8"/>
  <c r="DF61" i="3"/>
  <c r="AA93" i="11"/>
  <c r="AA94" i="11" s="1"/>
  <c r="AA55" i="11"/>
  <c r="AG73" i="10"/>
  <c r="C57" i="9"/>
  <c r="D57" i="9"/>
  <c r="BE49" i="3"/>
  <c r="BJ49" i="3"/>
  <c r="DS14" i="3"/>
  <c r="V25" i="9"/>
  <c r="U56" i="9"/>
  <c r="U57" i="9" s="1"/>
  <c r="H57" i="9"/>
  <c r="I57" i="9"/>
  <c r="AS173" i="7"/>
  <c r="AW173" i="7"/>
  <c r="J107" i="63"/>
  <c r="J119" i="63"/>
  <c r="J97" i="63"/>
  <c r="J112" i="63"/>
  <c r="K119" i="63"/>
  <c r="I107" i="5"/>
  <c r="V69" i="3"/>
  <c r="T63" i="12"/>
  <c r="V63" i="12" s="1"/>
  <c r="X63" i="12" s="1"/>
  <c r="I126" i="8"/>
  <c r="I128" i="8"/>
  <c r="I129" i="8" s="1"/>
  <c r="B46" i="9"/>
  <c r="C10" i="11"/>
  <c r="P56" i="9"/>
  <c r="P57" i="9" s="1"/>
  <c r="P51" i="9"/>
  <c r="P53" i="9"/>
  <c r="P54" i="9" s="1"/>
  <c r="E58" i="11"/>
  <c r="E56" i="11"/>
  <c r="G54" i="11" s="1"/>
  <c r="G56" i="11" s="1"/>
  <c r="I54" i="11" s="1"/>
  <c r="I56" i="11" s="1"/>
  <c r="K54" i="11" s="1"/>
  <c r="K56" i="11" s="1"/>
  <c r="M54" i="11" s="1"/>
  <c r="M56" i="11" s="1"/>
  <c r="J40" i="63"/>
  <c r="K40" i="63"/>
  <c r="G121" i="63"/>
  <c r="AE18" i="11"/>
  <c r="AE39" i="11" s="1"/>
  <c r="BD56" i="3"/>
  <c r="W112" i="10"/>
  <c r="W118" i="10"/>
  <c r="O91" i="11"/>
  <c r="O58" i="11"/>
  <c r="DR49" i="3"/>
  <c r="AC131" i="8"/>
  <c r="AC132" i="8" s="1"/>
  <c r="CZ24" i="3"/>
  <c r="C54" i="9"/>
  <c r="DA49" i="3"/>
  <c r="D54" i="9"/>
  <c r="H143" i="7"/>
  <c r="L143" i="7"/>
  <c r="BR28" i="3"/>
  <c r="BX189" i="7"/>
  <c r="CB189" i="7" s="1"/>
  <c r="CF189" i="7" s="1"/>
  <c r="CJ189" i="7" s="1"/>
  <c r="CN189" i="7" s="1"/>
  <c r="CR189" i="7" s="1"/>
  <c r="M78" i="63"/>
  <c r="DE26" i="3"/>
  <c r="DE41" i="3"/>
  <c r="AE56" i="9"/>
  <c r="N57" i="9"/>
  <c r="DP40" i="3"/>
  <c r="DP71" i="3" s="1"/>
  <c r="DP24" i="3"/>
  <c r="DP39" i="3"/>
  <c r="AS171" i="7"/>
  <c r="AW171" i="7"/>
  <c r="AQ55" i="11"/>
  <c r="AQ93" i="11"/>
  <c r="AQ94" i="11" s="1"/>
  <c r="K117" i="8"/>
  <c r="K124" i="8" s="1"/>
  <c r="DF53" i="3"/>
  <c r="DF70" i="3" s="1"/>
  <c r="J137" i="8"/>
  <c r="J138" i="8" s="1"/>
  <c r="J125" i="8"/>
  <c r="I21" i="63"/>
  <c r="I23" i="63" s="1"/>
  <c r="I32" i="63"/>
  <c r="BI49" i="3"/>
  <c r="AC93" i="11"/>
  <c r="AC94" i="11" s="1"/>
  <c r="AC55" i="11"/>
  <c r="O128" i="63"/>
  <c r="N132" i="63"/>
  <c r="N130" i="63" s="1"/>
  <c r="N133" i="63"/>
  <c r="N171" i="63" s="1"/>
  <c r="K94" i="5"/>
  <c r="T54" i="12"/>
  <c r="V54" i="12" s="1"/>
  <c r="X54" i="12" s="1"/>
  <c r="AX94" i="5"/>
  <c r="O69" i="3"/>
  <c r="I95" i="5"/>
  <c r="K95" i="5" s="1"/>
  <c r="K100" i="5"/>
  <c r="T60" i="12"/>
  <c r="V60" i="12" s="1"/>
  <c r="X60" i="12" s="1"/>
  <c r="S69" i="3"/>
  <c r="I101" i="5"/>
  <c r="K101" i="5" s="1"/>
  <c r="AG139" i="5"/>
  <c r="L141" i="8"/>
  <c r="J138" i="63"/>
  <c r="J151" i="63"/>
  <c r="J172" i="63"/>
  <c r="J162" i="63"/>
  <c r="K172" i="63"/>
  <c r="R53" i="9"/>
  <c r="R51" i="9"/>
  <c r="R56" i="9"/>
  <c r="AE50" i="9"/>
  <c r="BU171" i="7"/>
  <c r="AG102" i="10"/>
  <c r="G79" i="63"/>
  <c r="L140" i="63"/>
  <c r="L143" i="63" s="1"/>
  <c r="L145" i="63" s="1"/>
  <c r="L173" i="63" s="1"/>
  <c r="DM42" i="3"/>
  <c r="DM50" i="3"/>
  <c r="AA104" i="10"/>
  <c r="Y106" i="10"/>
  <c r="T110" i="8"/>
  <c r="U5" i="8"/>
  <c r="BM173" i="7"/>
  <c r="BM171" i="7"/>
  <c r="BQ173" i="7"/>
  <c r="DO28" i="3"/>
  <c r="R71" i="9"/>
  <c r="O54" i="9"/>
  <c r="H138" i="63"/>
  <c r="H172" i="63"/>
  <c r="H162" i="63"/>
  <c r="H151" i="63"/>
  <c r="H174" i="63" s="1"/>
  <c r="AI184" i="5"/>
  <c r="S41" i="8"/>
  <c r="DP63" i="3"/>
  <c r="AU198" i="5"/>
  <c r="AS198" i="5"/>
  <c r="R198" i="5"/>
  <c r="AM205" i="5"/>
  <c r="AM212" i="5" s="1"/>
  <c r="N14" i="9"/>
  <c r="O67" i="8"/>
  <c r="O9" i="8"/>
  <c r="O112" i="8"/>
  <c r="F167" i="63"/>
  <c r="F75" i="63"/>
  <c r="F117" i="63"/>
  <c r="F80" i="63"/>
  <c r="F81" i="63" s="1"/>
  <c r="F175" i="63"/>
  <c r="F176" i="63" s="1"/>
  <c r="F122" i="63"/>
  <c r="F123" i="63" s="1"/>
  <c r="S140" i="8"/>
  <c r="S115" i="8"/>
  <c r="S148" i="8"/>
  <c r="S143" i="8"/>
  <c r="C191" i="5"/>
  <c r="G191" i="5" s="1"/>
  <c r="AG191" i="5"/>
  <c r="AD184" i="5"/>
  <c r="AU199" i="5"/>
  <c r="R199" i="5"/>
  <c r="AM206" i="5"/>
  <c r="AM213" i="5" s="1"/>
  <c r="AD139" i="5"/>
  <c r="AD149" i="5"/>
  <c r="C145" i="5"/>
  <c r="G145" i="5" s="1"/>
  <c r="AG145" i="5"/>
  <c r="AI145" i="5" s="1"/>
  <c r="C152" i="5"/>
  <c r="G152" i="5" s="1"/>
  <c r="C181" i="5"/>
  <c r="G181" i="5" s="1"/>
  <c r="AS181" i="5"/>
  <c r="AD174" i="5"/>
  <c r="AO195" i="5"/>
  <c r="AQ195" i="5"/>
  <c r="W8" i="8"/>
  <c r="AU195" i="5"/>
  <c r="AQ193" i="5"/>
  <c r="R194" i="5"/>
  <c r="AS194" i="5" s="1"/>
  <c r="AQ194" i="5"/>
  <c r="AU194" i="5"/>
  <c r="AM201" i="5"/>
  <c r="AM202" i="5" s="1"/>
  <c r="AD142" i="5"/>
  <c r="DM62" i="3"/>
  <c r="AD180" i="5"/>
  <c r="S14" i="9"/>
  <c r="T112" i="8"/>
  <c r="T67" i="8"/>
  <c r="T9" i="8"/>
  <c r="C192" i="5"/>
  <c r="G192" i="5" s="1"/>
  <c r="AG192" i="5"/>
  <c r="AI192" i="5" s="1"/>
  <c r="AK192" i="5" s="1"/>
  <c r="T192" i="5"/>
  <c r="V192" i="5" s="1"/>
  <c r="DO46" i="3"/>
  <c r="R145" i="8"/>
  <c r="AI142" i="5"/>
  <c r="AG181" i="5"/>
  <c r="R144" i="5"/>
  <c r="AS144" i="5" s="1"/>
  <c r="AQ144" i="5"/>
  <c r="M17" i="9"/>
  <c r="N114" i="8"/>
  <c r="AQ192" i="5"/>
  <c r="AI139" i="5"/>
  <c r="AK139" i="5" s="1"/>
  <c r="AK135" i="5"/>
  <c r="C187" i="5"/>
  <c r="G187" i="5" s="1"/>
  <c r="AG187" i="5"/>
  <c r="AI187" i="5" s="1"/>
  <c r="AK187" i="5" s="1"/>
  <c r="O185" i="5"/>
  <c r="AD185" i="5"/>
  <c r="AK177" i="5"/>
  <c r="AI181" i="5"/>
  <c r="AK181" i="5" s="1"/>
  <c r="AD138" i="5"/>
  <c r="T14" i="9"/>
  <c r="U9" i="8"/>
  <c r="U112" i="8"/>
  <c r="N52" i="8"/>
  <c r="N40" i="8"/>
  <c r="N10" i="8"/>
  <c r="V8" i="8"/>
  <c r="AQ188" i="5"/>
  <c r="AU188" i="5"/>
  <c r="AO188" i="5"/>
  <c r="AS188" i="5"/>
  <c r="AQ186" i="5"/>
  <c r="AQ184" i="5"/>
  <c r="AQ185" i="5"/>
  <c r="DO62" i="3"/>
  <c r="R141" i="8"/>
  <c r="CO82" i="7"/>
  <c r="AW207" i="5"/>
  <c r="AU214" i="5" s="1"/>
  <c r="CN16" i="7"/>
  <c r="CP16" i="7" s="1"/>
  <c r="CO12" i="7"/>
  <c r="B167" i="12"/>
  <c r="DZ60" i="3" l="1"/>
  <c r="AD135" i="8"/>
  <c r="P33" i="72"/>
  <c r="P37" i="72" s="1"/>
  <c r="P39" i="72" s="1"/>
  <c r="P38" i="72"/>
  <c r="P16" i="72"/>
  <c r="CF159" i="7"/>
  <c r="CG159" i="7" s="1"/>
  <c r="CH42" i="7"/>
  <c r="CH14" i="3" s="1"/>
  <c r="CG42" i="7"/>
  <c r="CJ42" i="7"/>
  <c r="CB157" i="7"/>
  <c r="CC157" i="7" s="1"/>
  <c r="CF40" i="7"/>
  <c r="CF45" i="7" s="1"/>
  <c r="CC40" i="7"/>
  <c r="CA14" i="3" s="1"/>
  <c r="CD40" i="7"/>
  <c r="BY43" i="7"/>
  <c r="BY14" i="3"/>
  <c r="BX160" i="7"/>
  <c r="BY160" i="7" s="1"/>
  <c r="BZ43" i="7"/>
  <c r="CB43" i="7"/>
  <c r="BZ46" i="7"/>
  <c r="BY46" i="7"/>
  <c r="CB46" i="7"/>
  <c r="CC45" i="7"/>
  <c r="CD45" i="7"/>
  <c r="CJ41" i="7"/>
  <c r="CG41" i="7"/>
  <c r="CF158" i="7"/>
  <c r="CG158" i="7" s="1"/>
  <c r="CH41" i="7"/>
  <c r="CG14" i="3" s="1"/>
  <c r="BA56" i="10"/>
  <c r="AY51" i="11"/>
  <c r="S24" i="63"/>
  <c r="AB59" i="9"/>
  <c r="AA60" i="9"/>
  <c r="DY27" i="3"/>
  <c r="BA50" i="11"/>
  <c r="R148" i="63"/>
  <c r="R146" i="63" s="1"/>
  <c r="Q147" i="63"/>
  <c r="Q105" i="63"/>
  <c r="Q149" i="63" s="1"/>
  <c r="AU213" i="5"/>
  <c r="L5" i="74"/>
  <c r="L6" i="74" s="1"/>
  <c r="AU212" i="5"/>
  <c r="AD132" i="8"/>
  <c r="V244" i="5"/>
  <c r="V251" i="5"/>
  <c r="V250" i="5"/>
  <c r="V243" i="5"/>
  <c r="T245" i="5"/>
  <c r="M245" i="5"/>
  <c r="O245" i="5" s="1"/>
  <c r="M252" i="5"/>
  <c r="O252" i="5" s="1"/>
  <c r="DW29" i="3"/>
  <c r="Z72" i="9"/>
  <c r="I121" i="63"/>
  <c r="DL49" i="3"/>
  <c r="I39" i="63"/>
  <c r="G120" i="63"/>
  <c r="V5" i="8"/>
  <c r="U110" i="8"/>
  <c r="CZ26" i="3"/>
  <c r="CZ49" i="3" s="1"/>
  <c r="CZ41" i="3"/>
  <c r="O54" i="11"/>
  <c r="O56" i="11" s="1"/>
  <c r="O8" i="10"/>
  <c r="M57" i="11"/>
  <c r="X69" i="3"/>
  <c r="T67" i="12"/>
  <c r="V67" i="12" s="1"/>
  <c r="X67" i="12" s="1"/>
  <c r="K107" i="5"/>
  <c r="I108" i="5"/>
  <c r="K108" i="5" s="1"/>
  <c r="J71" i="63"/>
  <c r="J60" i="63"/>
  <c r="J62" i="63" s="1"/>
  <c r="W25" i="8"/>
  <c r="DS57" i="3"/>
  <c r="H143" i="63"/>
  <c r="H145" i="63" s="1"/>
  <c r="H173" i="63" s="1"/>
  <c r="H163" i="63"/>
  <c r="AX95" i="5"/>
  <c r="T55" i="12"/>
  <c r="V55" i="12" s="1"/>
  <c r="X55" i="12" s="1"/>
  <c r="P69" i="3"/>
  <c r="K96" i="5"/>
  <c r="N135" i="63"/>
  <c r="AQ58" i="11"/>
  <c r="AQ91" i="11"/>
  <c r="AQ92" i="11" s="1"/>
  <c r="T70" i="12"/>
  <c r="V70" i="12" s="1"/>
  <c r="X70" i="12" s="1"/>
  <c r="I114" i="5"/>
  <c r="AA69" i="3"/>
  <c r="I79" i="63"/>
  <c r="J174" i="63"/>
  <c r="K174" i="63"/>
  <c r="J102" i="63"/>
  <c r="J104" i="63" s="1"/>
  <c r="J113" i="63"/>
  <c r="DH54" i="3"/>
  <c r="DH68" i="3" s="1"/>
  <c r="M12" i="8"/>
  <c r="M19" i="8" s="1"/>
  <c r="L20" i="8"/>
  <c r="W90" i="10"/>
  <c r="W91" i="10" s="1"/>
  <c r="L37" i="8"/>
  <c r="I117" i="5"/>
  <c r="U69" i="11"/>
  <c r="U73" i="11" s="1"/>
  <c r="U75" i="11" s="1"/>
  <c r="U76" i="11" s="1"/>
  <c r="J143" i="63"/>
  <c r="J145" i="63" s="1"/>
  <c r="J163" i="63"/>
  <c r="BG95" i="5"/>
  <c r="BI95" i="5" s="1"/>
  <c r="T95" i="5"/>
  <c r="V95" i="5" s="1"/>
  <c r="M95" i="5"/>
  <c r="O95" i="5" s="1"/>
  <c r="J126" i="8"/>
  <c r="J128" i="8"/>
  <c r="J129" i="8" s="1"/>
  <c r="DT14" i="3"/>
  <c r="W25" i="9"/>
  <c r="V56" i="9"/>
  <c r="V57" i="9" s="1"/>
  <c r="Q57" i="9"/>
  <c r="T101" i="5"/>
  <c r="M101" i="5"/>
  <c r="O101" i="5" s="1"/>
  <c r="K38" i="8"/>
  <c r="DG61" i="3"/>
  <c r="J39" i="63"/>
  <c r="K39" i="63"/>
  <c r="R57" i="9"/>
  <c r="S57" i="9"/>
  <c r="AC58" i="11"/>
  <c r="AC91" i="11"/>
  <c r="AC92" i="11" s="1"/>
  <c r="DP26" i="3"/>
  <c r="DP41" i="3"/>
  <c r="I174" i="63"/>
  <c r="J121" i="63"/>
  <c r="K121" i="63"/>
  <c r="M172" i="63"/>
  <c r="M162" i="63"/>
  <c r="M138" i="63"/>
  <c r="M151" i="63"/>
  <c r="M174" i="63" s="1"/>
  <c r="R195" i="5"/>
  <c r="C195" i="5" s="1"/>
  <c r="G195" i="5" s="1"/>
  <c r="AD195" i="5" s="1"/>
  <c r="AI102" i="10"/>
  <c r="BT192" i="7"/>
  <c r="BX191" i="7"/>
  <c r="BT28" i="3"/>
  <c r="S71" i="9"/>
  <c r="DP28" i="3"/>
  <c r="I102" i="5"/>
  <c r="K102" i="5" s="1"/>
  <c r="T61" i="12"/>
  <c r="V61" i="12" s="1"/>
  <c r="X61" i="12" s="1"/>
  <c r="T69" i="3"/>
  <c r="Y112" i="10"/>
  <c r="Y118" i="10"/>
  <c r="T100" i="5"/>
  <c r="M100" i="5"/>
  <c r="O100" i="5" s="1"/>
  <c r="M94" i="5"/>
  <c r="O94" i="5" s="1"/>
  <c r="T94" i="5"/>
  <c r="V94" i="5" s="1"/>
  <c r="BG94" i="5"/>
  <c r="BI94" i="5" s="1"/>
  <c r="C36" i="11"/>
  <c r="C18" i="11"/>
  <c r="AA58" i="11"/>
  <c r="AA91" i="11"/>
  <c r="AA92" i="11" s="1"/>
  <c r="DM26" i="3"/>
  <c r="DM49" i="3" s="1"/>
  <c r="DM41" i="3"/>
  <c r="Q54" i="9"/>
  <c r="P55" i="9" s="1"/>
  <c r="K21" i="8"/>
  <c r="J99" i="9"/>
  <c r="J100" i="9" s="1"/>
  <c r="K28" i="8"/>
  <c r="K29" i="8" s="1"/>
  <c r="DR56" i="3"/>
  <c r="V24" i="8"/>
  <c r="G78" i="63"/>
  <c r="O132" i="63"/>
  <c r="O133" i="63"/>
  <c r="O171" i="63" s="1"/>
  <c r="DE49" i="3"/>
  <c r="DF49" i="3"/>
  <c r="AC104" i="10"/>
  <c r="AA106" i="10"/>
  <c r="R54" i="9"/>
  <c r="AE53" i="9"/>
  <c r="S54" i="9"/>
  <c r="L117" i="8"/>
  <c r="L124" i="8" s="1"/>
  <c r="K125" i="8"/>
  <c r="K137" i="8"/>
  <c r="K138" i="8" s="1"/>
  <c r="DG53" i="3"/>
  <c r="DG70" i="3" s="1"/>
  <c r="AE93" i="11"/>
  <c r="AE94" i="11" s="1"/>
  <c r="AE55" i="11"/>
  <c r="G173" i="63"/>
  <c r="J79" i="63"/>
  <c r="K79" i="63"/>
  <c r="H102" i="63"/>
  <c r="H104" i="63" s="1"/>
  <c r="H120" i="63" s="1"/>
  <c r="H113" i="63"/>
  <c r="H60" i="63"/>
  <c r="H62" i="63" s="1"/>
  <c r="H78" i="63" s="1"/>
  <c r="H71" i="63"/>
  <c r="AQ199" i="5"/>
  <c r="X8" i="8"/>
  <c r="AO202" i="5"/>
  <c r="AU202" i="5"/>
  <c r="AS202" i="5"/>
  <c r="AQ202" i="5"/>
  <c r="AQ200" i="5"/>
  <c r="AQ198" i="5"/>
  <c r="V7" i="8"/>
  <c r="V113" i="8"/>
  <c r="CP32" i="7"/>
  <c r="CN36" i="7"/>
  <c r="U114" i="8"/>
  <c r="T17" i="9"/>
  <c r="AI191" i="5"/>
  <c r="AM208" i="5"/>
  <c r="AU201" i="5"/>
  <c r="R201" i="5"/>
  <c r="AQ201" i="5"/>
  <c r="AS201" i="5"/>
  <c r="T144" i="5"/>
  <c r="C144" i="5"/>
  <c r="G144" i="5" s="1"/>
  <c r="AG144" i="5"/>
  <c r="C151" i="5"/>
  <c r="G151" i="5" s="1"/>
  <c r="R146" i="5"/>
  <c r="CP52" i="7"/>
  <c r="CN56" i="7"/>
  <c r="CO56" i="7" s="1"/>
  <c r="N140" i="8"/>
  <c r="N115" i="8"/>
  <c r="N148" i="8"/>
  <c r="N143" i="8"/>
  <c r="R206" i="5"/>
  <c r="AU206" i="5"/>
  <c r="T199" i="5"/>
  <c r="V199" i="5" s="1"/>
  <c r="AG199" i="5"/>
  <c r="AI199" i="5" s="1"/>
  <c r="AK199" i="5" s="1"/>
  <c r="C199" i="5"/>
  <c r="G199" i="5" s="1"/>
  <c r="D167" i="12"/>
  <c r="N41" i="8"/>
  <c r="DJ63" i="3"/>
  <c r="AK142" i="5"/>
  <c r="AK149" i="5"/>
  <c r="O192" i="5"/>
  <c r="AD192" i="5"/>
  <c r="C194" i="5"/>
  <c r="G194" i="5" s="1"/>
  <c r="AG194" i="5"/>
  <c r="AI194" i="5" s="1"/>
  <c r="AK194" i="5" s="1"/>
  <c r="AG188" i="5"/>
  <c r="T114" i="8"/>
  <c r="S17" i="9"/>
  <c r="AD152" i="5"/>
  <c r="AK145" i="5"/>
  <c r="AK152" i="5"/>
  <c r="DP62" i="3"/>
  <c r="S141" i="8"/>
  <c r="CN72" i="7"/>
  <c r="T40" i="8"/>
  <c r="T10" i="8"/>
  <c r="T52" i="8"/>
  <c r="DP46" i="3"/>
  <c r="S145" i="8"/>
  <c r="AK184" i="5"/>
  <c r="AI188" i="5"/>
  <c r="AK188" i="5" s="1"/>
  <c r="CO16" i="7"/>
  <c r="CO86" i="7"/>
  <c r="U10" i="8"/>
  <c r="U52" i="8"/>
  <c r="U40" i="8"/>
  <c r="AD191" i="5"/>
  <c r="C198" i="5"/>
  <c r="G198" i="5" s="1"/>
  <c r="AG198" i="5"/>
  <c r="O114" i="8"/>
  <c r="O145" i="8"/>
  <c r="N17" i="9"/>
  <c r="AD145" i="5"/>
  <c r="O10" i="8"/>
  <c r="O52" i="8"/>
  <c r="O40" i="8"/>
  <c r="AP167" i="12"/>
  <c r="AQ166" i="12" s="1"/>
  <c r="J167" i="12"/>
  <c r="AD187" i="5"/>
  <c r="W113" i="8"/>
  <c r="W7" i="8"/>
  <c r="AD181" i="5"/>
  <c r="R205" i="5"/>
  <c r="AU205" i="5"/>
  <c r="AM209" i="5"/>
  <c r="AM215" i="5" l="1"/>
  <c r="R208" i="5"/>
  <c r="P35" i="72"/>
  <c r="Q29" i="72"/>
  <c r="Q30" i="72" s="1"/>
  <c r="Q15" i="72" s="1"/>
  <c r="CK42" i="7"/>
  <c r="CJ159" i="7"/>
  <c r="CK159" i="7" s="1"/>
  <c r="CN42" i="7"/>
  <c r="CL42" i="7"/>
  <c r="CF157" i="7"/>
  <c r="CG157" i="7" s="1"/>
  <c r="CG40" i="7"/>
  <c r="CJ40" i="7"/>
  <c r="CH40" i="7"/>
  <c r="CF14" i="3" s="1"/>
  <c r="CC46" i="7"/>
  <c r="CD46" i="7"/>
  <c r="CF46" i="7"/>
  <c r="CH45" i="7"/>
  <c r="CG45" i="7"/>
  <c r="CL41" i="7"/>
  <c r="CK41" i="7"/>
  <c r="CJ158" i="7"/>
  <c r="CK158" i="7" s="1"/>
  <c r="CN41" i="7"/>
  <c r="CJ45" i="7"/>
  <c r="CB160" i="7"/>
  <c r="CC160" i="7" s="1"/>
  <c r="CC43" i="7"/>
  <c r="CD14" i="3" s="1"/>
  <c r="CF43" i="7"/>
  <c r="CD43" i="7"/>
  <c r="R105" i="63"/>
  <c r="R149" i="63" s="1"/>
  <c r="R147" i="63"/>
  <c r="AB60" i="9"/>
  <c r="AC59" i="9"/>
  <c r="DZ27" i="3"/>
  <c r="BC50" i="11"/>
  <c r="S148" i="63"/>
  <c r="S146" i="63" s="1"/>
  <c r="BA51" i="11"/>
  <c r="BC56" i="10"/>
  <c r="R202" i="5"/>
  <c r="AQ206" i="5"/>
  <c r="Y8" i="8"/>
  <c r="AS206" i="5"/>
  <c r="R213" i="5"/>
  <c r="AS205" i="5"/>
  <c r="AM216" i="5"/>
  <c r="AQ215" i="5" s="1"/>
  <c r="V245" i="5"/>
  <c r="V252" i="5"/>
  <c r="DX29" i="3"/>
  <c r="AA72" i="9"/>
  <c r="T102" i="5"/>
  <c r="V102" i="5" s="1"/>
  <c r="M102" i="5"/>
  <c r="O102" i="5" s="1"/>
  <c r="L137" i="8"/>
  <c r="L138" i="8" s="1"/>
  <c r="DH53" i="3"/>
  <c r="DH70" i="3" s="1"/>
  <c r="M117" i="8"/>
  <c r="M124" i="8" s="1"/>
  <c r="L125" i="8"/>
  <c r="AF69" i="3"/>
  <c r="K121" i="5"/>
  <c r="K117" i="5"/>
  <c r="T77" i="12"/>
  <c r="V77" i="12" s="1"/>
  <c r="X77" i="12" s="1"/>
  <c r="AE58" i="11"/>
  <c r="AE91" i="11"/>
  <c r="AE92" i="11" s="1"/>
  <c r="AA112" i="10"/>
  <c r="AA118" i="10"/>
  <c r="I173" i="63"/>
  <c r="O135" i="63"/>
  <c r="DS56" i="3"/>
  <c r="W24" i="8"/>
  <c r="DH61" i="3"/>
  <c r="L38" i="8"/>
  <c r="I115" i="5"/>
  <c r="K115" i="5" s="1"/>
  <c r="K114" i="5"/>
  <c r="T74" i="12"/>
  <c r="V74" i="12" s="1"/>
  <c r="AC69" i="3"/>
  <c r="J78" i="63"/>
  <c r="K78" i="63"/>
  <c r="T96" i="5"/>
  <c r="M96" i="5"/>
  <c r="O96" i="5" s="1"/>
  <c r="BG96" i="5"/>
  <c r="BI96" i="5" s="1"/>
  <c r="K97" i="5"/>
  <c r="AS195" i="5"/>
  <c r="AE104" i="10"/>
  <c r="AC106" i="10"/>
  <c r="O60" i="10"/>
  <c r="O59" i="10"/>
  <c r="O96" i="10"/>
  <c r="O98" i="10" s="1"/>
  <c r="O14" i="10"/>
  <c r="O26" i="10" s="1"/>
  <c r="V100" i="5"/>
  <c r="DP49" i="3"/>
  <c r="DQ49" i="3"/>
  <c r="I78" i="63"/>
  <c r="V101" i="5"/>
  <c r="M20" i="8"/>
  <c r="W69" i="11"/>
  <c r="W73" i="11" s="1"/>
  <c r="W75" i="11" s="1"/>
  <c r="W76" i="11" s="1"/>
  <c r="M37" i="8"/>
  <c r="I124" i="5"/>
  <c r="Y90" i="10"/>
  <c r="Y91" i="10" s="1"/>
  <c r="DI54" i="3"/>
  <c r="DI68" i="3" s="1"/>
  <c r="N12" i="8"/>
  <c r="T108" i="5"/>
  <c r="V108" i="5" s="1"/>
  <c r="M108" i="5"/>
  <c r="O108" i="5" s="1"/>
  <c r="K103" i="5"/>
  <c r="K104" i="5" s="1"/>
  <c r="T62" i="12"/>
  <c r="V62" i="12" s="1"/>
  <c r="X62" i="12" s="1"/>
  <c r="U69" i="3"/>
  <c r="K99" i="9"/>
  <c r="K100" i="9" s="1"/>
  <c r="L21" i="8"/>
  <c r="L28" i="8"/>
  <c r="L29" i="8" s="1"/>
  <c r="V110" i="8"/>
  <c r="W5" i="8"/>
  <c r="T71" i="9"/>
  <c r="DQ28" i="3"/>
  <c r="M140" i="63"/>
  <c r="M143" i="63" s="1"/>
  <c r="M145" i="63" s="1"/>
  <c r="M173" i="63" s="1"/>
  <c r="I120" i="63"/>
  <c r="T68" i="12"/>
  <c r="V68" i="12" s="1"/>
  <c r="X68" i="12" s="1"/>
  <c r="I109" i="5"/>
  <c r="K109" i="5"/>
  <c r="Y69" i="3"/>
  <c r="AK102" i="10"/>
  <c r="J173" i="63"/>
  <c r="K173" i="63"/>
  <c r="X25" i="8"/>
  <c r="DT57" i="3"/>
  <c r="M107" i="5"/>
  <c r="O107" i="5" s="1"/>
  <c r="T107" i="5"/>
  <c r="Q54" i="11"/>
  <c r="Q56" i="11" s="1"/>
  <c r="O57" i="11"/>
  <c r="Q8" i="10"/>
  <c r="K126" i="8"/>
  <c r="K128" i="8"/>
  <c r="K129" i="8" s="1"/>
  <c r="O130" i="63"/>
  <c r="DO49" i="3"/>
  <c r="CB191" i="7"/>
  <c r="BX192" i="7"/>
  <c r="DU14" i="3"/>
  <c r="X25" i="9"/>
  <c r="W56" i="9"/>
  <c r="W57" i="9" s="1"/>
  <c r="J120" i="63"/>
  <c r="K120" i="63"/>
  <c r="N138" i="63"/>
  <c r="N172" i="63"/>
  <c r="N162" i="63"/>
  <c r="N151" i="63"/>
  <c r="N174" i="63" s="1"/>
  <c r="AQ205" i="5"/>
  <c r="C202" i="5"/>
  <c r="DR63" i="3"/>
  <c r="U41" i="8"/>
  <c r="T140" i="8"/>
  <c r="T148" i="8"/>
  <c r="T115" i="8"/>
  <c r="T143" i="8"/>
  <c r="AI198" i="5"/>
  <c r="U148" i="8"/>
  <c r="U115" i="8"/>
  <c r="U140" i="8"/>
  <c r="U143" i="8"/>
  <c r="AG205" i="5"/>
  <c r="C205" i="5"/>
  <c r="G205" i="5" s="1"/>
  <c r="AD198" i="5"/>
  <c r="DJ62" i="3"/>
  <c r="N141" i="8"/>
  <c r="O151" i="5"/>
  <c r="AD151" i="5"/>
  <c r="AQ208" i="5"/>
  <c r="DK63" i="3"/>
  <c r="O41" i="8"/>
  <c r="CO72" i="7"/>
  <c r="CN92" i="7"/>
  <c r="CO112" i="7" s="1"/>
  <c r="CP72" i="7"/>
  <c r="CN76" i="7"/>
  <c r="AH166" i="12"/>
  <c r="AF167" i="12"/>
  <c r="R166" i="12"/>
  <c r="P167" i="12"/>
  <c r="AK167" i="12"/>
  <c r="DQ63" i="3"/>
  <c r="T41" i="8"/>
  <c r="AD194" i="5"/>
  <c r="AI144" i="5"/>
  <c r="AG146" i="5"/>
  <c r="AF114" i="8"/>
  <c r="O115" i="8"/>
  <c r="O148" i="8"/>
  <c r="O140" i="8"/>
  <c r="O199" i="5"/>
  <c r="AD199" i="5"/>
  <c r="C201" i="5"/>
  <c r="G201" i="5" s="1"/>
  <c r="AG201" i="5"/>
  <c r="AI201" i="5" s="1"/>
  <c r="AK201" i="5" s="1"/>
  <c r="P7" i="8"/>
  <c r="AS146" i="5"/>
  <c r="C146" i="5"/>
  <c r="C153" i="5"/>
  <c r="G153" i="5" s="1"/>
  <c r="E146" i="5"/>
  <c r="O144" i="5"/>
  <c r="AD144" i="5"/>
  <c r="AG195" i="5"/>
  <c r="X113" i="8"/>
  <c r="X7" i="8"/>
  <c r="DJ46" i="3"/>
  <c r="N145" i="8"/>
  <c r="AO209" i="5"/>
  <c r="AQ209" i="5"/>
  <c r="AU209" i="5"/>
  <c r="AQ207" i="5"/>
  <c r="CO36" i="7"/>
  <c r="CP36" i="7"/>
  <c r="W9" i="8"/>
  <c r="W112" i="8"/>
  <c r="V14" i="9"/>
  <c r="T206" i="5"/>
  <c r="V206" i="5" s="1"/>
  <c r="C206" i="5"/>
  <c r="G206" i="5" s="1"/>
  <c r="AG206" i="5"/>
  <c r="AI206" i="5" s="1"/>
  <c r="AK206" i="5" s="1"/>
  <c r="V144" i="5"/>
  <c r="V151" i="5"/>
  <c r="AK191" i="5"/>
  <c r="AI195" i="5"/>
  <c r="AK195" i="5" s="1"/>
  <c r="V9" i="8"/>
  <c r="V112" i="8"/>
  <c r="U14" i="9"/>
  <c r="Q33" i="72" l="1"/>
  <c r="R29" i="72" s="1"/>
  <c r="Q38" i="72"/>
  <c r="Q16" i="72"/>
  <c r="CR42" i="7"/>
  <c r="CT42" i="7" s="1"/>
  <c r="CO42" i="7"/>
  <c r="CP42" i="7"/>
  <c r="CJ157" i="7"/>
  <c r="CK157" i="7" s="1"/>
  <c r="CN40" i="7"/>
  <c r="CL40" i="7"/>
  <c r="CK40" i="7"/>
  <c r="CG46" i="7"/>
  <c r="CH46" i="7"/>
  <c r="CJ46" i="7"/>
  <c r="CK45" i="7"/>
  <c r="CL45" i="7"/>
  <c r="CG43" i="7"/>
  <c r="CJ43" i="7"/>
  <c r="CH43" i="7"/>
  <c r="CI14" i="3" s="1"/>
  <c r="CF160" i="7"/>
  <c r="CG160" i="7" s="1"/>
  <c r="CR41" i="7"/>
  <c r="CP41" i="7"/>
  <c r="CO41" i="7"/>
  <c r="CN158" i="7"/>
  <c r="CO158" i="7" s="1"/>
  <c r="CN45" i="7"/>
  <c r="S147" i="63"/>
  <c r="S105" i="63"/>
  <c r="S149" i="63" s="1"/>
  <c r="AG59" i="9"/>
  <c r="AC60" i="9"/>
  <c r="BE50" i="11"/>
  <c r="BE56" i="10"/>
  <c r="BC51" i="11"/>
  <c r="CR11" i="7"/>
  <c r="AG213" i="5"/>
  <c r="AS213" i="5"/>
  <c r="AQ213" i="5"/>
  <c r="Z8" i="8"/>
  <c r="AO216" i="5"/>
  <c r="AQ216" i="5"/>
  <c r="AQ214" i="5"/>
  <c r="AQ212" i="5"/>
  <c r="CR10" i="7"/>
  <c r="AG212" i="5"/>
  <c r="AS212" i="5"/>
  <c r="DY29" i="3"/>
  <c r="AB72" i="9"/>
  <c r="M104" i="5"/>
  <c r="O104" i="5" s="1"/>
  <c r="V107" i="5"/>
  <c r="O52" i="10"/>
  <c r="O72" i="10"/>
  <c r="T97" i="5"/>
  <c r="V97" i="5" s="1"/>
  <c r="V96" i="5"/>
  <c r="T115" i="5"/>
  <c r="M122" i="5"/>
  <c r="O122" i="5" s="1"/>
  <c r="M115" i="5"/>
  <c r="O115" i="5" s="1"/>
  <c r="T117" i="5"/>
  <c r="N140" i="63"/>
  <c r="N143" i="63" s="1"/>
  <c r="N145" i="63" s="1"/>
  <c r="N173" i="63" s="1"/>
  <c r="X81" i="12"/>
  <c r="X74" i="12"/>
  <c r="T121" i="5"/>
  <c r="M121" i="5"/>
  <c r="O121" i="5" s="1"/>
  <c r="CB192" i="7"/>
  <c r="CF191" i="7"/>
  <c r="Q59" i="10"/>
  <c r="Q60" i="10"/>
  <c r="Q96" i="10"/>
  <c r="Q98" i="10" s="1"/>
  <c r="Q14" i="10"/>
  <c r="Q26" i="10" s="1"/>
  <c r="X5" i="8"/>
  <c r="W110" i="8"/>
  <c r="K124" i="5"/>
  <c r="K125" i="5" s="1"/>
  <c r="AK69" i="3"/>
  <c r="T84" i="12"/>
  <c r="V84" i="12" s="1"/>
  <c r="X84" i="12" s="1"/>
  <c r="K128" i="5"/>
  <c r="O117" i="10"/>
  <c r="O111" i="10"/>
  <c r="O108" i="10"/>
  <c r="AC112" i="10"/>
  <c r="AC118" i="10"/>
  <c r="T114" i="5"/>
  <c r="M114" i="5"/>
  <c r="O114" i="5" s="1"/>
  <c r="DI61" i="3"/>
  <c r="M38" i="8"/>
  <c r="AG104" i="10"/>
  <c r="AE106" i="10"/>
  <c r="T75" i="12"/>
  <c r="V75" i="12" s="1"/>
  <c r="K116" i="5"/>
  <c r="AD69" i="3"/>
  <c r="S8" i="10"/>
  <c r="S54" i="11"/>
  <c r="S56" i="11" s="1"/>
  <c r="Q57" i="11"/>
  <c r="DU57" i="3"/>
  <c r="Y25" i="8"/>
  <c r="DT56" i="3"/>
  <c r="X24" i="8"/>
  <c r="L126" i="8"/>
  <c r="L128" i="8"/>
  <c r="L129" i="8" s="1"/>
  <c r="T103" i="5"/>
  <c r="M103" i="5"/>
  <c r="O103" i="5" s="1"/>
  <c r="AM102" i="10"/>
  <c r="L99" i="9"/>
  <c r="L100" i="9" s="1"/>
  <c r="M21" i="8"/>
  <c r="M28" i="8"/>
  <c r="M29" i="8" s="1"/>
  <c r="M97" i="5"/>
  <c r="O97" i="5" s="1"/>
  <c r="BG97" i="5"/>
  <c r="BI97" i="5" s="1"/>
  <c r="M137" i="8"/>
  <c r="M138" i="8" s="1"/>
  <c r="DI53" i="3"/>
  <c r="DI70" i="3" s="1"/>
  <c r="N117" i="8"/>
  <c r="N124" i="8" s="1"/>
  <c r="M125" i="8"/>
  <c r="M109" i="5"/>
  <c r="O109" i="5" s="1"/>
  <c r="T109" i="5"/>
  <c r="V109" i="5" s="1"/>
  <c r="O172" i="63"/>
  <c r="O138" i="63"/>
  <c r="O162" i="63"/>
  <c r="O151" i="63"/>
  <c r="O174" i="63" s="1"/>
  <c r="AG202" i="5"/>
  <c r="Y25" i="9"/>
  <c r="DV14" i="3"/>
  <c r="Z69" i="3"/>
  <c r="T69" i="12"/>
  <c r="V69" i="12" s="1"/>
  <c r="K110" i="5"/>
  <c r="K111" i="5" s="1"/>
  <c r="M111" i="5" s="1"/>
  <c r="O111" i="5" s="1"/>
  <c r="DR28" i="3"/>
  <c r="U71" i="9"/>
  <c r="N23" i="8"/>
  <c r="N19" i="8"/>
  <c r="G202" i="5"/>
  <c r="AD202" i="5" s="1"/>
  <c r="W52" i="8"/>
  <c r="W40" i="8"/>
  <c r="W10" i="8"/>
  <c r="CN96" i="7"/>
  <c r="CP92" i="7"/>
  <c r="CO92" i="7"/>
  <c r="AD153" i="5"/>
  <c r="T141" i="8"/>
  <c r="DQ62" i="3"/>
  <c r="G146" i="5"/>
  <c r="AK144" i="5"/>
  <c r="AK151" i="5"/>
  <c r="AI146" i="5"/>
  <c r="AK198" i="5"/>
  <c r="AI202" i="5"/>
  <c r="AK202" i="5" s="1"/>
  <c r="AD201" i="5"/>
  <c r="CO76" i="7"/>
  <c r="CP76" i="7"/>
  <c r="V40" i="8"/>
  <c r="V52" i="8"/>
  <c r="V10" i="8"/>
  <c r="W14" i="9"/>
  <c r="X112" i="8"/>
  <c r="X9" i="8"/>
  <c r="AF140" i="8"/>
  <c r="O141" i="8"/>
  <c r="DK62" i="3"/>
  <c r="AD205" i="5"/>
  <c r="AD206" i="5"/>
  <c r="O206" i="5"/>
  <c r="P9" i="8"/>
  <c r="P67" i="8"/>
  <c r="P66" i="8" s="1"/>
  <c r="Q66" i="8" s="1"/>
  <c r="O14" i="9"/>
  <c r="P112" i="8"/>
  <c r="Q52" i="8"/>
  <c r="AI205" i="5"/>
  <c r="DQ46" i="3"/>
  <c r="T145" i="8"/>
  <c r="DR62" i="3"/>
  <c r="U141" i="8"/>
  <c r="U17" i="9"/>
  <c r="V114" i="8"/>
  <c r="W114" i="8"/>
  <c r="V17" i="9"/>
  <c r="Y113" i="8"/>
  <c r="DR46" i="3"/>
  <c r="U145" i="8"/>
  <c r="Q35" i="72" l="1"/>
  <c r="Q37" i="72"/>
  <c r="Q39" i="72" s="1"/>
  <c r="R30" i="72"/>
  <c r="R15" i="72" s="1"/>
  <c r="CR40" i="7"/>
  <c r="CT40" i="7" s="1"/>
  <c r="CN157" i="7"/>
  <c r="CO157" i="7" s="1"/>
  <c r="CO40" i="7"/>
  <c r="CP40" i="7"/>
  <c r="CK43" i="7"/>
  <c r="CJ160" i="7"/>
  <c r="CK160" i="7" s="1"/>
  <c r="CL43" i="7"/>
  <c r="CN43" i="7"/>
  <c r="CK46" i="7"/>
  <c r="CL46" i="7"/>
  <c r="CO45" i="7"/>
  <c r="CP45" i="7"/>
  <c r="CN46" i="7"/>
  <c r="CT41" i="7"/>
  <c r="BG56" i="10"/>
  <c r="BE51" i="11"/>
  <c r="CS80" i="7"/>
  <c r="CR15" i="7"/>
  <c r="CT15" i="7" s="1"/>
  <c r="CS10" i="7"/>
  <c r="N5" i="74" s="1"/>
  <c r="N6" i="74" s="1"/>
  <c r="AW212" i="5"/>
  <c r="CR30" i="7"/>
  <c r="CR50" i="7"/>
  <c r="CR20" i="7"/>
  <c r="B172" i="12"/>
  <c r="CS41" i="7"/>
  <c r="CR21" i="7"/>
  <c r="D173" i="12" s="1"/>
  <c r="CR51" i="7"/>
  <c r="AW213" i="5"/>
  <c r="B173" i="12"/>
  <c r="CS81" i="7"/>
  <c r="CR31" i="7"/>
  <c r="CS11" i="7"/>
  <c r="DZ29" i="3"/>
  <c r="AC72" i="9"/>
  <c r="M117" i="5"/>
  <c r="O117" i="5" s="1"/>
  <c r="DS28" i="3"/>
  <c r="V71" i="9"/>
  <c r="U54" i="11"/>
  <c r="U56" i="11" s="1"/>
  <c r="U8" i="10"/>
  <c r="S57" i="11"/>
  <c r="S96" i="10"/>
  <c r="S98" i="10" s="1"/>
  <c r="S59" i="10"/>
  <c r="S14" i="10"/>
  <c r="S26" i="10" s="1"/>
  <c r="S60" i="10"/>
  <c r="K118" i="5"/>
  <c r="M118" i="5" s="1"/>
  <c r="O118" i="5" s="1"/>
  <c r="M123" i="5"/>
  <c r="O123" i="5" s="1"/>
  <c r="M116" i="5"/>
  <c r="O116" i="5" s="1"/>
  <c r="T116" i="5"/>
  <c r="T110" i="5"/>
  <c r="V110" i="5" s="1"/>
  <c r="M110" i="5"/>
  <c r="O110" i="5" s="1"/>
  <c r="DU56" i="3"/>
  <c r="Y24" i="8"/>
  <c r="X82" i="12"/>
  <c r="X75" i="12"/>
  <c r="M128" i="5"/>
  <c r="O128" i="5" s="1"/>
  <c r="T128" i="5"/>
  <c r="CF192" i="7"/>
  <c r="CJ191" i="7"/>
  <c r="V114" i="5"/>
  <c r="O140" i="63"/>
  <c r="O143" i="63" s="1"/>
  <c r="O145" i="63" s="1"/>
  <c r="O173" i="63" s="1"/>
  <c r="AI104" i="10"/>
  <c r="AG106" i="10"/>
  <c r="AE112" i="10"/>
  <c r="AE118" i="10"/>
  <c r="DV57" i="3"/>
  <c r="Z25" i="8"/>
  <c r="M124" i="5"/>
  <c r="O124" i="5" s="1"/>
  <c r="T124" i="5"/>
  <c r="V124" i="5" s="1"/>
  <c r="Q72" i="10"/>
  <c r="Q52" i="10"/>
  <c r="AO102" i="10"/>
  <c r="V121" i="5"/>
  <c r="O12" i="8"/>
  <c r="O19" i="8" s="1"/>
  <c r="N20" i="8"/>
  <c r="N37" i="8"/>
  <c r="I131" i="5"/>
  <c r="DJ53" i="3"/>
  <c r="DJ70" i="3" s="1"/>
  <c r="AA90" i="10"/>
  <c r="AA91" i="10" s="1"/>
  <c r="Y69" i="11"/>
  <c r="Y73" i="11" s="1"/>
  <c r="Y75" i="11" s="1"/>
  <c r="Y76" i="11" s="1"/>
  <c r="M126" i="8"/>
  <c r="M128" i="8"/>
  <c r="M129" i="8" s="1"/>
  <c r="X69" i="12"/>
  <c r="X76" i="12"/>
  <c r="DJ54" i="3"/>
  <c r="DJ68" i="3" s="1"/>
  <c r="O23" i="8"/>
  <c r="DW14" i="3"/>
  <c r="Z25" i="9"/>
  <c r="N125" i="8"/>
  <c r="O117" i="8"/>
  <c r="O124" i="8" s="1"/>
  <c r="N137" i="8"/>
  <c r="N138" i="8" s="1"/>
  <c r="V103" i="5"/>
  <c r="T104" i="5"/>
  <c r="V104" i="5" s="1"/>
  <c r="O120" i="10"/>
  <c r="O109" i="10"/>
  <c r="O121" i="10" s="1"/>
  <c r="O114" i="10"/>
  <c r="X110" i="8"/>
  <c r="Q111" i="10"/>
  <c r="Q117" i="10"/>
  <c r="Q108" i="10"/>
  <c r="V122" i="5"/>
  <c r="V115" i="5"/>
  <c r="CO96" i="7"/>
  <c r="CP96" i="7"/>
  <c r="AK146" i="5"/>
  <c r="AK153" i="5"/>
  <c r="V115" i="8"/>
  <c r="V140" i="8"/>
  <c r="V148" i="8"/>
  <c r="V143" i="8"/>
  <c r="V145" i="8" s="1"/>
  <c r="P40" i="8"/>
  <c r="P10" i="8"/>
  <c r="P52" i="8"/>
  <c r="Q10" i="8"/>
  <c r="W41" i="8"/>
  <c r="DT63" i="3"/>
  <c r="AD146" i="5"/>
  <c r="AK205" i="5"/>
  <c r="DS63" i="3"/>
  <c r="V41" i="8"/>
  <c r="CN116" i="7"/>
  <c r="CO116" i="7" s="1"/>
  <c r="Z113" i="8"/>
  <c r="AA8" i="8"/>
  <c r="W17" i="9"/>
  <c r="X114" i="8"/>
  <c r="W140" i="8"/>
  <c r="W148" i="8"/>
  <c r="W115" i="8"/>
  <c r="W143" i="8"/>
  <c r="W145" i="8" s="1"/>
  <c r="P114" i="8"/>
  <c r="O17" i="9"/>
  <c r="Q145" i="8"/>
  <c r="X10" i="8"/>
  <c r="X40" i="8"/>
  <c r="X52" i="8"/>
  <c r="AF9" i="8"/>
  <c r="CO43" i="7"/>
  <c r="B168" i="12"/>
  <c r="AW208" i="5"/>
  <c r="AU215" i="5" s="1"/>
  <c r="CO83" i="7"/>
  <c r="CN14" i="7"/>
  <c r="CP8" i="3" a="1"/>
  <c r="CN122" i="7"/>
  <c r="CT51" i="7" l="1"/>
  <c r="CT31" i="7"/>
  <c r="CS40" i="7"/>
  <c r="CR45" i="7"/>
  <c r="CS45" i="7" s="1"/>
  <c r="R33" i="72"/>
  <c r="R37" i="72" s="1"/>
  <c r="R39" i="72" s="1"/>
  <c r="R38" i="72"/>
  <c r="R16" i="72"/>
  <c r="M6" i="74"/>
  <c r="CH13" i="21"/>
  <c r="CR43" i="7"/>
  <c r="CT43" i="7" s="1"/>
  <c r="CP43" i="7"/>
  <c r="CO46" i="7"/>
  <c r="CP46" i="7"/>
  <c r="CR70" i="7"/>
  <c r="CR71" i="7"/>
  <c r="CS71" i="7" s="1"/>
  <c r="CT30" i="7"/>
  <c r="CR35" i="7"/>
  <c r="AP173" i="12"/>
  <c r="J173" i="12"/>
  <c r="AP172" i="12"/>
  <c r="J172" i="12"/>
  <c r="CS85" i="7"/>
  <c r="CS15" i="7"/>
  <c r="CR25" i="7"/>
  <c r="CS25" i="7" s="1"/>
  <c r="D172" i="12"/>
  <c r="CR55" i="7"/>
  <c r="CT50" i="7"/>
  <c r="M125" i="5"/>
  <c r="O125" i="5" s="1"/>
  <c r="T111" i="5"/>
  <c r="V111" i="5" s="1"/>
  <c r="Q109" i="10"/>
  <c r="Q121" i="10" s="1"/>
  <c r="Q114" i="10"/>
  <c r="Q120" i="10"/>
  <c r="T91" i="12"/>
  <c r="V91" i="12" s="1"/>
  <c r="X91" i="12" s="1"/>
  <c r="K131" i="5"/>
  <c r="J135" i="5"/>
  <c r="AP69" i="3"/>
  <c r="K135" i="5"/>
  <c r="AA25" i="8"/>
  <c r="DW57" i="3"/>
  <c r="P23" i="8"/>
  <c r="DK54" i="3"/>
  <c r="DK68" i="3" s="1"/>
  <c r="AQ102" i="10"/>
  <c r="CJ192" i="7"/>
  <c r="CN191" i="7"/>
  <c r="O125" i="8"/>
  <c r="O137" i="8"/>
  <c r="O138" i="8" s="1"/>
  <c r="P117" i="8"/>
  <c r="P124" i="8" s="1"/>
  <c r="N38" i="8"/>
  <c r="DJ61" i="3"/>
  <c r="DV56" i="3"/>
  <c r="Z24" i="8"/>
  <c r="S72" i="10"/>
  <c r="S52" i="10"/>
  <c r="N126" i="8"/>
  <c r="N128" i="8"/>
  <c r="N129" i="8" s="1"/>
  <c r="O20" i="8"/>
  <c r="AA69" i="11"/>
  <c r="AA73" i="11" s="1"/>
  <c r="AA75" i="11" s="1"/>
  <c r="AA76" i="11" s="1"/>
  <c r="O37" i="8"/>
  <c r="AC90" i="10"/>
  <c r="AC91" i="10" s="1"/>
  <c r="P12" i="8"/>
  <c r="P19" i="8" s="1"/>
  <c r="I138" i="5"/>
  <c r="DK53" i="3"/>
  <c r="DK70" i="3" s="1"/>
  <c r="AG112" i="10"/>
  <c r="AG118" i="10"/>
  <c r="V123" i="5"/>
  <c r="V116" i="5"/>
  <c r="S117" i="10"/>
  <c r="S111" i="10"/>
  <c r="S108" i="10"/>
  <c r="U59" i="10"/>
  <c r="U14" i="10"/>
  <c r="U26" i="10" s="1"/>
  <c r="U60" i="10"/>
  <c r="U96" i="10"/>
  <c r="U98" i="10" s="1"/>
  <c r="M99" i="9"/>
  <c r="M100" i="9" s="1"/>
  <c r="N21" i="8"/>
  <c r="N28" i="8"/>
  <c r="N29" i="8" s="1"/>
  <c r="Y110" i="8"/>
  <c r="Z5" i="8"/>
  <c r="AK104" i="10"/>
  <c r="AI106" i="10"/>
  <c r="V128" i="5"/>
  <c r="W8" i="10"/>
  <c r="U57" i="11"/>
  <c r="W54" i="11"/>
  <c r="W56" i="11" s="1"/>
  <c r="DX14" i="3"/>
  <c r="AA25" i="9"/>
  <c r="T125" i="5"/>
  <c r="V117" i="5"/>
  <c r="T118" i="5"/>
  <c r="DT28" i="3"/>
  <c r="W71" i="9"/>
  <c r="P140" i="8"/>
  <c r="P115" i="8"/>
  <c r="P148" i="8"/>
  <c r="Q115" i="8"/>
  <c r="P143" i="8"/>
  <c r="AB8" i="8"/>
  <c r="AA113" i="8"/>
  <c r="W141" i="8"/>
  <c r="DT62" i="3"/>
  <c r="CN57" i="7"/>
  <c r="CO57" i="7" s="1"/>
  <c r="CP53" i="7"/>
  <c r="CN54" i="7"/>
  <c r="X28" i="9" s="1"/>
  <c r="P12" i="63" s="1"/>
  <c r="CP15" i="3" a="1"/>
  <c r="CP33" i="7"/>
  <c r="CN34" i="7"/>
  <c r="X19" i="9" s="1"/>
  <c r="P11" i="63" s="1"/>
  <c r="CN37" i="7"/>
  <c r="CP13" i="3" a="1"/>
  <c r="CQ8" i="3"/>
  <c r="CS8" i="3"/>
  <c r="C4" i="59" s="1"/>
  <c r="CP8" i="3"/>
  <c r="CR8" i="3"/>
  <c r="AW209" i="5"/>
  <c r="Y7" i="8" s="1"/>
  <c r="CO44" i="7"/>
  <c r="CO84" i="7"/>
  <c r="B169" i="12"/>
  <c r="J169" i="12" s="1"/>
  <c r="X7" i="9"/>
  <c r="P6" i="63" s="1"/>
  <c r="CO14" i="7"/>
  <c r="X148" i="8"/>
  <c r="X115" i="8"/>
  <c r="X140" i="8"/>
  <c r="X143" i="8"/>
  <c r="X145" i="8" s="1"/>
  <c r="D168" i="12"/>
  <c r="CP10" i="3" a="1"/>
  <c r="CN24" i="7"/>
  <c r="X11" i="9" s="1"/>
  <c r="P8" i="63" s="1"/>
  <c r="DU63" i="3"/>
  <c r="X41" i="8"/>
  <c r="AF40" i="8"/>
  <c r="DL63" i="3"/>
  <c r="P41" i="8"/>
  <c r="Q41" i="8"/>
  <c r="AP168" i="12"/>
  <c r="AQ167" i="12" s="1"/>
  <c r="J168" i="12"/>
  <c r="V141" i="8"/>
  <c r="DS62" i="3"/>
  <c r="CN151" i="7"/>
  <c r="CN159" i="7"/>
  <c r="CO159" i="7" s="1"/>
  <c r="CN142" i="7"/>
  <c r="CN126" i="7"/>
  <c r="CO126" i="7" s="1"/>
  <c r="CO122" i="7"/>
  <c r="CN73" i="7"/>
  <c r="P93" i="63" l="1"/>
  <c r="P51" i="63"/>
  <c r="P88" i="63"/>
  <c r="P47" i="63"/>
  <c r="P35" i="63"/>
  <c r="P45" i="63"/>
  <c r="P86" i="63"/>
  <c r="P10" i="63"/>
  <c r="P91" i="63"/>
  <c r="P30" i="63"/>
  <c r="P37" i="63"/>
  <c r="P50" i="63"/>
  <c r="Y43" i="8"/>
  <c r="P36" i="63" s="1"/>
  <c r="CX18" i="7"/>
  <c r="CT45" i="7"/>
  <c r="CR46" i="7"/>
  <c r="CT46" i="7" s="1"/>
  <c r="CT70" i="7"/>
  <c r="J4" i="59"/>
  <c r="H4" i="59"/>
  <c r="I4" i="59"/>
  <c r="L4" i="59"/>
  <c r="S29" i="72"/>
  <c r="S30" i="72" s="1"/>
  <c r="S15" i="72" s="1"/>
  <c r="R35" i="72"/>
  <c r="CR91" i="7"/>
  <c r="CR111" i="7" s="1"/>
  <c r="CR121" i="7" s="1"/>
  <c r="CR141" i="7" s="1"/>
  <c r="CR90" i="7"/>
  <c r="CS70" i="7"/>
  <c r="CT71" i="7"/>
  <c r="CR75" i="7"/>
  <c r="CT75" i="7" s="1"/>
  <c r="CT35" i="7"/>
  <c r="CS35" i="7"/>
  <c r="CS55" i="7"/>
  <c r="CN192" i="7"/>
  <c r="CR191" i="7"/>
  <c r="CR192" i="7" s="1"/>
  <c r="AU216" i="5"/>
  <c r="V118" i="5"/>
  <c r="O21" i="8"/>
  <c r="N99" i="9"/>
  <c r="N100" i="9" s="1"/>
  <c r="O28" i="8"/>
  <c r="O29" i="8" s="1"/>
  <c r="Q23" i="8"/>
  <c r="DL54" i="3"/>
  <c r="DL68" i="3" s="1"/>
  <c r="AM104" i="10"/>
  <c r="AK106" i="10"/>
  <c r="O38" i="8"/>
  <c r="DK61" i="3"/>
  <c r="DW56" i="3"/>
  <c r="AA24" i="8"/>
  <c r="O126" i="8"/>
  <c r="O128" i="8"/>
  <c r="O129" i="8" s="1"/>
  <c r="AS102" i="10"/>
  <c r="U111" i="10"/>
  <c r="U117" i="10"/>
  <c r="U108" i="10"/>
  <c r="M135" i="5"/>
  <c r="O135" i="5" s="1"/>
  <c r="T135" i="5"/>
  <c r="Y54" i="11"/>
  <c r="Y56" i="11" s="1"/>
  <c r="W57" i="11"/>
  <c r="Y8" i="10"/>
  <c r="DU28" i="3"/>
  <c r="X71" i="9"/>
  <c r="U52" i="10"/>
  <c r="U72" i="10"/>
  <c r="W96" i="10"/>
  <c r="W98" i="10" s="1"/>
  <c r="W60" i="10"/>
  <c r="W59" i="10"/>
  <c r="W14" i="10"/>
  <c r="W26" i="10" s="1"/>
  <c r="M131" i="5"/>
  <c r="O131" i="5" s="1"/>
  <c r="T131" i="5"/>
  <c r="K132" i="5"/>
  <c r="M132" i="5" s="1"/>
  <c r="O132" i="5" s="1"/>
  <c r="V125" i="5"/>
  <c r="AA5" i="8"/>
  <c r="Z110" i="8"/>
  <c r="I142" i="5"/>
  <c r="K138" i="5"/>
  <c r="T98" i="12"/>
  <c r="AU69" i="3"/>
  <c r="J138" i="5"/>
  <c r="AB25" i="9"/>
  <c r="DY14" i="3"/>
  <c r="S120" i="10"/>
  <c r="S114" i="10"/>
  <c r="S109" i="10"/>
  <c r="S121" i="10" s="1"/>
  <c r="Q12" i="8"/>
  <c r="Q19" i="8" s="1"/>
  <c r="I145" i="5"/>
  <c r="AC69" i="11"/>
  <c r="AC73" i="11" s="1"/>
  <c r="AC75" i="11" s="1"/>
  <c r="AC76" i="11" s="1"/>
  <c r="P20" i="8"/>
  <c r="AE90" i="10"/>
  <c r="AE91" i="10" s="1"/>
  <c r="P37" i="8"/>
  <c r="DL53" i="3"/>
  <c r="DL70" i="3" s="1"/>
  <c r="P125" i="8"/>
  <c r="P137" i="8"/>
  <c r="P138" i="8" s="1"/>
  <c r="Q117" i="8"/>
  <c r="Q124" i="8" s="1"/>
  <c r="AB25" i="8"/>
  <c r="DX57" i="3"/>
  <c r="AI112" i="10"/>
  <c r="AI118" i="10"/>
  <c r="CO142" i="7"/>
  <c r="CP45" i="3"/>
  <c r="CP54" i="7"/>
  <c r="CO54" i="7"/>
  <c r="AU79" i="10"/>
  <c r="DV8" i="3"/>
  <c r="AU66" i="11"/>
  <c r="C4" i="73"/>
  <c r="X8" i="9"/>
  <c r="C5" i="73" s="1"/>
  <c r="X37" i="9"/>
  <c r="AW79" i="10"/>
  <c r="CQ45" i="3"/>
  <c r="CQ13" i="3"/>
  <c r="CP13" i="3"/>
  <c r="CR13" i="3"/>
  <c r="CS13" i="3"/>
  <c r="C9" i="59" s="1"/>
  <c r="X141" i="8"/>
  <c r="DU62" i="3"/>
  <c r="CP37" i="7"/>
  <c r="CO37" i="7"/>
  <c r="P169" i="63"/>
  <c r="P167" i="63" s="1"/>
  <c r="DV46" i="3"/>
  <c r="AB113" i="8"/>
  <c r="AC8" i="8"/>
  <c r="CP73" i="7"/>
  <c r="CO73" i="7"/>
  <c r="CN93" i="7"/>
  <c r="CN74" i="7"/>
  <c r="CP34" i="7"/>
  <c r="CO34" i="7"/>
  <c r="R167" i="12"/>
  <c r="AH167" i="12"/>
  <c r="CO24" i="7"/>
  <c r="CP24" i="7" s="1"/>
  <c r="X15" i="9"/>
  <c r="D169" i="12"/>
  <c r="Y9" i="8"/>
  <c r="X14" i="9"/>
  <c r="Y112" i="8"/>
  <c r="CP15" i="3"/>
  <c r="CR15" i="3"/>
  <c r="CQ15" i="3"/>
  <c r="CS15" i="3"/>
  <c r="C10" i="59" s="1"/>
  <c r="CS45" i="3"/>
  <c r="C36" i="59" s="1"/>
  <c r="CN169" i="7"/>
  <c r="CO151" i="7"/>
  <c r="DL46" i="3"/>
  <c r="P145" i="8"/>
  <c r="CR10" i="3"/>
  <c r="CQ10" i="3"/>
  <c r="CP10" i="3"/>
  <c r="CP12" i="3" s="1"/>
  <c r="CS10" i="3"/>
  <c r="CR12" i="3"/>
  <c r="CR45" i="3"/>
  <c r="P141" i="8"/>
  <c r="DL62" i="3"/>
  <c r="Q141" i="8"/>
  <c r="CS91" i="7" l="1"/>
  <c r="CT91" i="7"/>
  <c r="CR95" i="7"/>
  <c r="CT95" i="7" s="1"/>
  <c r="P29" i="63"/>
  <c r="P13" i="63"/>
  <c r="P111" i="63"/>
  <c r="P116" i="63"/>
  <c r="P90" i="63"/>
  <c r="P69" i="63"/>
  <c r="P76" i="63"/>
  <c r="CS12" i="3"/>
  <c r="CS35" i="3" s="1"/>
  <c r="CS61" i="3" s="1"/>
  <c r="C6" i="59"/>
  <c r="H6" i="59" s="1"/>
  <c r="C27" i="59"/>
  <c r="H27" i="59" s="1"/>
  <c r="P74" i="63"/>
  <c r="P49" i="63"/>
  <c r="P118" i="63"/>
  <c r="P92" i="63"/>
  <c r="X9" i="9"/>
  <c r="P80" i="63"/>
  <c r="P81" i="63" s="1"/>
  <c r="P122" i="63"/>
  <c r="P123" i="63" s="1"/>
  <c r="P75" i="63"/>
  <c r="P168" i="63" s="1"/>
  <c r="P117" i="63"/>
  <c r="P170" i="63" s="1"/>
  <c r="CS90" i="7"/>
  <c r="C11" i="59"/>
  <c r="C28" i="59"/>
  <c r="J6" i="59"/>
  <c r="S33" i="72"/>
  <c r="T29" i="72" s="1"/>
  <c r="S38" i="72"/>
  <c r="S16" i="72"/>
  <c r="CR110" i="7"/>
  <c r="CT90" i="7"/>
  <c r="CS75" i="7"/>
  <c r="CS95" i="7"/>
  <c r="CR168" i="7"/>
  <c r="CS168" i="7" s="1"/>
  <c r="CS121" i="7"/>
  <c r="CR150" i="7"/>
  <c r="CS150" i="7" s="1"/>
  <c r="CR158" i="7"/>
  <c r="CS158" i="7" s="1"/>
  <c r="CS141" i="7"/>
  <c r="DZ14" i="3"/>
  <c r="AC25" i="9"/>
  <c r="AC113" i="8"/>
  <c r="AD8" i="8"/>
  <c r="AD113" i="8" s="1"/>
  <c r="X33" i="9"/>
  <c r="X34" i="9" s="1"/>
  <c r="Q125" i="8"/>
  <c r="Q137" i="8"/>
  <c r="Q138" i="8" s="1"/>
  <c r="R117" i="8"/>
  <c r="R124" i="8" s="1"/>
  <c r="M138" i="5"/>
  <c r="O138" i="5" s="1"/>
  <c r="T138" i="5"/>
  <c r="V138" i="5" s="1"/>
  <c r="K139" i="5"/>
  <c r="M139" i="5" s="1"/>
  <c r="O139" i="5" s="1"/>
  <c r="DY57" i="3"/>
  <c r="AC25" i="8"/>
  <c r="DL61" i="3"/>
  <c r="P38" i="8"/>
  <c r="W111" i="10"/>
  <c r="W117" i="10"/>
  <c r="W108" i="10"/>
  <c r="DV28" i="3"/>
  <c r="Y71" i="9"/>
  <c r="AA110" i="8"/>
  <c r="AB5" i="8"/>
  <c r="U114" i="10"/>
  <c r="U109" i="10"/>
  <c r="U121" i="10" s="1"/>
  <c r="U120" i="10"/>
  <c r="P21" i="8"/>
  <c r="O99" i="9"/>
  <c r="O100" i="9" s="1"/>
  <c r="P28" i="8"/>
  <c r="P29" i="8" s="1"/>
  <c r="V131" i="5"/>
  <c r="T132" i="5"/>
  <c r="V132" i="5" s="1"/>
  <c r="Y60" i="10"/>
  <c r="Y96" i="10"/>
  <c r="Y98" i="10" s="1"/>
  <c r="Y59" i="10"/>
  <c r="Y14" i="10"/>
  <c r="Y26" i="10" s="1"/>
  <c r="AU102" i="10"/>
  <c r="DM54" i="3"/>
  <c r="DM68" i="3" s="1"/>
  <c r="R23" i="8"/>
  <c r="P126" i="8"/>
  <c r="P128" i="8"/>
  <c r="P129" i="8" s="1"/>
  <c r="V98" i="12"/>
  <c r="X98" i="12" s="1"/>
  <c r="Z99" i="12" s="1"/>
  <c r="T99" i="12"/>
  <c r="AK112" i="10"/>
  <c r="AK118" i="10"/>
  <c r="AZ69" i="3"/>
  <c r="T105" i="12"/>
  <c r="V105" i="12" s="1"/>
  <c r="K145" i="5"/>
  <c r="J149" i="5"/>
  <c r="K149" i="5"/>
  <c r="J145" i="5"/>
  <c r="W50" i="10"/>
  <c r="W52" i="10"/>
  <c r="W72" i="10"/>
  <c r="Y57" i="11"/>
  <c r="AA54" i="11"/>
  <c r="AA56" i="11" s="1"/>
  <c r="AA8" i="10"/>
  <c r="AO104" i="10"/>
  <c r="AM106" i="10"/>
  <c r="I152" i="5"/>
  <c r="DM53" i="3"/>
  <c r="DM70" i="3" s="1"/>
  <c r="Q37" i="8"/>
  <c r="R12" i="8"/>
  <c r="R19" i="8" s="1"/>
  <c r="AE69" i="11"/>
  <c r="AE73" i="11" s="1"/>
  <c r="AE75" i="11" s="1"/>
  <c r="AE76" i="11" s="1"/>
  <c r="AG90" i="10"/>
  <c r="AG91" i="10" s="1"/>
  <c r="Q20" i="8"/>
  <c r="T102" i="12"/>
  <c r="V102" i="12" s="1"/>
  <c r="K143" i="5"/>
  <c r="AW69" i="3"/>
  <c r="J142" i="5"/>
  <c r="J143" i="5"/>
  <c r="K142" i="5"/>
  <c r="V135" i="5"/>
  <c r="AB24" i="8"/>
  <c r="DX56" i="3"/>
  <c r="CQ12" i="3"/>
  <c r="CQ35" i="3" s="1"/>
  <c r="CQ61" i="3" s="1"/>
  <c r="CP17" i="3"/>
  <c r="CP35" i="3"/>
  <c r="CP61" i="3" s="1"/>
  <c r="CR35" i="3"/>
  <c r="CR61" i="3" s="1"/>
  <c r="CR17" i="3"/>
  <c r="Y52" i="8"/>
  <c r="Y40" i="8"/>
  <c r="Y10" i="8"/>
  <c r="DV10" i="3"/>
  <c r="DV12" i="3" s="1"/>
  <c r="AU80" i="10"/>
  <c r="AW80" i="10"/>
  <c r="X23" i="9"/>
  <c r="AW81" i="10"/>
  <c r="DV64" i="3"/>
  <c r="DV13" i="3"/>
  <c r="X20" i="9"/>
  <c r="Y55" i="8"/>
  <c r="AU81" i="10"/>
  <c r="X12" i="9"/>
  <c r="AU84" i="10"/>
  <c r="BE84" i="10" s="1"/>
  <c r="BG84" i="10" s="1"/>
  <c r="AU85" i="10"/>
  <c r="AY85" i="10" s="1"/>
  <c r="BA85" i="10" s="1"/>
  <c r="BC85" i="10" s="1"/>
  <c r="BE85" i="10" s="1"/>
  <c r="BG85" i="10" s="1"/>
  <c r="CO169" i="7"/>
  <c r="CN173" i="7"/>
  <c r="CO173" i="7" s="1"/>
  <c r="CO74" i="7"/>
  <c r="CP74" i="7"/>
  <c r="CS36" i="3"/>
  <c r="CS62" i="3" s="1"/>
  <c r="CS37" i="3"/>
  <c r="CS47" i="3"/>
  <c r="C38" i="59" s="1"/>
  <c r="AU11" i="11"/>
  <c r="DV15" i="3"/>
  <c r="C13" i="73"/>
  <c r="C14" i="73" s="1"/>
  <c r="X29" i="9"/>
  <c r="CO93" i="7"/>
  <c r="CN123" i="7"/>
  <c r="CP93" i="7"/>
  <c r="CN94" i="7"/>
  <c r="CR36" i="3"/>
  <c r="CR62" i="3" s="1"/>
  <c r="CR47" i="3"/>
  <c r="CR37" i="3"/>
  <c r="DV45" i="3"/>
  <c r="Y114" i="8"/>
  <c r="X17" i="9"/>
  <c r="CQ36" i="3"/>
  <c r="CQ62" i="3" s="1"/>
  <c r="CQ47" i="3"/>
  <c r="CQ37" i="3"/>
  <c r="CP37" i="3"/>
  <c r="CP47" i="3"/>
  <c r="CP36" i="3"/>
  <c r="CP62" i="3" s="1"/>
  <c r="CR120" i="7" l="1"/>
  <c r="CR140" i="7" s="1"/>
  <c r="CS140" i="7" s="1"/>
  <c r="I27" i="59"/>
  <c r="J27" i="59"/>
  <c r="C8" i="59"/>
  <c r="C13" i="59" s="1"/>
  <c r="I6" i="59"/>
  <c r="CS17" i="3"/>
  <c r="CS48" i="3" s="1"/>
  <c r="C39" i="59" s="1"/>
  <c r="P94" i="63"/>
  <c r="P110" i="63"/>
  <c r="P38" i="63"/>
  <c r="P31" i="63"/>
  <c r="P26" i="63"/>
  <c r="P40" i="63" s="1"/>
  <c r="P16" i="63"/>
  <c r="P68" i="63"/>
  <c r="P52" i="63"/>
  <c r="Y147" i="8"/>
  <c r="Y148" i="8" s="1"/>
  <c r="H28" i="59"/>
  <c r="J28" i="59"/>
  <c r="I28" i="59"/>
  <c r="I11" i="59"/>
  <c r="H11" i="59"/>
  <c r="C29" i="59"/>
  <c r="J11" i="59"/>
  <c r="J8" i="59"/>
  <c r="I8" i="59"/>
  <c r="L8" i="59"/>
  <c r="L11" i="59" s="1"/>
  <c r="H8" i="59"/>
  <c r="S37" i="72"/>
  <c r="S39" i="72" s="1"/>
  <c r="S35" i="72"/>
  <c r="T30" i="72"/>
  <c r="T15" i="72" s="1"/>
  <c r="CR115" i="7"/>
  <c r="CS115" i="7" s="1"/>
  <c r="DZ57" i="3"/>
  <c r="AD25" i="8"/>
  <c r="X39" i="9"/>
  <c r="X40" i="9" s="1"/>
  <c r="C6" i="73"/>
  <c r="C7" i="73" s="1"/>
  <c r="X105" i="12"/>
  <c r="CQ17" i="3"/>
  <c r="Y50" i="10"/>
  <c r="Y52" i="10"/>
  <c r="Y72" i="10"/>
  <c r="M142" i="5"/>
  <c r="O142" i="5" s="1"/>
  <c r="K146" i="5"/>
  <c r="M146" i="5" s="1"/>
  <c r="O146" i="5" s="1"/>
  <c r="T142" i="5"/>
  <c r="AC24" i="8"/>
  <c r="DY56" i="3"/>
  <c r="AW102" i="10"/>
  <c r="DW28" i="3"/>
  <c r="Z71" i="9"/>
  <c r="AQ104" i="10"/>
  <c r="AO106" i="10"/>
  <c r="W114" i="10"/>
  <c r="W109" i="10"/>
  <c r="W121" i="10" s="1"/>
  <c r="W120" i="10"/>
  <c r="T139" i="5"/>
  <c r="V139" i="5" s="1"/>
  <c r="M143" i="5"/>
  <c r="O143" i="5" s="1"/>
  <c r="M150" i="5"/>
  <c r="T143" i="5"/>
  <c r="AA60" i="10"/>
  <c r="AA96" i="10"/>
  <c r="AA98" i="10" s="1"/>
  <c r="AA14" i="10"/>
  <c r="AA26" i="10" s="1"/>
  <c r="AA59" i="10"/>
  <c r="T149" i="5"/>
  <c r="M149" i="5"/>
  <c r="Y117" i="10"/>
  <c r="Y111" i="10"/>
  <c r="Y108" i="10"/>
  <c r="BE69" i="3"/>
  <c r="J152" i="5"/>
  <c r="K156" i="5"/>
  <c r="K152" i="5"/>
  <c r="T112" i="12"/>
  <c r="V112" i="12" s="1"/>
  <c r="J156" i="5"/>
  <c r="R125" i="8"/>
  <c r="S117" i="8"/>
  <c r="S124" i="8" s="1"/>
  <c r="R137" i="8"/>
  <c r="R138" i="8" s="1"/>
  <c r="M145" i="5"/>
  <c r="O145" i="5" s="1"/>
  <c r="T145" i="5"/>
  <c r="V145" i="5" s="1"/>
  <c r="DO54" i="3"/>
  <c r="DO68" i="3" s="1"/>
  <c r="S23" i="8"/>
  <c r="R20" i="8"/>
  <c r="AG69" i="11"/>
  <c r="AG73" i="11" s="1"/>
  <c r="AG75" i="11" s="1"/>
  <c r="AG76" i="11" s="1"/>
  <c r="I159" i="5"/>
  <c r="R37" i="8"/>
  <c r="AI90" i="10"/>
  <c r="AI91" i="10" s="1"/>
  <c r="S12" i="8"/>
  <c r="S19" i="8" s="1"/>
  <c r="DO53" i="3"/>
  <c r="DO70" i="3" s="1"/>
  <c r="AM112" i="10"/>
  <c r="AM118" i="10"/>
  <c r="Q38" i="8"/>
  <c r="DM61" i="3"/>
  <c r="X102" i="12"/>
  <c r="X109" i="12"/>
  <c r="AC54" i="11"/>
  <c r="AC56" i="11" s="1"/>
  <c r="AA57" i="11"/>
  <c r="AC8" i="10"/>
  <c r="Q21" i="8"/>
  <c r="P99" i="9"/>
  <c r="P100" i="9" s="1"/>
  <c r="Q28" i="8"/>
  <c r="Q29" i="8" s="1"/>
  <c r="AC5" i="8"/>
  <c r="AB110" i="8"/>
  <c r="Q126" i="8"/>
  <c r="Q128" i="8"/>
  <c r="Q129" i="8" s="1"/>
  <c r="DV17" i="3"/>
  <c r="DV35" i="3"/>
  <c r="CP22" i="3" a="1"/>
  <c r="CN114" i="7"/>
  <c r="X42" i="9" s="1"/>
  <c r="P18" i="63" s="1"/>
  <c r="AX17" i="10"/>
  <c r="AU85" i="11"/>
  <c r="AU79" i="11"/>
  <c r="AU88" i="10"/>
  <c r="AY88" i="10" s="1"/>
  <c r="BA88" i="10" s="1"/>
  <c r="BC88" i="10" s="1"/>
  <c r="BE88" i="10" s="1"/>
  <c r="BG88" i="10" s="1"/>
  <c r="AU87" i="10"/>
  <c r="AY87" i="10" s="1"/>
  <c r="BA87" i="10" s="1"/>
  <c r="BC87" i="10" s="1"/>
  <c r="BE87" i="10" s="1"/>
  <c r="BG87" i="10" s="1"/>
  <c r="DV63" i="3"/>
  <c r="Y41" i="8"/>
  <c r="CP20" i="3"/>
  <c r="CP48" i="3"/>
  <c r="CP38" i="3"/>
  <c r="CP63" i="3" s="1"/>
  <c r="CP31" i="3"/>
  <c r="DV37" i="3"/>
  <c r="DV36" i="3"/>
  <c r="DV47" i="3"/>
  <c r="P175" i="63"/>
  <c r="P134" i="63"/>
  <c r="CO94" i="7"/>
  <c r="CP94" i="7"/>
  <c r="CN160" i="7"/>
  <c r="CO160" i="7" s="1"/>
  <c r="CN143" i="7"/>
  <c r="CO123" i="7"/>
  <c r="CN152" i="7"/>
  <c r="CR31" i="3"/>
  <c r="CR20" i="3"/>
  <c r="CR38" i="3"/>
  <c r="CR63" i="3" s="1"/>
  <c r="CR48" i="3"/>
  <c r="Y140" i="8"/>
  <c r="Y115" i="8"/>
  <c r="AH114" i="8"/>
  <c r="Y143" i="8"/>
  <c r="Y145" i="8" s="1"/>
  <c r="CR125" i="7" l="1"/>
  <c r="CS125" i="7" s="1"/>
  <c r="CS120" i="7"/>
  <c r="CR157" i="7"/>
  <c r="CS157" i="7" s="1"/>
  <c r="CR167" i="7"/>
  <c r="CS167" i="7" s="1"/>
  <c r="CR149" i="7"/>
  <c r="CS149" i="7" s="1"/>
  <c r="CS38" i="3"/>
  <c r="CS63" i="3" s="1"/>
  <c r="CS31" i="3"/>
  <c r="CS20" i="3"/>
  <c r="AH147" i="8"/>
  <c r="C26" i="59"/>
  <c r="I26" i="59" s="1"/>
  <c r="P21" i="63"/>
  <c r="P23" i="63" s="1"/>
  <c r="P39" i="63" s="1"/>
  <c r="P77" i="63"/>
  <c r="P70" i="63"/>
  <c r="P55" i="63"/>
  <c r="P65" i="63"/>
  <c r="P79" i="63" s="1"/>
  <c r="P57" i="63"/>
  <c r="P99" i="63"/>
  <c r="P32" i="63"/>
  <c r="P119" i="63"/>
  <c r="P97" i="63"/>
  <c r="P112" i="63"/>
  <c r="P107" i="63"/>
  <c r="P121" i="63" s="1"/>
  <c r="L9" i="59"/>
  <c r="L10" i="59" s="1"/>
  <c r="P157" i="63"/>
  <c r="P161" i="63"/>
  <c r="P159" i="63"/>
  <c r="H29" i="59"/>
  <c r="J29" i="59"/>
  <c r="I29" i="59"/>
  <c r="J26" i="59"/>
  <c r="H26" i="59"/>
  <c r="I13" i="59"/>
  <c r="H13" i="59"/>
  <c r="C30" i="59"/>
  <c r="L13" i="59"/>
  <c r="L15" i="59" s="1"/>
  <c r="J13" i="59"/>
  <c r="C16" i="59"/>
  <c r="T33" i="72"/>
  <c r="U29" i="72" s="1"/>
  <c r="T38" i="72"/>
  <c r="T16" i="72"/>
  <c r="CN124" i="7"/>
  <c r="CO124" i="7" s="1"/>
  <c r="AC110" i="8"/>
  <c r="AD5" i="8"/>
  <c r="AD110" i="8" s="1"/>
  <c r="AD24" i="8"/>
  <c r="DZ56" i="3"/>
  <c r="CQ31" i="3"/>
  <c r="CQ50" i="3" s="1"/>
  <c r="CQ48" i="3"/>
  <c r="CQ38" i="3"/>
  <c r="CQ63" i="3" s="1"/>
  <c r="CQ20" i="3"/>
  <c r="CQ39" i="3" s="1"/>
  <c r="M152" i="5"/>
  <c r="T152" i="5"/>
  <c r="V152" i="5" s="1"/>
  <c r="DO61" i="3"/>
  <c r="R38" i="8"/>
  <c r="AC60" i="10"/>
  <c r="AC14" i="10"/>
  <c r="AC26" i="10" s="1"/>
  <c r="AC96" i="10"/>
  <c r="AC98" i="10" s="1"/>
  <c r="AC59" i="10"/>
  <c r="BJ69" i="3"/>
  <c r="J163" i="5"/>
  <c r="T119" i="12"/>
  <c r="K163" i="5"/>
  <c r="J159" i="5"/>
  <c r="K159" i="5"/>
  <c r="K160" i="5" s="1"/>
  <c r="AO112" i="10"/>
  <c r="AO118" i="10"/>
  <c r="O149" i="5"/>
  <c r="V143" i="5"/>
  <c r="V150" i="5"/>
  <c r="AS104" i="10"/>
  <c r="AQ106" i="10"/>
  <c r="AC57" i="11"/>
  <c r="AE8" i="10"/>
  <c r="AE54" i="11"/>
  <c r="AE56" i="11" s="1"/>
  <c r="R21" i="8"/>
  <c r="Q99" i="9"/>
  <c r="Q100" i="9" s="1"/>
  <c r="R28" i="8"/>
  <c r="R29" i="8" s="1"/>
  <c r="Y114" i="10"/>
  <c r="Y109" i="10"/>
  <c r="Y121" i="10" s="1"/>
  <c r="Y120" i="10"/>
  <c r="K153" i="5"/>
  <c r="M153" i="5" s="1"/>
  <c r="O150" i="5"/>
  <c r="X112" i="12"/>
  <c r="V149" i="5"/>
  <c r="V142" i="5"/>
  <c r="T146" i="5"/>
  <c r="V146" i="5" s="1"/>
  <c r="S137" i="8"/>
  <c r="S138" i="8" s="1"/>
  <c r="S125" i="8"/>
  <c r="T117" i="8"/>
  <c r="T124" i="8" s="1"/>
  <c r="AK90" i="10"/>
  <c r="AK91" i="10" s="1"/>
  <c r="S20" i="8"/>
  <c r="AI69" i="11"/>
  <c r="AI73" i="11" s="1"/>
  <c r="AI75" i="11" s="1"/>
  <c r="AI76" i="11" s="1"/>
  <c r="S37" i="8"/>
  <c r="T12" i="8"/>
  <c r="T19" i="8" s="1"/>
  <c r="DP53" i="3"/>
  <c r="DP70" i="3" s="1"/>
  <c r="DP54" i="3"/>
  <c r="DP68" i="3" s="1"/>
  <c r="T23" i="8"/>
  <c r="R126" i="8"/>
  <c r="R128" i="8"/>
  <c r="R129" i="8" s="1"/>
  <c r="M156" i="5"/>
  <c r="T156" i="5"/>
  <c r="AA50" i="10"/>
  <c r="AA72" i="10"/>
  <c r="AA52" i="10"/>
  <c r="AA117" i="10"/>
  <c r="AA111" i="10"/>
  <c r="AA108" i="10"/>
  <c r="DX28" i="3"/>
  <c r="AA71" i="9"/>
  <c r="CR42" i="3"/>
  <c r="CR64" i="3" s="1"/>
  <c r="CR50" i="3"/>
  <c r="P160" i="63"/>
  <c r="P158" i="63" s="1"/>
  <c r="AW78" i="10"/>
  <c r="AU25" i="11"/>
  <c r="AU83" i="11"/>
  <c r="AU84" i="11" s="1"/>
  <c r="P155" i="63"/>
  <c r="P156" i="63"/>
  <c r="P154" i="63" s="1"/>
  <c r="CN170" i="7"/>
  <c r="CO170" i="7" s="1"/>
  <c r="CO152" i="7"/>
  <c r="P178" i="63"/>
  <c r="P176" i="63" s="1"/>
  <c r="P166" i="63" s="1"/>
  <c r="P128" i="63" s="1"/>
  <c r="P177" i="63"/>
  <c r="CO114" i="7"/>
  <c r="AW16" i="10"/>
  <c r="AX18" i="10"/>
  <c r="AW99" i="10"/>
  <c r="CP42" i="3"/>
  <c r="CP64" i="3" s="1"/>
  <c r="CP50" i="3"/>
  <c r="CS50" i="3"/>
  <c r="CS42" i="3"/>
  <c r="CS64" i="3" s="1"/>
  <c r="CO143" i="7"/>
  <c r="CN144" i="7"/>
  <c r="CO144" i="7" s="1"/>
  <c r="CR22" i="3"/>
  <c r="CP22" i="3"/>
  <c r="CP40" i="3" s="1"/>
  <c r="CQ22" i="3"/>
  <c r="CS22" i="3"/>
  <c r="AU26" i="11"/>
  <c r="CR39" i="3"/>
  <c r="CS39" i="3"/>
  <c r="Y141" i="8"/>
  <c r="DV62" i="3"/>
  <c r="AH140" i="8"/>
  <c r="CP39" i="3"/>
  <c r="DV48" i="3"/>
  <c r="DV31" i="3"/>
  <c r="DV38" i="3"/>
  <c r="DV20" i="3"/>
  <c r="CR172" i="7" l="1"/>
  <c r="CS172" i="7" s="1"/>
  <c r="P113" i="63"/>
  <c r="P71" i="63"/>
  <c r="CS40" i="3"/>
  <c r="C18" i="59"/>
  <c r="J18" i="59" s="1"/>
  <c r="P60" i="63"/>
  <c r="P62" i="63" s="1"/>
  <c r="P78" i="63" s="1"/>
  <c r="P102" i="63"/>
  <c r="P104" i="63" s="1"/>
  <c r="P120" i="63" s="1"/>
  <c r="J16" i="59"/>
  <c r="C31" i="59"/>
  <c r="I16" i="59"/>
  <c r="H16" i="59"/>
  <c r="I30" i="59"/>
  <c r="H30" i="59"/>
  <c r="J30" i="59"/>
  <c r="T37" i="72"/>
  <c r="T39" i="72" s="1"/>
  <c r="T35" i="72"/>
  <c r="U30" i="72"/>
  <c r="U15" i="72" s="1"/>
  <c r="CQ42" i="3"/>
  <c r="CQ64" i="3" s="1"/>
  <c r="CQ24" i="3"/>
  <c r="CQ41" i="3" s="1"/>
  <c r="CN153" i="7"/>
  <c r="CN171" i="7" s="1"/>
  <c r="CO171" i="7" s="1"/>
  <c r="CN161" i="7"/>
  <c r="CO161" i="7" s="1"/>
  <c r="CR40" i="3"/>
  <c r="T153" i="5"/>
  <c r="V153" i="5" s="1"/>
  <c r="M160" i="5"/>
  <c r="U117" i="8"/>
  <c r="U124" i="8" s="1"/>
  <c r="T137" i="8"/>
  <c r="T138" i="8" s="1"/>
  <c r="T125" i="8"/>
  <c r="AF124" i="8"/>
  <c r="AG8" i="10"/>
  <c r="AE57" i="11"/>
  <c r="AG54" i="11"/>
  <c r="AG56" i="11" s="1"/>
  <c r="DY28" i="3"/>
  <c r="AB71" i="9"/>
  <c r="AQ118" i="10"/>
  <c r="AQ112" i="10"/>
  <c r="AA114" i="10"/>
  <c r="AA109" i="10"/>
  <c r="AA121" i="10" s="1"/>
  <c r="AA120" i="10"/>
  <c r="S38" i="8"/>
  <c r="DP61" i="3"/>
  <c r="DQ53" i="3"/>
  <c r="DQ70" i="3" s="1"/>
  <c r="T20" i="8"/>
  <c r="T37" i="8"/>
  <c r="AK69" i="11"/>
  <c r="AK73" i="11" s="1"/>
  <c r="AK75" i="11" s="1"/>
  <c r="AK76" i="11" s="1"/>
  <c r="U12" i="8"/>
  <c r="U19" i="8" s="1"/>
  <c r="I173" i="5"/>
  <c r="AM90" i="10"/>
  <c r="AM91" i="10" s="1"/>
  <c r="S126" i="8"/>
  <c r="S128" i="8"/>
  <c r="S129" i="8" s="1"/>
  <c r="AE14" i="10"/>
  <c r="AE26" i="10" s="1"/>
  <c r="AE59" i="10"/>
  <c r="AE96" i="10"/>
  <c r="AE98" i="10" s="1"/>
  <c r="AE60" i="10"/>
  <c r="CR24" i="3"/>
  <c r="CR41" i="3" s="1"/>
  <c r="M163" i="5"/>
  <c r="K167" i="5"/>
  <c r="M167" i="5" s="1"/>
  <c r="O167" i="5" s="1"/>
  <c r="M170" i="5"/>
  <c r="O170" i="5" s="1"/>
  <c r="T163" i="5"/>
  <c r="O152" i="5"/>
  <c r="O160" i="5"/>
  <c r="AC111" i="10"/>
  <c r="AC117" i="10"/>
  <c r="AC108" i="10"/>
  <c r="V156" i="5"/>
  <c r="O153" i="5"/>
  <c r="AU104" i="10"/>
  <c r="AS106" i="10"/>
  <c r="M166" i="5"/>
  <c r="T159" i="5"/>
  <c r="M159" i="5"/>
  <c r="S21" i="8"/>
  <c r="R99" i="9"/>
  <c r="R100" i="9" s="1"/>
  <c r="S28" i="8"/>
  <c r="S29" i="8" s="1"/>
  <c r="V119" i="12"/>
  <c r="T120" i="12"/>
  <c r="AC50" i="10"/>
  <c r="AC52" i="10"/>
  <c r="AC72" i="10"/>
  <c r="U23" i="8"/>
  <c r="DQ54" i="3"/>
  <c r="DQ68" i="3" s="1"/>
  <c r="CS24" i="3"/>
  <c r="CS41" i="3" s="1"/>
  <c r="DV39" i="3"/>
  <c r="DV42" i="3"/>
  <c r="DV50" i="3"/>
  <c r="N168" i="12"/>
  <c r="L168" i="12"/>
  <c r="H168" i="12"/>
  <c r="AN168" i="12"/>
  <c r="AQ168" i="12" s="1"/>
  <c r="X43" i="9"/>
  <c r="DV22" i="3"/>
  <c r="DV40" i="3" s="1"/>
  <c r="DV71" i="3" s="1"/>
  <c r="X45" i="9"/>
  <c r="CQ40" i="3"/>
  <c r="P133" i="63"/>
  <c r="P171" i="63" s="1"/>
  <c r="P132" i="63"/>
  <c r="P130" i="63" s="1"/>
  <c r="P179" i="63"/>
  <c r="CP24" i="3"/>
  <c r="AX26" i="10"/>
  <c r="AX42" i="10" s="1"/>
  <c r="AX44" i="10" s="1"/>
  <c r="AX16" i="10"/>
  <c r="AW97" i="10"/>
  <c r="AU29" i="11"/>
  <c r="AW37" i="10"/>
  <c r="C20" i="59" l="1"/>
  <c r="C33" i="59" s="1"/>
  <c r="I18" i="59"/>
  <c r="H18" i="59"/>
  <c r="L18" i="59"/>
  <c r="L22" i="59" s="1"/>
  <c r="C32" i="59"/>
  <c r="J32" i="59" s="1"/>
  <c r="CO153" i="7"/>
  <c r="CQ26" i="3"/>
  <c r="CQ49" i="3" s="1"/>
  <c r="I31" i="59"/>
  <c r="H31" i="59"/>
  <c r="J31" i="59"/>
  <c r="U33" i="72"/>
  <c r="U37" i="72" s="1"/>
  <c r="U39" i="72" s="1"/>
  <c r="U38" i="72"/>
  <c r="U16" i="72"/>
  <c r="AU33" i="11"/>
  <c r="AU36" i="11" s="1"/>
  <c r="DZ28" i="3"/>
  <c r="AC71" i="9"/>
  <c r="CS26" i="3"/>
  <c r="CR26" i="3"/>
  <c r="O163" i="5"/>
  <c r="V23" i="8"/>
  <c r="DR54" i="3"/>
  <c r="DR68" i="3" s="1"/>
  <c r="X126" i="12"/>
  <c r="X119" i="12"/>
  <c r="O159" i="5"/>
  <c r="V163" i="5"/>
  <c r="T167" i="5"/>
  <c r="V170" i="5"/>
  <c r="V159" i="5"/>
  <c r="V166" i="5"/>
  <c r="AC114" i="10"/>
  <c r="AC109" i="10"/>
  <c r="AC121" i="10" s="1"/>
  <c r="AC120" i="10"/>
  <c r="AI8" i="10"/>
  <c r="AI54" i="11"/>
  <c r="AI56" i="11" s="1"/>
  <c r="O166" i="5"/>
  <c r="T133" i="12"/>
  <c r="V133" i="12" s="1"/>
  <c r="X133" i="12" s="1"/>
  <c r="J173" i="5"/>
  <c r="K177" i="5"/>
  <c r="J177" i="5"/>
  <c r="K173" i="5"/>
  <c r="AX104" i="10"/>
  <c r="AY104" i="10" s="1"/>
  <c r="BA104" i="10" s="1"/>
  <c r="BC104" i="10" s="1"/>
  <c r="BE104" i="10" s="1"/>
  <c r="AW104" i="10"/>
  <c r="AW106" i="10" s="1"/>
  <c r="AU106" i="10"/>
  <c r="AE117" i="10"/>
  <c r="AE111" i="10"/>
  <c r="AE108" i="10"/>
  <c r="T126" i="8"/>
  <c r="T128" i="8"/>
  <c r="T129" i="8" s="1"/>
  <c r="DQ61" i="3"/>
  <c r="T38" i="8"/>
  <c r="U20" i="8"/>
  <c r="DR53" i="3"/>
  <c r="DR70" i="3" s="1"/>
  <c r="AO90" i="10"/>
  <c r="AO91" i="10" s="1"/>
  <c r="AM69" i="11"/>
  <c r="AM73" i="11" s="1"/>
  <c r="AM75" i="11" s="1"/>
  <c r="AM76" i="11" s="1"/>
  <c r="U37" i="8"/>
  <c r="I180" i="5"/>
  <c r="V12" i="8"/>
  <c r="V19" i="8" s="1"/>
  <c r="AE50" i="10"/>
  <c r="AE52" i="10"/>
  <c r="AE72" i="10"/>
  <c r="T21" i="8"/>
  <c r="S99" i="9"/>
  <c r="S100" i="9" s="1"/>
  <c r="T28" i="8"/>
  <c r="T29" i="8" s="1"/>
  <c r="AS112" i="10"/>
  <c r="AS118" i="10"/>
  <c r="AG59" i="10"/>
  <c r="AG60" i="10"/>
  <c r="AG96" i="10"/>
  <c r="AG98" i="10" s="1"/>
  <c r="AG14" i="10"/>
  <c r="AG26" i="10" s="1"/>
  <c r="P135" i="63"/>
  <c r="P162" i="63" s="1"/>
  <c r="T160" i="5"/>
  <c r="V160" i="5" s="1"/>
  <c r="V117" i="8"/>
  <c r="V124" i="8" s="1"/>
  <c r="U125" i="8"/>
  <c r="U137" i="8"/>
  <c r="U138" i="8" s="1"/>
  <c r="CP26" i="3"/>
  <c r="CP41" i="3"/>
  <c r="AF168" i="12"/>
  <c r="H169" i="12"/>
  <c r="AK168" i="12"/>
  <c r="P168" i="12"/>
  <c r="C8" i="73"/>
  <c r="C9" i="73" s="1"/>
  <c r="C10" i="73" s="1"/>
  <c r="AX52" i="10"/>
  <c r="AX50" i="10"/>
  <c r="DV24" i="3"/>
  <c r="AW82" i="10"/>
  <c r="AU82" i="10"/>
  <c r="X50" i="9"/>
  <c r="AU10" i="11"/>
  <c r="AU18" i="11" s="1"/>
  <c r="X46" i="9"/>
  <c r="P163" i="63"/>
  <c r="C22" i="59" l="1"/>
  <c r="J22" i="59" s="1"/>
  <c r="I20" i="59"/>
  <c r="L23" i="59"/>
  <c r="J20" i="59"/>
  <c r="H20" i="59"/>
  <c r="I32" i="59"/>
  <c r="H32" i="59"/>
  <c r="H22" i="59"/>
  <c r="I22" i="59"/>
  <c r="I33" i="59"/>
  <c r="J33" i="59"/>
  <c r="H33" i="59"/>
  <c r="U35" i="72"/>
  <c r="V29" i="72"/>
  <c r="V30" i="72" s="1"/>
  <c r="V15" i="72" s="1"/>
  <c r="AW130" i="10"/>
  <c r="C17" i="73"/>
  <c r="C18" i="73" s="1"/>
  <c r="C21" i="73" s="1"/>
  <c r="C25" i="73" s="1"/>
  <c r="AU65" i="11"/>
  <c r="AU67" i="11" s="1"/>
  <c r="CP49" i="3"/>
  <c r="CR49" i="3"/>
  <c r="CS49" i="3"/>
  <c r="C40" i="59" s="1"/>
  <c r="P151" i="63"/>
  <c r="P174" i="63" s="1"/>
  <c r="P138" i="63"/>
  <c r="P140" i="63" s="1"/>
  <c r="P143" i="63" s="1"/>
  <c r="P145" i="63" s="1"/>
  <c r="P173" i="63" s="1"/>
  <c r="P172" i="63"/>
  <c r="AU112" i="10"/>
  <c r="AU118" i="10"/>
  <c r="AK8" i="10"/>
  <c r="AK54" i="11"/>
  <c r="AK56" i="11" s="1"/>
  <c r="M177" i="5"/>
  <c r="O177" i="5" s="1"/>
  <c r="T177" i="5"/>
  <c r="AI96" i="10"/>
  <c r="AI98" i="10" s="1"/>
  <c r="AI60" i="10"/>
  <c r="AI14" i="10"/>
  <c r="AI26" i="10" s="1"/>
  <c r="AI59" i="10"/>
  <c r="V37" i="8"/>
  <c r="V20" i="8"/>
  <c r="I187" i="5"/>
  <c r="W12" i="8"/>
  <c r="W19" i="8" s="1"/>
  <c r="DS53" i="3"/>
  <c r="DS70" i="3" s="1"/>
  <c r="AQ90" i="10"/>
  <c r="AQ91" i="10" s="1"/>
  <c r="AO69" i="11"/>
  <c r="AO73" i="11" s="1"/>
  <c r="AO75" i="11" s="1"/>
  <c r="AO76" i="11" s="1"/>
  <c r="AG52" i="10"/>
  <c r="AG50" i="10"/>
  <c r="AG72" i="10"/>
  <c r="K180" i="5"/>
  <c r="K181" i="5" s="1"/>
  <c r="K184" i="5"/>
  <c r="J180" i="5"/>
  <c r="T140" i="12"/>
  <c r="V140" i="12" s="1"/>
  <c r="X140" i="12" s="1"/>
  <c r="J184" i="5"/>
  <c r="U126" i="8"/>
  <c r="U128" i="8"/>
  <c r="U129" i="8" s="1"/>
  <c r="AG111" i="10"/>
  <c r="AG117" i="10"/>
  <c r="AG108" i="10"/>
  <c r="DR61" i="3"/>
  <c r="U38" i="8"/>
  <c r="U21" i="8"/>
  <c r="T99" i="9"/>
  <c r="T100" i="9" s="1"/>
  <c r="U28" i="8"/>
  <c r="U29" i="8" s="1"/>
  <c r="W23" i="8"/>
  <c r="DS54" i="3"/>
  <c r="DS68" i="3" s="1"/>
  <c r="AW118" i="10"/>
  <c r="AW112" i="10"/>
  <c r="V167" i="5"/>
  <c r="W117" i="8"/>
  <c r="W124" i="8" s="1"/>
  <c r="V125" i="8"/>
  <c r="V137" i="8"/>
  <c r="V138" i="8" s="1"/>
  <c r="AE114" i="10"/>
  <c r="AE120" i="10"/>
  <c r="AE109" i="10"/>
  <c r="AE121" i="10" s="1"/>
  <c r="M173" i="5"/>
  <c r="O173" i="5" s="1"/>
  <c r="K174" i="5"/>
  <c r="M174" i="5" s="1"/>
  <c r="O174" i="5" s="1"/>
  <c r="T173" i="5"/>
  <c r="AU39" i="11"/>
  <c r="AU55" i="11" s="1"/>
  <c r="C11" i="73"/>
  <c r="X53" i="9"/>
  <c r="X54" i="9" s="1"/>
  <c r="X56" i="9"/>
  <c r="X51" i="9"/>
  <c r="AU73" i="10"/>
  <c r="DV41" i="3"/>
  <c r="DV26" i="3"/>
  <c r="DV49" i="3" s="1"/>
  <c r="P169" i="12"/>
  <c r="CN53" i="3" s="1"/>
  <c r="AK169" i="12"/>
  <c r="V33" i="72" l="1"/>
  <c r="W29" i="72" s="1"/>
  <c r="V38" i="72"/>
  <c r="V16" i="72"/>
  <c r="V126" i="8"/>
  <c r="V128" i="8"/>
  <c r="V129" i="8" s="1"/>
  <c r="AU93" i="11"/>
  <c r="AU94" i="11" s="1"/>
  <c r="M181" i="5"/>
  <c r="O181" i="5" s="1"/>
  <c r="X23" i="8"/>
  <c r="DT54" i="3"/>
  <c r="DT68" i="3" s="1"/>
  <c r="AI52" i="10"/>
  <c r="AI50" i="10"/>
  <c r="AI72" i="10"/>
  <c r="W37" i="8"/>
  <c r="X12" i="8"/>
  <c r="X19" i="8" s="1"/>
  <c r="AQ69" i="11"/>
  <c r="AQ73" i="11" s="1"/>
  <c r="AQ75" i="11" s="1"/>
  <c r="AQ76" i="11" s="1"/>
  <c r="DT53" i="3"/>
  <c r="DT70" i="3" s="1"/>
  <c r="W20" i="8"/>
  <c r="I194" i="5"/>
  <c r="V173" i="5"/>
  <c r="T174" i="5"/>
  <c r="V174" i="5" s="1"/>
  <c r="AG109" i="10"/>
  <c r="AG121" i="10" s="1"/>
  <c r="AG114" i="10"/>
  <c r="AG120" i="10"/>
  <c r="U99" i="9"/>
  <c r="U100" i="9" s="1"/>
  <c r="V21" i="8"/>
  <c r="V28" i="8"/>
  <c r="V29" i="8" s="1"/>
  <c r="AI111" i="10"/>
  <c r="AI117" i="10"/>
  <c r="AI108" i="10"/>
  <c r="AM8" i="10"/>
  <c r="AM54" i="11"/>
  <c r="AM56" i="11" s="1"/>
  <c r="X117" i="8"/>
  <c r="X124" i="8" s="1"/>
  <c r="W137" i="8"/>
  <c r="W138" i="8" s="1"/>
  <c r="W125" i="8"/>
  <c r="M184" i="5"/>
  <c r="O184" i="5" s="1"/>
  <c r="T184" i="5"/>
  <c r="V38" i="8"/>
  <c r="DS61" i="3"/>
  <c r="V177" i="5"/>
  <c r="AK96" i="10"/>
  <c r="AK98" i="10" s="1"/>
  <c r="AK14" i="10"/>
  <c r="AK26" i="10" s="1"/>
  <c r="AK60" i="10"/>
  <c r="AK59" i="10"/>
  <c r="J187" i="5"/>
  <c r="K187" i="5"/>
  <c r="K188" i="5" s="1"/>
  <c r="M188" i="5" s="1"/>
  <c r="O188" i="5" s="1"/>
  <c r="T147" i="12"/>
  <c r="V147" i="12" s="1"/>
  <c r="X147" i="12" s="1"/>
  <c r="J191" i="5"/>
  <c r="K191" i="5"/>
  <c r="M180" i="5"/>
  <c r="O180" i="5" s="1"/>
  <c r="T180" i="5"/>
  <c r="V180" i="5" s="1"/>
  <c r="X57" i="9"/>
  <c r="AU91" i="11"/>
  <c r="AU92" i="11" s="1"/>
  <c r="AU58" i="11"/>
  <c r="V35" i="72" l="1"/>
  <c r="V37" i="72"/>
  <c r="V39" i="72" s="1"/>
  <c r="W30" i="72"/>
  <c r="W15" i="72" s="1"/>
  <c r="T181" i="5"/>
  <c r="V181" i="5" s="1"/>
  <c r="AK111" i="10"/>
  <c r="AK117" i="10"/>
  <c r="AK108" i="10"/>
  <c r="V184" i="5"/>
  <c r="DT61" i="3"/>
  <c r="W38" i="8"/>
  <c r="M191" i="5"/>
  <c r="O191" i="5" s="1"/>
  <c r="T191" i="5"/>
  <c r="M187" i="5"/>
  <c r="O187" i="5" s="1"/>
  <c r="T187" i="5"/>
  <c r="V187" i="5" s="1"/>
  <c r="AI114" i="10"/>
  <c r="AI109" i="10"/>
  <c r="AI121" i="10" s="1"/>
  <c r="AI120" i="10"/>
  <c r="V99" i="9"/>
  <c r="V100" i="9" s="1"/>
  <c r="W21" i="8"/>
  <c r="W28" i="8"/>
  <c r="W29" i="8" s="1"/>
  <c r="W126" i="8"/>
  <c r="W128" i="8"/>
  <c r="W129" i="8" s="1"/>
  <c r="AM14" i="10"/>
  <c r="AM26" i="10" s="1"/>
  <c r="AM59" i="10"/>
  <c r="AM60" i="10"/>
  <c r="AM96" i="10"/>
  <c r="AM98" i="10" s="1"/>
  <c r="AO8" i="10"/>
  <c r="AO54" i="11"/>
  <c r="AO56" i="11" s="1"/>
  <c r="Y23" i="8"/>
  <c r="DU54" i="3"/>
  <c r="DU68" i="3" s="1"/>
  <c r="K198" i="5"/>
  <c r="J198" i="5"/>
  <c r="K194" i="5"/>
  <c r="J194" i="5"/>
  <c r="T154" i="12"/>
  <c r="V154" i="12" s="1"/>
  <c r="X154" i="12" s="1"/>
  <c r="AK50" i="10"/>
  <c r="AK52" i="10"/>
  <c r="AK72" i="10"/>
  <c r="X137" i="8"/>
  <c r="X138" i="8" s="1"/>
  <c r="X125" i="8"/>
  <c r="Y117" i="8"/>
  <c r="Y124" i="8" s="1"/>
  <c r="Y12" i="8"/>
  <c r="Y19" i="8" s="1"/>
  <c r="I208" i="5" s="1"/>
  <c r="X37" i="8"/>
  <c r="X20" i="8"/>
  <c r="DU53" i="3"/>
  <c r="DU70" i="3" s="1"/>
  <c r="AS90" i="10"/>
  <c r="AS91" i="10" s="1"/>
  <c r="I201" i="5"/>
  <c r="AS69" i="11"/>
  <c r="AS73" i="11" s="1"/>
  <c r="AS75" i="11" s="1"/>
  <c r="AS76" i="11" s="1"/>
  <c r="AF19" i="8"/>
  <c r="W38" i="72" l="1"/>
  <c r="W16" i="72"/>
  <c r="W33" i="72"/>
  <c r="T188" i="5"/>
  <c r="V188" i="5" s="1"/>
  <c r="V191" i="5"/>
  <c r="AM111" i="10"/>
  <c r="AM117" i="10"/>
  <c r="AM108" i="10"/>
  <c r="DU61" i="3"/>
  <c r="X38" i="8"/>
  <c r="M194" i="5"/>
  <c r="O194" i="5" s="1"/>
  <c r="T194" i="5"/>
  <c r="V194" i="5" s="1"/>
  <c r="AO59" i="10"/>
  <c r="AO60" i="10"/>
  <c r="AO96" i="10"/>
  <c r="AO98" i="10" s="1"/>
  <c r="AO14" i="10"/>
  <c r="AO26" i="10" s="1"/>
  <c r="K195" i="5"/>
  <c r="M195" i="5" s="1"/>
  <c r="O195" i="5" s="1"/>
  <c r="DV54" i="3"/>
  <c r="DV68" i="3" s="1"/>
  <c r="Z23" i="8"/>
  <c r="X21" i="8"/>
  <c r="X28" i="8"/>
  <c r="X29" i="8" s="1"/>
  <c r="AU69" i="11"/>
  <c r="AU73" i="11" s="1"/>
  <c r="AU75" i="11" s="1"/>
  <c r="AU76" i="11" s="1"/>
  <c r="AW90" i="10"/>
  <c r="AW91" i="10" s="1"/>
  <c r="DV53" i="3"/>
  <c r="DV70" i="3" s="1"/>
  <c r="Z12" i="8"/>
  <c r="Z19" i="8" s="1"/>
  <c r="I215" i="5" s="1"/>
  <c r="Y20" i="8"/>
  <c r="Y37" i="8"/>
  <c r="Z117" i="8"/>
  <c r="Z124" i="8" s="1"/>
  <c r="Y125" i="8"/>
  <c r="Y137" i="8"/>
  <c r="Y138" i="8" s="1"/>
  <c r="AH124" i="8"/>
  <c r="M198" i="5"/>
  <c r="O198" i="5" s="1"/>
  <c r="T198" i="5"/>
  <c r="AK109" i="10"/>
  <c r="AK121" i="10" s="1"/>
  <c r="AK114" i="10"/>
  <c r="AK120" i="10"/>
  <c r="X126" i="8"/>
  <c r="X128" i="8"/>
  <c r="X129" i="8" s="1"/>
  <c r="AM52" i="10"/>
  <c r="AM50" i="10"/>
  <c r="AM72" i="10"/>
  <c r="AQ54" i="11"/>
  <c r="AQ56" i="11" s="1"/>
  <c r="AQ8" i="10"/>
  <c r="J205" i="5"/>
  <c r="T161" i="12"/>
  <c r="V161" i="12" s="1"/>
  <c r="X161" i="12" s="1"/>
  <c r="J201" i="5"/>
  <c r="K201" i="5"/>
  <c r="K202" i="5" s="1"/>
  <c r="K205" i="5"/>
  <c r="W37" i="72" l="1"/>
  <c r="W39" i="72" s="1"/>
  <c r="W35" i="72"/>
  <c r="T175" i="12"/>
  <c r="M202" i="5"/>
  <c r="O202" i="5" s="1"/>
  <c r="T195" i="5"/>
  <c r="V195" i="5" s="1"/>
  <c r="AO117" i="10"/>
  <c r="AO111" i="10"/>
  <c r="AO108" i="10"/>
  <c r="AA117" i="8"/>
  <c r="AA124" i="8" s="1"/>
  <c r="Z125" i="8"/>
  <c r="Z126" i="8" s="1"/>
  <c r="Z137" i="8"/>
  <c r="Z138" i="8" s="1"/>
  <c r="AS8" i="10"/>
  <c r="AS54" i="11"/>
  <c r="AS56" i="11" s="1"/>
  <c r="J208" i="5"/>
  <c r="K208" i="5"/>
  <c r="T168" i="12"/>
  <c r="V168" i="12" s="1"/>
  <c r="X168" i="12" s="1"/>
  <c r="Y126" i="8"/>
  <c r="Y128" i="8"/>
  <c r="Y129" i="8" s="1"/>
  <c r="AQ59" i="10"/>
  <c r="AQ96" i="10"/>
  <c r="AQ98" i="10" s="1"/>
  <c r="AQ14" i="10"/>
  <c r="AQ26" i="10" s="1"/>
  <c r="AQ60" i="10"/>
  <c r="DV61" i="3"/>
  <c r="Y38" i="8"/>
  <c r="M205" i="5"/>
  <c r="O205" i="5" s="1"/>
  <c r="T205" i="5"/>
  <c r="Y21" i="8"/>
  <c r="Y28" i="8"/>
  <c r="AA23" i="8"/>
  <c r="DW54" i="3"/>
  <c r="DW68" i="3" s="1"/>
  <c r="V198" i="5"/>
  <c r="M201" i="5"/>
  <c r="O201" i="5" s="1"/>
  <c r="T201" i="5"/>
  <c r="V201" i="5" s="1"/>
  <c r="Z20" i="8"/>
  <c r="Z21" i="8" s="1"/>
  <c r="AA12" i="8"/>
  <c r="AA19" i="8" s="1"/>
  <c r="AY90" i="10"/>
  <c r="DW53" i="3"/>
  <c r="DW70" i="3" s="1"/>
  <c r="AU90" i="10"/>
  <c r="AU91" i="10" s="1"/>
  <c r="AW69" i="11"/>
  <c r="AW73" i="11" s="1"/>
  <c r="AW75" i="11" s="1"/>
  <c r="AW76" i="11" s="1"/>
  <c r="Z37" i="8"/>
  <c r="AO52" i="10"/>
  <c r="AO50" i="10"/>
  <c r="AO72" i="10"/>
  <c r="AM109" i="10"/>
  <c r="AM121" i="10" s="1"/>
  <c r="AM120" i="10"/>
  <c r="AM114" i="10"/>
  <c r="Z208" i="5" l="1"/>
  <c r="Z168" i="12" s="1"/>
  <c r="AB168" i="12" s="1"/>
  <c r="T202" i="5"/>
  <c r="V202" i="5" s="1"/>
  <c r="AQ117" i="10"/>
  <c r="AQ111" i="10"/>
  <c r="AQ108" i="10"/>
  <c r="M208" i="5"/>
  <c r="V205" i="5"/>
  <c r="AB117" i="8"/>
  <c r="AB124" i="8" s="1"/>
  <c r="AA125" i="8"/>
  <c r="AA126" i="8" s="1"/>
  <c r="AA137" i="8"/>
  <c r="AA138" i="8" s="1"/>
  <c r="AB23" i="8"/>
  <c r="DX54" i="3"/>
  <c r="DX68" i="3" s="1"/>
  <c r="Y29" i="8"/>
  <c r="K209" i="5"/>
  <c r="M209" i="5" s="1"/>
  <c r="AU8" i="10"/>
  <c r="AU54" i="11"/>
  <c r="AU56" i="11" s="1"/>
  <c r="AO114" i="10"/>
  <c r="AO120" i="10"/>
  <c r="AO109" i="10"/>
  <c r="AO121" i="10" s="1"/>
  <c r="Z38" i="8"/>
  <c r="DW61" i="3"/>
  <c r="AY69" i="11"/>
  <c r="AY73" i="11" s="1"/>
  <c r="AY75" i="11" s="1"/>
  <c r="AY76" i="11" s="1"/>
  <c r="AA20" i="8"/>
  <c r="AA21" i="8" s="1"/>
  <c r="AB12" i="8"/>
  <c r="AB19" i="8" s="1"/>
  <c r="BA69" i="11" s="1"/>
  <c r="BA73" i="11" s="1"/>
  <c r="BA75" i="11" s="1"/>
  <c r="BA76" i="11" s="1"/>
  <c r="DX53" i="3"/>
  <c r="DX70" i="3" s="1"/>
  <c r="BA90" i="10"/>
  <c r="AA37" i="8"/>
  <c r="AQ50" i="10"/>
  <c r="AQ52" i="10"/>
  <c r="AQ72" i="10"/>
  <c r="AS59" i="10"/>
  <c r="AS14" i="10"/>
  <c r="AS26" i="10" s="1"/>
  <c r="AS96" i="10"/>
  <c r="AS98" i="10" s="1"/>
  <c r="AS60" i="10"/>
  <c r="Z209" i="5" l="1"/>
  <c r="AB209" i="5" s="1"/>
  <c r="AB208" i="5"/>
  <c r="AS117" i="10"/>
  <c r="AS111" i="10"/>
  <c r="AS108" i="10"/>
  <c r="AS50" i="10"/>
  <c r="AS52" i="10"/>
  <c r="AS72" i="10"/>
  <c r="BC90" i="10"/>
  <c r="DY53" i="3"/>
  <c r="DY70" i="3" s="1"/>
  <c r="AB20" i="8"/>
  <c r="AB21" i="8" s="1"/>
  <c r="AC12" i="8"/>
  <c r="AC19" i="8" s="1"/>
  <c r="AB37" i="8"/>
  <c r="AW8" i="10"/>
  <c r="AW54" i="11"/>
  <c r="AB125" i="8"/>
  <c r="AB126" i="8" s="1"/>
  <c r="AC117" i="8"/>
  <c r="AC124" i="8" s="1"/>
  <c r="AD117" i="8" s="1"/>
  <c r="AD124" i="8" s="1"/>
  <c r="AB137" i="8"/>
  <c r="AB138" i="8" s="1"/>
  <c r="AU14" i="10"/>
  <c r="AU26" i="10" s="1"/>
  <c r="AU96" i="10"/>
  <c r="AU98" i="10" s="1"/>
  <c r="AU60" i="10"/>
  <c r="AU59" i="10"/>
  <c r="AC23" i="8"/>
  <c r="DY54" i="3"/>
  <c r="DY68" i="3" s="1"/>
  <c r="AD168" i="12"/>
  <c r="AB169" i="12"/>
  <c r="AA38" i="8"/>
  <c r="DX61" i="3"/>
  <c r="AQ120" i="10"/>
  <c r="AQ109" i="10"/>
  <c r="AQ121" i="10" s="1"/>
  <c r="AQ114" i="10"/>
  <c r="BC69" i="11" l="1"/>
  <c r="BC73" i="11" s="1"/>
  <c r="BC75" i="11" s="1"/>
  <c r="BC76" i="11" s="1"/>
  <c r="DZ53" i="3"/>
  <c r="DZ70" i="3" s="1"/>
  <c r="AD12" i="8"/>
  <c r="AD19" i="8" s="1"/>
  <c r="DZ54" i="3"/>
  <c r="DZ68" i="3" s="1"/>
  <c r="AD23" i="8"/>
  <c r="AD125" i="8"/>
  <c r="AD137" i="8"/>
  <c r="DY61" i="3"/>
  <c r="AB38" i="8"/>
  <c r="AU111" i="10"/>
  <c r="AU117" i="10"/>
  <c r="AU108" i="10"/>
  <c r="AU52" i="10"/>
  <c r="AU50" i="10"/>
  <c r="AU72" i="10"/>
  <c r="AC125" i="8"/>
  <c r="AC126" i="8" s="1"/>
  <c r="AC137" i="8"/>
  <c r="AC138" i="8" s="1"/>
  <c r="AW96" i="10"/>
  <c r="AW98" i="10" s="1"/>
  <c r="AW60" i="10"/>
  <c r="AW14" i="10"/>
  <c r="AW26" i="10" s="1"/>
  <c r="AW59" i="10"/>
  <c r="AC20" i="8"/>
  <c r="AC21" i="8" s="1"/>
  <c r="BE90" i="10"/>
  <c r="AC37" i="8"/>
  <c r="AS120" i="10"/>
  <c r="AS109" i="10"/>
  <c r="AS121" i="10" s="1"/>
  <c r="AS114" i="10"/>
  <c r="AC38" i="8" l="1"/>
  <c r="DZ61" i="3"/>
  <c r="AD20" i="8"/>
  <c r="AD21" i="8" s="1"/>
  <c r="BG90" i="10"/>
  <c r="BE69" i="11"/>
  <c r="BE73" i="11" s="1"/>
  <c r="BE75" i="11" s="1"/>
  <c r="BE76" i="11" s="1"/>
  <c r="AD37" i="8"/>
  <c r="AD38" i="8" s="1"/>
  <c r="AH19" i="8"/>
  <c r="AD138" i="8"/>
  <c r="AD126" i="8"/>
  <c r="Q15" i="63"/>
  <c r="DW19" i="3"/>
  <c r="AW72" i="10"/>
  <c r="AU114" i="10"/>
  <c r="AU120" i="10"/>
  <c r="AU109" i="10"/>
  <c r="AU121" i="10" s="1"/>
  <c r="AW108" i="10"/>
  <c r="AW117" i="10"/>
  <c r="AW111" i="10"/>
  <c r="CN55" i="3" l="1"/>
  <c r="CN56" i="3"/>
  <c r="AW73" i="10"/>
  <c r="AW44" i="10"/>
  <c r="Q54" i="63"/>
  <c r="Q137" i="63"/>
  <c r="Q96" i="63"/>
  <c r="AW109" i="10"/>
  <c r="AW121" i="10" s="1"/>
  <c r="AW114" i="10"/>
  <c r="AW120" i="10"/>
  <c r="AW50" i="10" l="1"/>
  <c r="AW52" i="10"/>
  <c r="AB173" i="12" l="1"/>
  <c r="AB172" i="12"/>
  <c r="AS207" i="5" l="1"/>
  <c r="T207" i="5"/>
  <c r="AG207" i="5"/>
  <c r="C207" i="5"/>
  <c r="G207" i="5" s="1"/>
  <c r="R214" i="5"/>
  <c r="AI207" i="5" l="1"/>
  <c r="AK207" i="5" s="1"/>
  <c r="AD207" i="5"/>
  <c r="O207" i="5"/>
  <c r="AS214" i="5"/>
  <c r="AG214" i="5"/>
  <c r="CR12" i="7"/>
  <c r="V207" i="5"/>
  <c r="CS42" i="7" l="1"/>
  <c r="CR16" i="7"/>
  <c r="CS82" i="7"/>
  <c r="CS12" i="7"/>
  <c r="B174" i="12"/>
  <c r="AW214" i="5"/>
  <c r="CR22" i="7"/>
  <c r="CR32" i="7"/>
  <c r="CR52" i="7"/>
  <c r="CR72" i="7" l="1"/>
  <c r="CS16" i="7"/>
  <c r="CS46" i="7"/>
  <c r="CS86" i="7"/>
  <c r="CT32" i="7"/>
  <c r="CR36" i="7"/>
  <c r="J174" i="12"/>
  <c r="AP174" i="12"/>
  <c r="CT16" i="7"/>
  <c r="CT52" i="7"/>
  <c r="CR56" i="7"/>
  <c r="CS56" i="7" s="1"/>
  <c r="D174" i="12"/>
  <c r="CR26" i="7"/>
  <c r="CS26" i="7" s="1"/>
  <c r="CS72" i="7" l="1"/>
  <c r="CR76" i="7"/>
  <c r="CS76" i="7" s="1"/>
  <c r="CT72" i="7"/>
  <c r="CR92" i="7"/>
  <c r="CS36" i="7"/>
  <c r="CT36" i="7"/>
  <c r="CS92" i="7" l="1"/>
  <c r="CT76" i="7"/>
  <c r="CR96" i="7"/>
  <c r="CS96" i="7" s="1"/>
  <c r="CT92" i="7"/>
  <c r="CR112" i="7"/>
  <c r="CR116" i="7" l="1"/>
  <c r="CS116" i="7" s="1"/>
  <c r="CT96" i="7"/>
  <c r="CR122" i="7"/>
  <c r="CR151" i="7" s="1"/>
  <c r="CR126" i="7" l="1"/>
  <c r="CS126" i="7" s="1"/>
  <c r="CR159" i="7"/>
  <c r="CS159" i="7" s="1"/>
  <c r="CS122" i="7"/>
  <c r="CR142" i="7"/>
  <c r="CS142" i="7" l="1"/>
  <c r="CS151" i="7"/>
  <c r="CR169" i="7"/>
  <c r="CS169" i="7" l="1"/>
  <c r="CR173" i="7"/>
  <c r="CS173" i="7" s="1"/>
  <c r="I212" i="5" l="1"/>
  <c r="I213" i="5" l="1"/>
  <c r="T172" i="12"/>
  <c r="K212" i="5"/>
  <c r="X212" i="5"/>
  <c r="X213" i="5" s="1"/>
  <c r="I214" i="5" l="1"/>
  <c r="T173" i="12"/>
  <c r="K214" i="5"/>
  <c r="K213" i="5"/>
  <c r="Z212" i="5"/>
  <c r="M212" i="5"/>
  <c r="O212" i="5" s="1"/>
  <c r="T212" i="5"/>
  <c r="M213" i="5" l="1"/>
  <c r="O213" i="5" s="1"/>
  <c r="T213" i="5"/>
  <c r="V213" i="5" s="1"/>
  <c r="M214" i="5"/>
  <c r="O214" i="5" s="1"/>
  <c r="T214" i="5"/>
  <c r="V214" i="5" s="1"/>
  <c r="T174" i="12"/>
  <c r="J215" i="5"/>
  <c r="K215" i="5"/>
  <c r="X214" i="5"/>
  <c r="AB212" i="5"/>
  <c r="AD212" i="5" s="1"/>
  <c r="AI212" i="5"/>
  <c r="Z172" i="12"/>
  <c r="F172" i="12" s="1"/>
  <c r="V212" i="5"/>
  <c r="Z213" i="5"/>
  <c r="M215" i="5" l="1"/>
  <c r="O215" i="5" s="1"/>
  <c r="K216" i="5"/>
  <c r="M216" i="5" s="1"/>
  <c r="AI213" i="5"/>
  <c r="AK213" i="5" s="1"/>
  <c r="AB213" i="5"/>
  <c r="AD213" i="5" s="1"/>
  <c r="Z173" i="12"/>
  <c r="F173" i="12" s="1"/>
  <c r="H173" i="12" s="1"/>
  <c r="X215" i="5"/>
  <c r="Z215" i="5" s="1"/>
  <c r="AK212" i="5"/>
  <c r="V172" i="12"/>
  <c r="X172" i="12" s="1"/>
  <c r="L172" i="12"/>
  <c r="N172" i="12"/>
  <c r="H172" i="12"/>
  <c r="R172" i="12"/>
  <c r="AH172" i="12"/>
  <c r="AN172" i="12"/>
  <c r="AQ172" i="12" s="1"/>
  <c r="Z214" i="5"/>
  <c r="Z175" i="12" l="1"/>
  <c r="AB215" i="5"/>
  <c r="AD215" i="5" s="1"/>
  <c r="AI214" i="5"/>
  <c r="AK214" i="5" s="1"/>
  <c r="AB214" i="5"/>
  <c r="AD214" i="5" s="1"/>
  <c r="Z174" i="12"/>
  <c r="F174" i="12" s="1"/>
  <c r="H174" i="12" s="1"/>
  <c r="AF173" i="12"/>
  <c r="P173" i="12"/>
  <c r="AK173" i="12"/>
  <c r="AH173" i="12"/>
  <c r="N173" i="12"/>
  <c r="R173" i="12"/>
  <c r="L173" i="12"/>
  <c r="AN173" i="12"/>
  <c r="AQ173" i="12" s="1"/>
  <c r="V173" i="12"/>
  <c r="X173" i="12" s="1"/>
  <c r="AF172" i="12"/>
  <c r="AK172" i="12"/>
  <c r="P172" i="12"/>
  <c r="Z216" i="5"/>
  <c r="AB216" i="5" s="1"/>
  <c r="AF174" i="12" l="1"/>
  <c r="P174" i="12"/>
  <c r="AK174" i="12"/>
  <c r="AN174" i="12"/>
  <c r="V174" i="12"/>
  <c r="X174" i="12" s="1"/>
  <c r="N174" i="12"/>
  <c r="L174" i="12"/>
  <c r="AS208" i="5" l="1"/>
  <c r="T208" i="5"/>
  <c r="V208" i="5" s="1"/>
  <c r="T209" i="5"/>
  <c r="V209" i="5" s="1"/>
  <c r="AG208" i="5"/>
  <c r="AI208" i="5" s="1"/>
  <c r="AI209" i="5" s="1"/>
  <c r="AK209" i="5" s="1"/>
  <c r="R209" i="5"/>
  <c r="C209" i="5" s="1"/>
  <c r="G209" i="5" s="1"/>
  <c r="C208" i="5"/>
  <c r="G208" i="5" s="1"/>
  <c r="R215" i="5"/>
  <c r="AG209" i="5" l="1"/>
  <c r="AS209" i="5"/>
  <c r="AG215" i="5"/>
  <c r="AS215" i="5"/>
  <c r="T215" i="5"/>
  <c r="R216" i="5"/>
  <c r="O209" i="5"/>
  <c r="AD209" i="5"/>
  <c r="O208" i="5"/>
  <c r="AD208" i="5"/>
  <c r="CR13" i="7"/>
  <c r="AK208" i="5"/>
  <c r="CU8" i="3" l="1" a="1"/>
  <c r="CV8" i="3" s="1"/>
  <c r="CV45" i="3" s="1"/>
  <c r="CS13" i="7"/>
  <c r="CS83" i="7"/>
  <c r="AW215" i="5"/>
  <c r="CS43" i="7"/>
  <c r="CR53" i="7"/>
  <c r="CR23" i="7"/>
  <c r="CU10" i="3" s="1" a="1"/>
  <c r="CR33" i="7"/>
  <c r="CR14" i="7"/>
  <c r="B175" i="12"/>
  <c r="V215" i="5"/>
  <c r="T216" i="5"/>
  <c r="V216" i="5" s="1"/>
  <c r="AG216" i="5"/>
  <c r="AI215" i="5"/>
  <c r="AS216" i="5"/>
  <c r="C216" i="5"/>
  <c r="E216" i="5"/>
  <c r="CT14" i="7" s="1"/>
  <c r="Z43" i="8" s="1"/>
  <c r="CU15" i="3" l="1" a="1"/>
  <c r="CU15" i="3" s="1"/>
  <c r="CU13" i="3" a="1"/>
  <c r="CU13" i="3" s="1"/>
  <c r="CU8" i="3"/>
  <c r="CU45" i="3" s="1"/>
  <c r="CW8" i="3"/>
  <c r="CW45" i="3" s="1"/>
  <c r="CX8" i="3"/>
  <c r="CX45" i="3" s="1"/>
  <c r="CW10" i="3"/>
  <c r="CU10" i="3"/>
  <c r="CV10" i="3"/>
  <c r="CV12" i="3" s="1"/>
  <c r="CR73" i="7"/>
  <c r="CR74" i="7" s="1"/>
  <c r="G216" i="5"/>
  <c r="AD216" i="5" s="1"/>
  <c r="CT33" i="7"/>
  <c r="CR37" i="7"/>
  <c r="CR34" i="7"/>
  <c r="AI216" i="5"/>
  <c r="AK216" i="5" s="1"/>
  <c r="AK215" i="5"/>
  <c r="CT53" i="7"/>
  <c r="CR57" i="7"/>
  <c r="CS57" i="7" s="1"/>
  <c r="CR54" i="7"/>
  <c r="J175" i="12"/>
  <c r="AP175" i="12"/>
  <c r="AQ174" i="12" s="1"/>
  <c r="CX10" i="3"/>
  <c r="D175" i="12"/>
  <c r="CR24" i="7"/>
  <c r="Y9" i="9"/>
  <c r="DW46" i="3"/>
  <c r="Q36" i="63"/>
  <c r="Q169" i="63" s="1"/>
  <c r="Q167" i="63" s="1"/>
  <c r="CS14" i="7"/>
  <c r="CS84" i="7"/>
  <c r="B176" i="12"/>
  <c r="J176" i="12" s="1"/>
  <c r="CS44" i="7"/>
  <c r="AW216" i="5"/>
  <c r="Z7" i="8" s="1"/>
  <c r="Y7" i="9"/>
  <c r="CX15" i="3" l="1"/>
  <c r="CV15" i="3"/>
  <c r="CW15" i="3"/>
  <c r="CX13" i="3"/>
  <c r="CX36" i="3" s="1"/>
  <c r="CV13" i="3"/>
  <c r="CV36" i="3" s="1"/>
  <c r="CW13" i="3"/>
  <c r="CW37" i="3" s="1"/>
  <c r="CX12" i="3"/>
  <c r="CX35" i="3" s="1"/>
  <c r="CU12" i="3"/>
  <c r="CU35" i="3" s="1"/>
  <c r="CW12" i="3"/>
  <c r="CW35" i="3" s="1"/>
  <c r="CT73" i="7"/>
  <c r="CS73" i="7"/>
  <c r="CR93" i="7"/>
  <c r="CR113" i="7" s="1"/>
  <c r="CU36" i="3"/>
  <c r="CU47" i="3"/>
  <c r="CU37" i="3"/>
  <c r="CV35" i="3"/>
  <c r="O216" i="5"/>
  <c r="Y37" i="9"/>
  <c r="AW66" i="11"/>
  <c r="Y8" i="9"/>
  <c r="D4" i="73"/>
  <c r="D5" i="73" s="1"/>
  <c r="AY79" i="10"/>
  <c r="Q6" i="63"/>
  <c r="DW8" i="3"/>
  <c r="CS54" i="7"/>
  <c r="CT54" i="7"/>
  <c r="Y28" i="9"/>
  <c r="AH174" i="12"/>
  <c r="R174" i="12"/>
  <c r="CT37" i="7"/>
  <c r="CS37" i="7"/>
  <c r="CS74" i="7"/>
  <c r="CT74" i="7"/>
  <c r="Y14" i="9"/>
  <c r="Z112" i="8"/>
  <c r="Z9" i="8"/>
  <c r="CS34" i="7"/>
  <c r="Y19" i="9"/>
  <c r="CT34" i="7"/>
  <c r="D176" i="12"/>
  <c r="CS24" i="7"/>
  <c r="CT24" i="7" s="1"/>
  <c r="Y11" i="9"/>
  <c r="Y12" i="9" s="1"/>
  <c r="CW36" i="3" l="1"/>
  <c r="CW47" i="3"/>
  <c r="CX37" i="3"/>
  <c r="CX47" i="3"/>
  <c r="CW17" i="3"/>
  <c r="CW48" i="3" s="1"/>
  <c r="CX17" i="3"/>
  <c r="CX31" i="3" s="1"/>
  <c r="CV47" i="3"/>
  <c r="CV17" i="3"/>
  <c r="CV31" i="3" s="1"/>
  <c r="CV37" i="3"/>
  <c r="CU17" i="3"/>
  <c r="CU48" i="3" s="1"/>
  <c r="CR94" i="7"/>
  <c r="CT94" i="7" s="1"/>
  <c r="CT93" i="7"/>
  <c r="CS93" i="7"/>
  <c r="CR123" i="7"/>
  <c r="CR160" i="7" s="1"/>
  <c r="CS160" i="7" s="1"/>
  <c r="CU22" i="3" a="1"/>
  <c r="CX22" i="3" s="1"/>
  <c r="Y17" i="9"/>
  <c r="Z114" i="8"/>
  <c r="DW64" i="3"/>
  <c r="DW13" i="3"/>
  <c r="AY81" i="10"/>
  <c r="Y20" i="9"/>
  <c r="Z55" i="8"/>
  <c r="Y23" i="9"/>
  <c r="Q11" i="63"/>
  <c r="DW45" i="3"/>
  <c r="Q35" i="63"/>
  <c r="Q8" i="63"/>
  <c r="Q10" i="63" s="1"/>
  <c r="DW10" i="3"/>
  <c r="DW12" i="3" s="1"/>
  <c r="AY80" i="10"/>
  <c r="Y33" i="9"/>
  <c r="Y15" i="9"/>
  <c r="CR114" i="7"/>
  <c r="Z40" i="8"/>
  <c r="Z52" i="8"/>
  <c r="Z10" i="8"/>
  <c r="Z28" i="8"/>
  <c r="Z29" i="8" s="1"/>
  <c r="AY10" i="10"/>
  <c r="AY11" i="10"/>
  <c r="AW26" i="11" s="1"/>
  <c r="DW15" i="3"/>
  <c r="D13" i="73"/>
  <c r="D14" i="73" s="1"/>
  <c r="AW11" i="11"/>
  <c r="Q12" i="63"/>
  <c r="CX48" i="3" l="1"/>
  <c r="CW38" i="3"/>
  <c r="CX38" i="3"/>
  <c r="CV20" i="3"/>
  <c r="CV39" i="3" s="1"/>
  <c r="CV48" i="3"/>
  <c r="CV38" i="3"/>
  <c r="CX20" i="3"/>
  <c r="CX39" i="3" s="1"/>
  <c r="CW20" i="3"/>
  <c r="CW39" i="3" s="1"/>
  <c r="CW31" i="3"/>
  <c r="CW50" i="3" s="1"/>
  <c r="CR152" i="7"/>
  <c r="CU20" i="3"/>
  <c r="CU39" i="3" s="1"/>
  <c r="CU38" i="3"/>
  <c r="CU31" i="3"/>
  <c r="CU50" i="3" s="1"/>
  <c r="CS94" i="7"/>
  <c r="CR143" i="7"/>
  <c r="CS143" i="7" s="1"/>
  <c r="CS123" i="7"/>
  <c r="CW22" i="3"/>
  <c r="CV22" i="3"/>
  <c r="CU22" i="3"/>
  <c r="CV42" i="3"/>
  <c r="CV50" i="3"/>
  <c r="AA9" i="8"/>
  <c r="Z7" i="9" s="1"/>
  <c r="DW63" i="3"/>
  <c r="Z41" i="8"/>
  <c r="Q93" i="63"/>
  <c r="Q134" i="63"/>
  <c r="Q51" i="63"/>
  <c r="DW35" i="3"/>
  <c r="DW17" i="3"/>
  <c r="AW85" i="11"/>
  <c r="AW79" i="11"/>
  <c r="BA17" i="10"/>
  <c r="AY18" i="10"/>
  <c r="Z148" i="8"/>
  <c r="Z140" i="8"/>
  <c r="Z115" i="8"/>
  <c r="Z128" i="8"/>
  <c r="Z129" i="8" s="1"/>
  <c r="Z143" i="8"/>
  <c r="Z145" i="8" s="1"/>
  <c r="CS114" i="7"/>
  <c r="Y42" i="9"/>
  <c r="F175" i="12"/>
  <c r="AY29" i="10"/>
  <c r="AY91" i="10"/>
  <c r="AW25" i="11"/>
  <c r="AY78" i="10"/>
  <c r="Y39" i="9"/>
  <c r="Y34" i="9"/>
  <c r="D6" i="73"/>
  <c r="Q37" i="63"/>
  <c r="Q30" i="63"/>
  <c r="CR124" i="7"/>
  <c r="Q122" i="63"/>
  <c r="Q80" i="63"/>
  <c r="Q81" i="63" s="1"/>
  <c r="Q175" i="63"/>
  <c r="AY36" i="10"/>
  <c r="AY31" i="10"/>
  <c r="CX42" i="3"/>
  <c r="CX50" i="3"/>
  <c r="Q13" i="63"/>
  <c r="Q29" i="63"/>
  <c r="DW37" i="3"/>
  <c r="DW47" i="3"/>
  <c r="DW36" i="3"/>
  <c r="CS152" i="7"/>
  <c r="CR170" i="7"/>
  <c r="CS170" i="7" s="1"/>
  <c r="CV40" i="3" l="1"/>
  <c r="CW42" i="3"/>
  <c r="CX40" i="3"/>
  <c r="CX24" i="3"/>
  <c r="CX26" i="3" s="1"/>
  <c r="CX49" i="3" s="1"/>
  <c r="CU40" i="3"/>
  <c r="CU42" i="3"/>
  <c r="CR144" i="7"/>
  <c r="CS144" i="7" s="1"/>
  <c r="CU24" i="3"/>
  <c r="CU26" i="3" s="1"/>
  <c r="CU49" i="3" s="1"/>
  <c r="CV24" i="3"/>
  <c r="CV41" i="3" s="1"/>
  <c r="AA10" i="8"/>
  <c r="AA28" i="8"/>
  <c r="AA29" i="8" s="1"/>
  <c r="AA52" i="8"/>
  <c r="CW24" i="3"/>
  <c r="CW40" i="3"/>
  <c r="AA40" i="8"/>
  <c r="DX63" i="3" s="1"/>
  <c r="AA7" i="8"/>
  <c r="AA112" i="8" s="1"/>
  <c r="AW32" i="11"/>
  <c r="DW62" i="3"/>
  <c r="Z141" i="8"/>
  <c r="AW83" i="11"/>
  <c r="AW84" i="11" s="1"/>
  <c r="CR153" i="7"/>
  <c r="CR161" i="7"/>
  <c r="CS161" i="7" s="1"/>
  <c r="CS124" i="7"/>
  <c r="DW48" i="3"/>
  <c r="DW38" i="3"/>
  <c r="DW31" i="3"/>
  <c r="DW20" i="3"/>
  <c r="Q155" i="63"/>
  <c r="Q156" i="63"/>
  <c r="Q154" i="63" s="1"/>
  <c r="Q157" i="63"/>
  <c r="Q160" i="63"/>
  <c r="Q158" i="63" s="1"/>
  <c r="Q161" i="63"/>
  <c r="Q159" i="63"/>
  <c r="Q38" i="63"/>
  <c r="Q31" i="63"/>
  <c r="Q26" i="63"/>
  <c r="Q40" i="63" s="1"/>
  <c r="Q16" i="63"/>
  <c r="Q178" i="63"/>
  <c r="Q176" i="63" s="1"/>
  <c r="Q166" i="63" s="1"/>
  <c r="Q128" i="63" s="1"/>
  <c r="Q123" i="63"/>
  <c r="D7" i="73"/>
  <c r="AY97" i="10"/>
  <c r="AY37" i="10"/>
  <c r="AW29" i="11"/>
  <c r="Z36" i="9"/>
  <c r="E4" i="73"/>
  <c r="E5" i="73" s="1"/>
  <c r="Z19" i="9"/>
  <c r="Z11" i="9"/>
  <c r="Z15" i="9" s="1"/>
  <c r="BA79" i="10"/>
  <c r="DX8" i="3"/>
  <c r="Z28" i="9"/>
  <c r="Z8" i="9"/>
  <c r="AY66" i="11"/>
  <c r="R6" i="63"/>
  <c r="Q74" i="63"/>
  <c r="Q45" i="63" s="1"/>
  <c r="Q177" i="63"/>
  <c r="CX41" i="3"/>
  <c r="V175" i="12"/>
  <c r="X175" i="12" s="1"/>
  <c r="AN175" i="12"/>
  <c r="AQ175" i="12" s="1"/>
  <c r="AB175" i="12"/>
  <c r="H175" i="12"/>
  <c r="N175" i="12"/>
  <c r="L175" i="12"/>
  <c r="AY16" i="10"/>
  <c r="AY99" i="10"/>
  <c r="AY106" i="10" s="1"/>
  <c r="Y40" i="9"/>
  <c r="Y45" i="9"/>
  <c r="Y43" i="9"/>
  <c r="DW22" i="3"/>
  <c r="Q18" i="63"/>
  <c r="AA41" i="8" l="1"/>
  <c r="Z14" i="9"/>
  <c r="CU41" i="3"/>
  <c r="CV26" i="3"/>
  <c r="CV49" i="3" s="1"/>
  <c r="AB9" i="8"/>
  <c r="AA7" i="9" s="1"/>
  <c r="BC79" i="10" s="1"/>
  <c r="CW26" i="3"/>
  <c r="CW49" i="3" s="1"/>
  <c r="CW41" i="3"/>
  <c r="AW33" i="11"/>
  <c r="AW36" i="11" s="1"/>
  <c r="Q21" i="63"/>
  <c r="Q23" i="63" s="1"/>
  <c r="Q39" i="63" s="1"/>
  <c r="Z33" i="9"/>
  <c r="E6" i="73" s="1"/>
  <c r="DW39" i="3"/>
  <c r="DW24" i="3"/>
  <c r="AY112" i="10"/>
  <c r="Q179" i="63"/>
  <c r="Q116" i="63"/>
  <c r="Q86" i="63" s="1"/>
  <c r="AY11" i="11"/>
  <c r="DX15" i="3"/>
  <c r="E13" i="73"/>
  <c r="E14" i="73" s="1"/>
  <c r="R12" i="63"/>
  <c r="DX45" i="3"/>
  <c r="DW40" i="3"/>
  <c r="DW71" i="3" s="1"/>
  <c r="BA11" i="10"/>
  <c r="AY26" i="11" s="1"/>
  <c r="BA10" i="10"/>
  <c r="Q132" i="63"/>
  <c r="Q133" i="63"/>
  <c r="Q171" i="63" s="1"/>
  <c r="Z17" i="9"/>
  <c r="AA114" i="8"/>
  <c r="H176" i="12"/>
  <c r="AF175" i="12"/>
  <c r="AK175" i="12"/>
  <c r="P175" i="12"/>
  <c r="AB176" i="12"/>
  <c r="AD175" i="12"/>
  <c r="R35" i="63"/>
  <c r="R15" i="63"/>
  <c r="DX19" i="3"/>
  <c r="DW50" i="3"/>
  <c r="DW42" i="3"/>
  <c r="Q32" i="63"/>
  <c r="D8" i="73"/>
  <c r="D9" i="73" s="1"/>
  <c r="D10" i="73" s="1"/>
  <c r="Z43" i="9"/>
  <c r="Q50" i="63"/>
  <c r="Q76" i="63" s="1"/>
  <c r="Q49" i="63"/>
  <c r="Q47" i="63" s="1"/>
  <c r="BA80" i="10"/>
  <c r="DX10" i="3"/>
  <c r="DX12" i="3" s="1"/>
  <c r="R8" i="63"/>
  <c r="R10" i="63" s="1"/>
  <c r="Y46" i="9"/>
  <c r="Y50" i="9"/>
  <c r="AY82" i="10"/>
  <c r="AW10" i="11"/>
  <c r="AW18" i="11" s="1"/>
  <c r="Z23" i="9"/>
  <c r="AA55" i="8"/>
  <c r="R11" i="63"/>
  <c r="DX64" i="3"/>
  <c r="DX13" i="3"/>
  <c r="BA81" i="10"/>
  <c r="CS153" i="7"/>
  <c r="CR171" i="7"/>
  <c r="CS171" i="7" s="1"/>
  <c r="Q71" i="63" l="1"/>
  <c r="Q113" i="63"/>
  <c r="BA66" i="11"/>
  <c r="AB28" i="8"/>
  <c r="AB29" i="8" s="1"/>
  <c r="AA11" i="9"/>
  <c r="AA15" i="9" s="1"/>
  <c r="S6" i="63"/>
  <c r="S35" i="63" s="1"/>
  <c r="AA8" i="9"/>
  <c r="AA19" i="9"/>
  <c r="AA23" i="9" s="1"/>
  <c r="F4" i="73"/>
  <c r="F5" i="73" s="1"/>
  <c r="AA36" i="9"/>
  <c r="S15" i="63" s="1"/>
  <c r="AB40" i="8"/>
  <c r="AB41" i="8" s="1"/>
  <c r="DY8" i="3"/>
  <c r="DY45" i="3" s="1"/>
  <c r="AA28" i="9"/>
  <c r="S12" i="63" s="1"/>
  <c r="AB10" i="8"/>
  <c r="AB7" i="8"/>
  <c r="AA14" i="9" s="1"/>
  <c r="AB52" i="8"/>
  <c r="D17" i="73"/>
  <c r="D18" i="73" s="1"/>
  <c r="D21" i="73" s="1"/>
  <c r="D25" i="73" s="1"/>
  <c r="AW65" i="11"/>
  <c r="AW67" i="11" s="1"/>
  <c r="Z39" i="9"/>
  <c r="Z42" i="9" s="1"/>
  <c r="Z45" i="9" s="1"/>
  <c r="Z34" i="9"/>
  <c r="AW39" i="11"/>
  <c r="AW93" i="11" s="1"/>
  <c r="AW94" i="11" s="1"/>
  <c r="Q135" i="63"/>
  <c r="Q138" i="63" s="1"/>
  <c r="DX17" i="3"/>
  <c r="DX35" i="3"/>
  <c r="AK176" i="12"/>
  <c r="P176" i="12"/>
  <c r="R13" i="63"/>
  <c r="R29" i="63"/>
  <c r="AY85" i="11"/>
  <c r="BC17" i="10"/>
  <c r="AY79" i="11"/>
  <c r="BA18" i="10"/>
  <c r="D11" i="73"/>
  <c r="R96" i="63"/>
  <c r="R137" i="63"/>
  <c r="R54" i="63"/>
  <c r="E7" i="73"/>
  <c r="E8" i="73"/>
  <c r="E9" i="73" s="1"/>
  <c r="E10" i="73" s="1"/>
  <c r="AA43" i="9"/>
  <c r="BA91" i="10"/>
  <c r="BA29" i="10"/>
  <c r="AY25" i="11"/>
  <c r="BA78" i="10"/>
  <c r="DW41" i="3"/>
  <c r="DW26" i="3"/>
  <c r="DW49" i="3" s="1"/>
  <c r="DX37" i="3"/>
  <c r="DX47" i="3"/>
  <c r="DX36" i="3"/>
  <c r="R122" i="63"/>
  <c r="R80" i="63"/>
  <c r="R81" i="63" s="1"/>
  <c r="R175" i="63"/>
  <c r="BC11" i="10"/>
  <c r="BA26" i="11" s="1"/>
  <c r="BC10" i="10"/>
  <c r="Q163" i="63"/>
  <c r="R51" i="63"/>
  <c r="R134" i="63"/>
  <c r="R93" i="63"/>
  <c r="Q130" i="63"/>
  <c r="BA36" i="10"/>
  <c r="BA31" i="10"/>
  <c r="AA115" i="8"/>
  <c r="AA148" i="8"/>
  <c r="AA128" i="8"/>
  <c r="AA129" i="8" s="1"/>
  <c r="AA140" i="8"/>
  <c r="AA143" i="8"/>
  <c r="AA145" i="8" s="1"/>
  <c r="R37" i="63"/>
  <c r="R30" i="63"/>
  <c r="Y51" i="9"/>
  <c r="Y56" i="9"/>
  <c r="Y57" i="9" s="1"/>
  <c r="Y53" i="9"/>
  <c r="Y54" i="9" s="1"/>
  <c r="Q52" i="63"/>
  <c r="Q90" i="63"/>
  <c r="Q91" i="63"/>
  <c r="AE9" i="8" l="1"/>
  <c r="AC9" i="8"/>
  <c r="AB7" i="9" s="1"/>
  <c r="G4" i="73" s="1"/>
  <c r="G5" i="73" s="1"/>
  <c r="BC80" i="10"/>
  <c r="DY10" i="3"/>
  <c r="DY12" i="3" s="1"/>
  <c r="DY35" i="3" s="1"/>
  <c r="S8" i="63"/>
  <c r="S10" i="63" s="1"/>
  <c r="S29" i="63" s="1"/>
  <c r="BC81" i="10"/>
  <c r="BC36" i="10" s="1"/>
  <c r="S11" i="63"/>
  <c r="DY63" i="3"/>
  <c r="DY19" i="3"/>
  <c r="AB55" i="8"/>
  <c r="DY64" i="3"/>
  <c r="DY13" i="3"/>
  <c r="DY47" i="3" s="1"/>
  <c r="BA11" i="11"/>
  <c r="BA85" i="11" s="1"/>
  <c r="DY15" i="3"/>
  <c r="AC28" i="8"/>
  <c r="AC29" i="8" s="1"/>
  <c r="AC40" i="8"/>
  <c r="DZ63" i="3" s="1"/>
  <c r="AA33" i="9"/>
  <c r="AA39" i="9" s="1"/>
  <c r="AA40" i="9" s="1"/>
  <c r="F13" i="73"/>
  <c r="F14" i="73" s="1"/>
  <c r="AB112" i="8"/>
  <c r="AA17" i="9" s="1"/>
  <c r="AC7" i="8"/>
  <c r="AB14" i="9" s="1"/>
  <c r="Z40" i="9"/>
  <c r="Q151" i="63"/>
  <c r="Q174" i="63" s="1"/>
  <c r="AW55" i="11"/>
  <c r="AW56" i="11" s="1"/>
  <c r="Q172" i="63"/>
  <c r="Q162" i="63"/>
  <c r="Q94" i="63"/>
  <c r="Q112" i="63" s="1"/>
  <c r="Q88" i="63"/>
  <c r="AY32" i="11"/>
  <c r="E11" i="73"/>
  <c r="R31" i="63"/>
  <c r="R38" i="63"/>
  <c r="R16" i="63"/>
  <c r="R26" i="63"/>
  <c r="R40" i="63" s="1"/>
  <c r="BA82" i="10"/>
  <c r="Z46" i="9"/>
  <c r="AY10" i="11"/>
  <c r="AY18" i="11" s="1"/>
  <c r="Z50" i="9"/>
  <c r="F8" i="73"/>
  <c r="AB43" i="9"/>
  <c r="AB8" i="9"/>
  <c r="AB36" i="9"/>
  <c r="DZ19" i="3" s="1"/>
  <c r="BE79" i="10"/>
  <c r="DX22" i="3"/>
  <c r="R18" i="63"/>
  <c r="BC91" i="10"/>
  <c r="BC29" i="10"/>
  <c r="BC78" i="10"/>
  <c r="BA25" i="11"/>
  <c r="S96" i="63"/>
  <c r="S137" i="63"/>
  <c r="S54" i="63"/>
  <c r="Q77" i="63"/>
  <c r="Q70" i="63"/>
  <c r="Q55" i="63"/>
  <c r="Q65" i="63"/>
  <c r="R160" i="63"/>
  <c r="R158" i="63" s="1"/>
  <c r="R161" i="63"/>
  <c r="R159" i="63"/>
  <c r="BA99" i="10"/>
  <c r="BA106" i="10" s="1"/>
  <c r="BA16" i="10"/>
  <c r="S175" i="63"/>
  <c r="S122" i="63"/>
  <c r="S123" i="63" s="1"/>
  <c r="S80" i="63"/>
  <c r="S81" i="63" s="1"/>
  <c r="S74" i="63" s="1"/>
  <c r="R74" i="63"/>
  <c r="R45" i="63" s="1"/>
  <c r="R177" i="63"/>
  <c r="AY29" i="11"/>
  <c r="BA97" i="10"/>
  <c r="BA37" i="10"/>
  <c r="S93" i="63"/>
  <c r="S51" i="63"/>
  <c r="S134" i="63"/>
  <c r="Q92" i="63"/>
  <c r="Q118" i="63"/>
  <c r="DX62" i="3"/>
  <c r="AA141" i="8"/>
  <c r="R178" i="63"/>
  <c r="R176" i="63" s="1"/>
  <c r="R166" i="63" s="1"/>
  <c r="R128" i="63" s="1"/>
  <c r="R123" i="63"/>
  <c r="Q140" i="63"/>
  <c r="Q143" i="63" s="1"/>
  <c r="Q145" i="63" s="1"/>
  <c r="Q173" i="63" s="1"/>
  <c r="AY83" i="11"/>
  <c r="AY84" i="11" s="1"/>
  <c r="R156" i="63"/>
  <c r="R154" i="63" s="1"/>
  <c r="R157" i="63"/>
  <c r="R155" i="63"/>
  <c r="DX38" i="3"/>
  <c r="DX48" i="3"/>
  <c r="DX31" i="3"/>
  <c r="DX20" i="3"/>
  <c r="AB11" i="9" l="1"/>
  <c r="DZ8" i="3"/>
  <c r="DZ45" i="3" s="1"/>
  <c r="AC10" i="8"/>
  <c r="AC52" i="8"/>
  <c r="AB19" i="9"/>
  <c r="AB23" i="9" s="1"/>
  <c r="AB28" i="9"/>
  <c r="G13" i="73" s="1"/>
  <c r="G14" i="73" s="1"/>
  <c r="BC66" i="11"/>
  <c r="K4" i="66"/>
  <c r="K6" i="66" s="1"/>
  <c r="I4" i="66"/>
  <c r="I6" i="66" s="1"/>
  <c r="S13" i="63"/>
  <c r="S26" i="63" s="1"/>
  <c r="S40" i="63" s="1"/>
  <c r="BC31" i="10"/>
  <c r="BC97" i="10" s="1"/>
  <c r="AC41" i="8"/>
  <c r="S30" i="63"/>
  <c r="S161" i="63" s="1"/>
  <c r="S37" i="63"/>
  <c r="DY37" i="3"/>
  <c r="BE17" i="10"/>
  <c r="BA79" i="11"/>
  <c r="BC18" i="10"/>
  <c r="BC99" i="10" s="1"/>
  <c r="BC106" i="10" s="1"/>
  <c r="DY17" i="3"/>
  <c r="DY48" i="3" s="1"/>
  <c r="DY36" i="3"/>
  <c r="AD9" i="8"/>
  <c r="AC7" i="9" s="1"/>
  <c r="BG79" i="10" s="1"/>
  <c r="AA42" i="9"/>
  <c r="AA45" i="9" s="1"/>
  <c r="AA46" i="9" s="1"/>
  <c r="AA34" i="9"/>
  <c r="AB114" i="8"/>
  <c r="AB148" i="8" s="1"/>
  <c r="F6" i="73"/>
  <c r="F7" i="73" s="1"/>
  <c r="AC112" i="8"/>
  <c r="AB17" i="9" s="1"/>
  <c r="AW91" i="11"/>
  <c r="AW92" i="11" s="1"/>
  <c r="AW58" i="11"/>
  <c r="AY33" i="11"/>
  <c r="AY65" i="11" s="1"/>
  <c r="AY67" i="11" s="1"/>
  <c r="Q107" i="63"/>
  <c r="Q121" i="63" s="1"/>
  <c r="Q97" i="63"/>
  <c r="Q99" i="63" s="1"/>
  <c r="Q102" i="63" s="1"/>
  <c r="Q104" i="63" s="1"/>
  <c r="Q120" i="63" s="1"/>
  <c r="Q119" i="63"/>
  <c r="R21" i="63"/>
  <c r="R23" i="63" s="1"/>
  <c r="R39" i="63" s="1"/>
  <c r="DX39" i="3"/>
  <c r="DX24" i="3"/>
  <c r="BA29" i="11"/>
  <c r="DX42" i="3"/>
  <c r="DX50" i="3"/>
  <c r="DZ64" i="3"/>
  <c r="Q57" i="63"/>
  <c r="Q60" i="63" s="1"/>
  <c r="Q62" i="63" s="1"/>
  <c r="Q78" i="63" s="1"/>
  <c r="R50" i="63"/>
  <c r="R76" i="63" s="1"/>
  <c r="S45" i="63"/>
  <c r="R49" i="63"/>
  <c r="R47" i="63" s="1"/>
  <c r="BA112" i="10"/>
  <c r="BA118" i="10"/>
  <c r="G8" i="73"/>
  <c r="AC43" i="9"/>
  <c r="R116" i="63"/>
  <c r="R86" i="63" s="1"/>
  <c r="R179" i="63"/>
  <c r="S128" i="63"/>
  <c r="R132" i="63"/>
  <c r="R133" i="63"/>
  <c r="R171" i="63" s="1"/>
  <c r="S155" i="63"/>
  <c r="S156" i="63"/>
  <c r="S154" i="63" s="1"/>
  <c r="S157" i="63"/>
  <c r="AY54" i="11"/>
  <c r="AY8" i="10"/>
  <c r="K8" i="66" s="1"/>
  <c r="K10" i="66" s="1"/>
  <c r="DZ10" i="3"/>
  <c r="DZ12" i="3" s="1"/>
  <c r="BE80" i="10"/>
  <c r="Z53" i="9"/>
  <c r="Z54" i="9" s="1"/>
  <c r="Z51" i="9"/>
  <c r="Z56" i="9"/>
  <c r="Z57" i="9" s="1"/>
  <c r="R32" i="63"/>
  <c r="Q79" i="63"/>
  <c r="BE11" i="10"/>
  <c r="BC26" i="11" s="1"/>
  <c r="BE10" i="10"/>
  <c r="DX40" i="3"/>
  <c r="DX71" i="3" s="1"/>
  <c r="AB15" i="9"/>
  <c r="BA83" i="11"/>
  <c r="BA84" i="11" s="1"/>
  <c r="AC55" i="8" l="1"/>
  <c r="BE81" i="10"/>
  <c r="AB33" i="9"/>
  <c r="AB34" i="9" s="1"/>
  <c r="BC11" i="11"/>
  <c r="BC85" i="11" s="1"/>
  <c r="DZ13" i="3"/>
  <c r="DZ47" i="3" s="1"/>
  <c r="DZ15" i="3"/>
  <c r="K12" i="66"/>
  <c r="K14" i="66" s="1"/>
  <c r="K18" i="66" s="1"/>
  <c r="S16" i="63"/>
  <c r="R71" i="63"/>
  <c r="R113" i="63"/>
  <c r="S31" i="63"/>
  <c r="S38" i="63"/>
  <c r="S159" i="63"/>
  <c r="BA32" i="11"/>
  <c r="BA33" i="11" s="1"/>
  <c r="BA36" i="11" s="1"/>
  <c r="BC37" i="10"/>
  <c r="S160" i="63"/>
  <c r="S158" i="63" s="1"/>
  <c r="S133" i="63" s="1"/>
  <c r="S171" i="63" s="1"/>
  <c r="DY31" i="3"/>
  <c r="DY42" i="3" s="1"/>
  <c r="DY38" i="3"/>
  <c r="DY20" i="3"/>
  <c r="DY39" i="3" s="1"/>
  <c r="AC36" i="9"/>
  <c r="AG36" i="9" s="1"/>
  <c r="AC19" i="9"/>
  <c r="AG19" i="9" s="1"/>
  <c r="BC16" i="10"/>
  <c r="AD52" i="8"/>
  <c r="AC8" i="9"/>
  <c r="AC28" i="9"/>
  <c r="BE11" i="11" s="1"/>
  <c r="AD7" i="8"/>
  <c r="AC14" i="9" s="1"/>
  <c r="AD10" i="8"/>
  <c r="AB115" i="8"/>
  <c r="BC82" i="10"/>
  <c r="AC11" i="9"/>
  <c r="AC15" i="9" s="1"/>
  <c r="DY22" i="3"/>
  <c r="AB128" i="8"/>
  <c r="AB129" i="8" s="1"/>
  <c r="BE66" i="11"/>
  <c r="S18" i="63"/>
  <c r="AH9" i="8"/>
  <c r="AD40" i="8"/>
  <c r="AH40" i="8" s="1"/>
  <c r="H4" i="73"/>
  <c r="H5" i="73" s="1"/>
  <c r="AG7" i="9"/>
  <c r="AY118" i="10" s="1"/>
  <c r="AD28" i="8"/>
  <c r="AD29" i="8" s="1"/>
  <c r="AC114" i="8"/>
  <c r="AC143" i="8" s="1"/>
  <c r="AC145" i="8" s="1"/>
  <c r="AA50" i="9"/>
  <c r="AA53" i="9" s="1"/>
  <c r="AA54" i="9" s="1"/>
  <c r="BA10" i="11"/>
  <c r="BA18" i="11" s="1"/>
  <c r="F9" i="73"/>
  <c r="F10" i="73" s="1"/>
  <c r="F11" i="73" s="1"/>
  <c r="AB143" i="8"/>
  <c r="AB145" i="8" s="1"/>
  <c r="AB140" i="8"/>
  <c r="E17" i="73"/>
  <c r="E18" i="73" s="1"/>
  <c r="E21" i="73" s="1"/>
  <c r="E25" i="73" s="1"/>
  <c r="AY130" i="10"/>
  <c r="AY36" i="11"/>
  <c r="AY39" i="11" s="1"/>
  <c r="AY55" i="11" s="1"/>
  <c r="AY56" i="11" s="1"/>
  <c r="I8" i="66" s="1"/>
  <c r="R135" i="63"/>
  <c r="R162" i="63" s="1"/>
  <c r="R130" i="63"/>
  <c r="S132" i="63"/>
  <c r="S130" i="63" s="1"/>
  <c r="DZ36" i="3"/>
  <c r="DZ37" i="3"/>
  <c r="BC79" i="11"/>
  <c r="AY60" i="10"/>
  <c r="C31" i="73"/>
  <c r="AY96" i="10"/>
  <c r="AY98" i="10" s="1"/>
  <c r="AY59" i="10"/>
  <c r="AY14" i="10"/>
  <c r="AY26" i="10" s="1"/>
  <c r="BE78" i="10"/>
  <c r="BE91" i="10"/>
  <c r="BE29" i="10"/>
  <c r="BC25" i="11"/>
  <c r="R91" i="63"/>
  <c r="R90" i="63"/>
  <c r="S86" i="63"/>
  <c r="S50" i="63"/>
  <c r="S76" i="63" s="1"/>
  <c r="S49" i="63"/>
  <c r="H8" i="73"/>
  <c r="I8" i="73" s="1"/>
  <c r="J8" i="73" s="1"/>
  <c r="K8" i="73" s="1"/>
  <c r="BE18" i="10"/>
  <c r="BG10" i="10"/>
  <c r="BG11" i="10"/>
  <c r="BE26" i="11" s="1"/>
  <c r="DZ35" i="3"/>
  <c r="AB39" i="9"/>
  <c r="R163" i="63"/>
  <c r="DX26" i="3"/>
  <c r="DX49" i="3" s="1"/>
  <c r="DX41" i="3"/>
  <c r="R52" i="63"/>
  <c r="BE36" i="10"/>
  <c r="BE31" i="10"/>
  <c r="BC112" i="10"/>
  <c r="BC118" i="10"/>
  <c r="G6" i="73" l="1"/>
  <c r="DZ17" i="3"/>
  <c r="S21" i="63"/>
  <c r="S23" i="63" s="1"/>
  <c r="S39" i="63" s="1"/>
  <c r="I10" i="66"/>
  <c r="I12" i="66" s="1"/>
  <c r="I14" i="66" s="1"/>
  <c r="I18" i="66" s="1"/>
  <c r="DY50" i="3"/>
  <c r="DY24" i="3"/>
  <c r="DY41" i="3" s="1"/>
  <c r="AG28" i="9"/>
  <c r="H13" i="73"/>
  <c r="H14" i="73" s="1"/>
  <c r="BG81" i="10"/>
  <c r="BG31" i="10" s="1"/>
  <c r="AC23" i="9"/>
  <c r="AC115" i="8"/>
  <c r="DY40" i="3"/>
  <c r="DY71" i="3" s="1"/>
  <c r="I4" i="73"/>
  <c r="I6" i="73" s="1"/>
  <c r="BG80" i="10"/>
  <c r="AD41" i="8"/>
  <c r="AD112" i="8"/>
  <c r="AC17" i="9" s="1"/>
  <c r="AY117" i="10"/>
  <c r="S32" i="63"/>
  <c r="AC128" i="8"/>
  <c r="AC129" i="8" s="1"/>
  <c r="AG11" i="9"/>
  <c r="AC33" i="9"/>
  <c r="AC34" i="9" s="1"/>
  <c r="AY119" i="10"/>
  <c r="AC140" i="8"/>
  <c r="AC141" i="8" s="1"/>
  <c r="AA51" i="9"/>
  <c r="AA56" i="9"/>
  <c r="AA57" i="9" s="1"/>
  <c r="BA39" i="11"/>
  <c r="BA55" i="11" s="1"/>
  <c r="DY62" i="3"/>
  <c r="AB141" i="8"/>
  <c r="R138" i="63"/>
  <c r="R140" i="63" s="1"/>
  <c r="R143" i="63" s="1"/>
  <c r="R145" i="63" s="1"/>
  <c r="R173" i="63" s="1"/>
  <c r="R151" i="63"/>
  <c r="R174" i="63" s="1"/>
  <c r="S52" i="63"/>
  <c r="S65" i="63" s="1"/>
  <c r="F17" i="73"/>
  <c r="F18" i="73" s="1"/>
  <c r="F21" i="73" s="1"/>
  <c r="F25" i="73" s="1"/>
  <c r="BA65" i="11"/>
  <c r="BA67" i="11" s="1"/>
  <c r="R172" i="63"/>
  <c r="AY93" i="11"/>
  <c r="AY94" i="11" s="1"/>
  <c r="R94" i="63"/>
  <c r="R107" i="63" s="1"/>
  <c r="N4" i="66" s="1"/>
  <c r="N6" i="66" s="1"/>
  <c r="BC32" i="11"/>
  <c r="S91" i="63"/>
  <c r="S90" i="63"/>
  <c r="AY42" i="10"/>
  <c r="AY72" i="10"/>
  <c r="R92" i="63"/>
  <c r="R118" i="63"/>
  <c r="BE79" i="11"/>
  <c r="BE85" i="11"/>
  <c r="R88" i="63"/>
  <c r="AY111" i="10"/>
  <c r="AY108" i="10"/>
  <c r="G9" i="73"/>
  <c r="G10" i="73" s="1"/>
  <c r="G7" i="73"/>
  <c r="BE97" i="10"/>
  <c r="BC29" i="11"/>
  <c r="BE37" i="10"/>
  <c r="C45" i="73"/>
  <c r="C32" i="73"/>
  <c r="C39" i="73" s="1"/>
  <c r="BA54" i="11"/>
  <c r="BA8" i="10"/>
  <c r="S47" i="63"/>
  <c r="AB40" i="9"/>
  <c r="AB42" i="9"/>
  <c r="DZ22" i="3" s="1"/>
  <c r="BG78" i="10"/>
  <c r="BG29" i="10"/>
  <c r="BE25" i="11"/>
  <c r="BG91" i="10"/>
  <c r="BC83" i="11"/>
  <c r="BC84" i="11" s="1"/>
  <c r="R70" i="63"/>
  <c r="R77" i="63"/>
  <c r="R55" i="63"/>
  <c r="R65" i="63"/>
  <c r="M4" i="66" s="1"/>
  <c r="M6" i="66" s="1"/>
  <c r="DZ38" i="3"/>
  <c r="DZ48" i="3"/>
  <c r="DZ20" i="3"/>
  <c r="DZ31" i="3"/>
  <c r="BE99" i="10"/>
  <c r="BE106" i="10" s="1"/>
  <c r="BE16" i="10"/>
  <c r="BG18" i="10"/>
  <c r="S135" i="63"/>
  <c r="AY58" i="11"/>
  <c r="AY91" i="11"/>
  <c r="AY92" i="11" s="1"/>
  <c r="DZ62" i="3" l="1"/>
  <c r="S113" i="63"/>
  <c r="S71" i="63"/>
  <c r="N8" i="66"/>
  <c r="N10" i="66" s="1"/>
  <c r="N12" i="66" s="1"/>
  <c r="N14" i="66" s="1"/>
  <c r="N18" i="66" s="1"/>
  <c r="M8" i="66"/>
  <c r="M10" i="66" s="1"/>
  <c r="M12" i="66" s="1"/>
  <c r="M14" i="66" s="1"/>
  <c r="M18" i="66" s="1"/>
  <c r="BG36" i="10"/>
  <c r="BE32" i="11" s="1"/>
  <c r="R121" i="63"/>
  <c r="R79" i="63"/>
  <c r="DY26" i="3"/>
  <c r="DY49" i="3" s="1"/>
  <c r="I13" i="73"/>
  <c r="I14" i="73" s="1"/>
  <c r="AG33" i="9"/>
  <c r="AC147" i="8" s="1"/>
  <c r="AC148" i="8" s="1"/>
  <c r="J4" i="73"/>
  <c r="J6" i="73" s="1"/>
  <c r="H6" i="73"/>
  <c r="H7" i="73" s="1"/>
  <c r="AC39" i="9"/>
  <c r="AC42" i="9" s="1"/>
  <c r="AG42" i="9" s="1"/>
  <c r="S163" i="63"/>
  <c r="AD114" i="8"/>
  <c r="AD140" i="8" s="1"/>
  <c r="AD141" i="8" s="1"/>
  <c r="BA93" i="11"/>
  <c r="BA94" i="11" s="1"/>
  <c r="BC33" i="11"/>
  <c r="BC36" i="11" s="1"/>
  <c r="S77" i="63"/>
  <c r="S70" i="63"/>
  <c r="S55" i="63"/>
  <c r="R97" i="63"/>
  <c r="R99" i="63" s="1"/>
  <c r="R102" i="63" s="1"/>
  <c r="R104" i="63" s="1"/>
  <c r="R120" i="63" s="1"/>
  <c r="R119" i="63"/>
  <c r="R112" i="63"/>
  <c r="AB45" i="9"/>
  <c r="AB50" i="9" s="1"/>
  <c r="S94" i="63"/>
  <c r="S112" i="63" s="1"/>
  <c r="S79" i="63"/>
  <c r="AY109" i="10"/>
  <c r="AY121" i="10" s="1"/>
  <c r="AY114" i="10"/>
  <c r="AY120" i="10"/>
  <c r="BE118" i="10"/>
  <c r="BE112" i="10"/>
  <c r="I9" i="73"/>
  <c r="I10" i="73" s="1"/>
  <c r="AY44" i="10"/>
  <c r="AY73" i="10"/>
  <c r="BA96" i="10"/>
  <c r="BA98" i="10" s="1"/>
  <c r="BA14" i="10"/>
  <c r="BA26" i="10" s="1"/>
  <c r="BG37" i="10"/>
  <c r="BE29" i="11"/>
  <c r="R57" i="63"/>
  <c r="R60" i="63" s="1"/>
  <c r="R62" i="63" s="1"/>
  <c r="R78" i="63" s="1"/>
  <c r="DZ50" i="3"/>
  <c r="DZ42" i="3"/>
  <c r="DZ40" i="3"/>
  <c r="DZ71" i="3" s="1"/>
  <c r="G11" i="73"/>
  <c r="BA56" i="11"/>
  <c r="S118" i="63"/>
  <c r="S92" i="63"/>
  <c r="BA91" i="11"/>
  <c r="BA92" i="11" s="1"/>
  <c r="BA58" i="11"/>
  <c r="DZ39" i="3"/>
  <c r="DZ24" i="3"/>
  <c r="S138" i="63"/>
  <c r="S162" i="63"/>
  <c r="S172" i="63"/>
  <c r="S151" i="63"/>
  <c r="S174" i="63" s="1"/>
  <c r="BE83" i="11"/>
  <c r="BE84" i="11" s="1"/>
  <c r="S88" i="63"/>
  <c r="H9" i="73" l="1"/>
  <c r="H10" i="73" s="1"/>
  <c r="H11" i="73" s="1"/>
  <c r="K4" i="73"/>
  <c r="K6" i="73" s="1"/>
  <c r="K9" i="73" s="1"/>
  <c r="K10" i="73" s="1"/>
  <c r="J13" i="73"/>
  <c r="J14" i="73" s="1"/>
  <c r="AC45" i="9"/>
  <c r="AC46" i="9" s="1"/>
  <c r="AG39" i="9"/>
  <c r="AD128" i="8"/>
  <c r="AD129" i="8" s="1"/>
  <c r="AD143" i="8"/>
  <c r="AD145" i="8" s="1"/>
  <c r="AD115" i="8"/>
  <c r="AC40" i="9"/>
  <c r="S57" i="63"/>
  <c r="S60" i="63" s="1"/>
  <c r="S62" i="63" s="1"/>
  <c r="S78" i="63" s="1"/>
  <c r="AD148" i="8"/>
  <c r="BC10" i="11"/>
  <c r="BC18" i="11" s="1"/>
  <c r="BC39" i="11" s="1"/>
  <c r="BC93" i="11" s="1"/>
  <c r="BC94" i="11" s="1"/>
  <c r="BC65" i="11"/>
  <c r="BC67" i="11" s="1"/>
  <c r="G17" i="73"/>
  <c r="G18" i="73" s="1"/>
  <c r="G21" i="73" s="1"/>
  <c r="G25" i="73" s="1"/>
  <c r="BE82" i="10"/>
  <c r="S119" i="63"/>
  <c r="S107" i="63"/>
  <c r="S121" i="63" s="1"/>
  <c r="AB46" i="9"/>
  <c r="S97" i="63"/>
  <c r="S99" i="63" s="1"/>
  <c r="S102" i="63" s="1"/>
  <c r="S104" i="63" s="1"/>
  <c r="S120" i="63" s="1"/>
  <c r="BE33" i="11"/>
  <c r="BE65" i="11" s="1"/>
  <c r="BE67" i="11" s="1"/>
  <c r="I11" i="73"/>
  <c r="DZ26" i="3"/>
  <c r="DZ49" i="3" s="1"/>
  <c r="DZ41" i="3"/>
  <c r="BA42" i="10"/>
  <c r="BA72" i="10"/>
  <c r="BA111" i="10"/>
  <c r="BA117" i="10"/>
  <c r="BA108" i="10"/>
  <c r="AB51" i="9"/>
  <c r="AB56" i="9"/>
  <c r="AB57" i="9" s="1"/>
  <c r="AB53" i="9"/>
  <c r="AB54" i="9" s="1"/>
  <c r="AY52" i="10"/>
  <c r="AY50" i="10"/>
  <c r="BC54" i="11"/>
  <c r="BC8" i="10"/>
  <c r="J9" i="73"/>
  <c r="J10" i="73" s="1"/>
  <c r="S140" i="63"/>
  <c r="S143" i="63" s="1"/>
  <c r="S145" i="63" s="1"/>
  <c r="S173" i="63" s="1"/>
  <c r="K13" i="73" l="1"/>
  <c r="K14" i="73" s="1"/>
  <c r="AG45" i="9"/>
  <c r="AC50" i="9"/>
  <c r="AC56" i="9" s="1"/>
  <c r="AG56" i="9" s="1"/>
  <c r="BG82" i="10"/>
  <c r="BE10" i="11"/>
  <c r="BE18" i="11" s="1"/>
  <c r="BC55" i="11"/>
  <c r="BC56" i="11" s="1"/>
  <c r="BE36" i="11"/>
  <c r="H17" i="73"/>
  <c r="H18" i="73" s="1"/>
  <c r="H21" i="73" s="1"/>
  <c r="H25" i="73" s="1"/>
  <c r="BC96" i="10"/>
  <c r="BC98" i="10" s="1"/>
  <c r="BC14" i="10"/>
  <c r="BC26" i="10" s="1"/>
  <c r="J11" i="73"/>
  <c r="BA114" i="10"/>
  <c r="BA109" i="10"/>
  <c r="BA121" i="10" s="1"/>
  <c r="BA120" i="10"/>
  <c r="BA44" i="10"/>
  <c r="BA73" i="10"/>
  <c r="AG50" i="9" l="1"/>
  <c r="AC57" i="9"/>
  <c r="AC51" i="9"/>
  <c r="AC53" i="9"/>
  <c r="AG53" i="9" s="1"/>
  <c r="BE39" i="11"/>
  <c r="BE55" i="11" s="1"/>
  <c r="BE58" i="11" s="1"/>
  <c r="BC58" i="11"/>
  <c r="BC91" i="11"/>
  <c r="BC92" i="11" s="1"/>
  <c r="BE54" i="11"/>
  <c r="BE8" i="10"/>
  <c r="BE14" i="10" s="1"/>
  <c r="BE26" i="10" s="1"/>
  <c r="I17" i="73"/>
  <c r="I18" i="73" s="1"/>
  <c r="I21" i="73" s="1"/>
  <c r="I25" i="73" s="1"/>
  <c r="BA52" i="10"/>
  <c r="BA50" i="10"/>
  <c r="BC42" i="10"/>
  <c r="BC72" i="10"/>
  <c r="BC111" i="10"/>
  <c r="BC117" i="10"/>
  <c r="BC108" i="10"/>
  <c r="AC54" i="9" l="1"/>
  <c r="BE91" i="11"/>
  <c r="BE92" i="11" s="1"/>
  <c r="BE56" i="11"/>
  <c r="BG8" i="10" s="1"/>
  <c r="BG14" i="10" s="1"/>
  <c r="BG26" i="10" s="1"/>
  <c r="BG42" i="10" s="1"/>
  <c r="BE93" i="11"/>
  <c r="BE94" i="11" s="1"/>
  <c r="BE96" i="10"/>
  <c r="BE98" i="10" s="1"/>
  <c r="BE111" i="10" s="1"/>
  <c r="J17" i="73"/>
  <c r="J18" i="73" s="1"/>
  <c r="J21" i="73" s="1"/>
  <c r="BE42" i="10"/>
  <c r="BE72" i="10"/>
  <c r="BC109" i="10"/>
  <c r="BC121" i="10" s="1"/>
  <c r="BC120" i="10"/>
  <c r="BC114" i="10"/>
  <c r="BC73" i="10"/>
  <c r="BC44" i="10"/>
  <c r="BG72" i="10" l="1"/>
  <c r="BE117" i="10"/>
  <c r="BE108" i="10"/>
  <c r="BE114" i="10" s="1"/>
  <c r="K17" i="73"/>
  <c r="K18" i="73" s="1"/>
  <c r="K21" i="73" s="1"/>
  <c r="J25" i="73"/>
  <c r="C41" i="73" s="1"/>
  <c r="J26" i="73"/>
  <c r="J27" i="73" s="1"/>
  <c r="C42" i="73" s="1"/>
  <c r="BE44" i="10"/>
  <c r="BE73" i="10"/>
  <c r="BC50" i="10"/>
  <c r="BC52" i="10"/>
  <c r="BG73" i="10"/>
  <c r="BG44" i="10"/>
  <c r="BE109" i="10" l="1"/>
  <c r="BE121" i="10" s="1"/>
  <c r="BE120" i="10"/>
  <c r="BE50" i="10"/>
  <c r="BE52" i="10"/>
  <c r="BG52" i="10"/>
  <c r="BG50" i="10"/>
  <c r="C43" i="73"/>
  <c r="C48" i="73" s="1"/>
  <c r="C49" i="73" s="1"/>
</calcChain>
</file>

<file path=xl/comments1.xml><?xml version="1.0" encoding="utf-8"?>
<comments xmlns="http://schemas.openxmlformats.org/spreadsheetml/2006/main">
  <authors>
    <author>Corinna Freedman</author>
  </authors>
  <commentList>
    <comment ref="DJ55" authorId="0">
      <text>
        <r>
          <rPr>
            <b/>
            <sz val="8"/>
            <color indexed="81"/>
            <rFont val="Tahoma"/>
            <family val="2"/>
          </rPr>
          <t xml:space="preserve">Corinna Freedman:
</t>
        </r>
        <r>
          <rPr>
            <sz val="8"/>
            <color indexed="81"/>
            <rFont val="Tahoma"/>
            <family val="2"/>
          </rPr>
          <t>04/05 per 10K - LT potential of 80 stores in Canada</t>
        </r>
      </text>
    </comment>
  </commentList>
</comments>
</file>

<file path=xl/comments2.xml><?xml version="1.0" encoding="utf-8"?>
<comments xmlns="http://schemas.openxmlformats.org/spreadsheetml/2006/main">
  <authors>
    <author>kahng</author>
    <author>Kimberly Conroy Greenberger</author>
    <author>Debbie Ong</author>
    <author>CREDIT SUISSE FIRST BOSTON</author>
    <author>dong2</author>
    <author>Lehman Brothers</author>
    <author>dliu</author>
    <author>Kimberly Greenberger</author>
    <author>Corinna Freedman</author>
    <author>mm98285</author>
    <author>MB33100</author>
    <author>OC48540</author>
    <author>kg51925</author>
    <author>TI23070</author>
    <author>oc48540</author>
    <author>lr73192</author>
    <author>ns66486</author>
    <author>nicholjs</author>
    <author>marchant</author>
    <author>balskyh</author>
    <author>sancfa</author>
    <author>kimberlg</author>
    <author>casselau</author>
    <author>P Kahng</author>
    <author>solejay</author>
    <author>Cassel, Lauren (Research)</author>
    <author>kgreenbe</author>
  </authors>
  <commentList>
    <comment ref="AM8" authorId="0">
      <text>
        <r>
          <rPr>
            <b/>
            <sz val="8"/>
            <color indexed="81"/>
            <rFont val="Tahoma"/>
            <family val="2"/>
          </rPr>
          <t>kahng:</t>
        </r>
        <r>
          <rPr>
            <sz val="8"/>
            <color indexed="81"/>
            <rFont val="Tahoma"/>
            <family val="2"/>
          </rPr>
          <t xml:space="preserve">
includes ae.com, aerie.com and 77kids.com</t>
        </r>
      </text>
    </comment>
    <comment ref="E86" authorId="1">
      <text>
        <r>
          <rPr>
            <b/>
            <sz val="8"/>
            <color indexed="81"/>
            <rFont val="Tahoma"/>
            <family val="2"/>
          </rPr>
          <t>KG:</t>
        </r>
        <r>
          <rPr>
            <sz val="8"/>
            <color indexed="81"/>
            <rFont val="Tahoma"/>
            <family val="2"/>
          </rPr>
          <t xml:space="preserve">
verify matches Q1 of month sheet. </t>
        </r>
      </text>
    </comment>
    <comment ref="O86" authorId="2">
      <text>
        <r>
          <rPr>
            <b/>
            <sz val="8"/>
            <color indexed="81"/>
            <rFont val="Tahoma"/>
            <family val="2"/>
          </rPr>
          <t>Debbie Ong:</t>
        </r>
        <r>
          <rPr>
            <sz val="8"/>
            <color indexed="81"/>
            <rFont val="Tahoma"/>
            <family val="2"/>
          </rPr>
          <t xml:space="preserve">
took down from 95% to 81% 4/28.</t>
        </r>
      </text>
    </comment>
    <comment ref="I87" authorId="2">
      <text>
        <r>
          <rPr>
            <b/>
            <sz val="8"/>
            <color indexed="81"/>
            <rFont val="Tahoma"/>
            <family val="2"/>
          </rPr>
          <t>Debbie Ong:</t>
        </r>
        <r>
          <rPr>
            <sz val="8"/>
            <color indexed="81"/>
            <rFont val="Tahoma"/>
            <family val="2"/>
          </rPr>
          <t xml:space="preserve">
had 515</t>
        </r>
      </text>
    </comment>
    <comment ref="X87" authorId="2">
      <text>
        <r>
          <rPr>
            <b/>
            <sz val="8"/>
            <color indexed="81"/>
            <rFont val="Tahoma"/>
            <family val="2"/>
          </rPr>
          <t>Debbie Ong:</t>
        </r>
        <r>
          <rPr>
            <sz val="8"/>
            <color indexed="81"/>
            <rFont val="Tahoma"/>
            <family val="2"/>
          </rPr>
          <t xml:space="preserve">
had 2.315</t>
        </r>
      </text>
    </comment>
    <comment ref="E88" authorId="3">
      <text>
        <r>
          <rPr>
            <sz val="8"/>
            <color indexed="81"/>
            <rFont val="Tahoma"/>
            <family val="2"/>
          </rPr>
          <t>had at 4% but changed to 2% following May sales report
1% following 6/19 conversation.  Had 6.4% b4 Oct comp</t>
        </r>
      </text>
    </comment>
    <comment ref="I88" authorId="2">
      <text>
        <r>
          <rPr>
            <b/>
            <sz val="8"/>
            <color indexed="81"/>
            <rFont val="Tahoma"/>
            <family val="2"/>
          </rPr>
          <t>Debbie Ong:</t>
        </r>
        <r>
          <rPr>
            <sz val="8"/>
            <color indexed="81"/>
            <rFont val="Tahoma"/>
            <family val="2"/>
          </rPr>
          <t xml:space="preserve">
Had 551 b4 Oct comp</t>
        </r>
      </text>
    </comment>
    <comment ref="O88" authorId="2">
      <text>
        <r>
          <rPr>
            <b/>
            <sz val="8"/>
            <color indexed="81"/>
            <rFont val="Tahoma"/>
            <family val="2"/>
          </rPr>
          <t>Debbie Ong:</t>
        </r>
        <r>
          <rPr>
            <sz val="8"/>
            <color indexed="81"/>
            <rFont val="Tahoma"/>
            <family val="2"/>
          </rPr>
          <t xml:space="preserve">
had 88% b4 Oct comp</t>
        </r>
      </text>
    </comment>
    <comment ref="R88" authorId="2">
      <text>
        <r>
          <rPr>
            <b/>
            <sz val="8"/>
            <color indexed="81"/>
            <rFont val="Tahoma"/>
            <family val="2"/>
          </rPr>
          <t>Debbie Ong:</t>
        </r>
        <r>
          <rPr>
            <sz val="8"/>
            <color indexed="81"/>
            <rFont val="Tahoma"/>
            <family val="2"/>
          </rPr>
          <t xml:space="preserve">
if the sales number becomes lower as a result of store count averaging, GM and SGA % to sales will also be reduced, causing changes in EPS.  Had $277.1 b4 Oct comp</t>
        </r>
      </text>
    </comment>
    <comment ref="E89" authorId="3">
      <text>
        <r>
          <rPr>
            <sz val="8"/>
            <color indexed="81"/>
            <rFont val="Tahoma"/>
            <family val="2"/>
          </rPr>
          <t>had at 4% but changed to 2% following May sales report.  Had 2% b4 Nov comp rptd. had 5.6% b4 Dec comp. had 10.9% b4 Jan</t>
        </r>
      </text>
    </comment>
    <comment ref="O89" authorId="2">
      <text>
        <r>
          <rPr>
            <b/>
            <sz val="8"/>
            <color indexed="81"/>
            <rFont val="Tahoma"/>
            <family val="2"/>
          </rPr>
          <t>Debbie Ong:</t>
        </r>
        <r>
          <rPr>
            <sz val="8"/>
            <color indexed="81"/>
            <rFont val="Tahoma"/>
            <family val="2"/>
          </rPr>
          <t xml:space="preserve">
used to be 88%; then had 90% b4 Nov comp rptd. had 85% b4 Dec comp. had 100% b4 Jan</t>
        </r>
      </text>
    </comment>
    <comment ref="R89" authorId="2">
      <text>
        <r>
          <rPr>
            <b/>
            <sz val="8"/>
            <color indexed="81"/>
            <rFont val="Tahoma"/>
            <family val="2"/>
          </rPr>
          <t>Debbie Ong:</t>
        </r>
        <r>
          <rPr>
            <sz val="8"/>
            <color indexed="81"/>
            <rFont val="Tahoma"/>
            <family val="2"/>
          </rPr>
          <t xml:space="preserve">
had $339.6 mm b4 Nov. comp rptd. had $347.1 mm b4 Dec comp</t>
        </r>
      </text>
    </comment>
    <comment ref="E90" authorId="2">
      <text>
        <r>
          <rPr>
            <b/>
            <sz val="8"/>
            <color indexed="81"/>
            <rFont val="Tahoma"/>
            <family val="2"/>
          </rPr>
          <t>Debbie Ong:</t>
        </r>
        <r>
          <rPr>
            <sz val="8"/>
            <color indexed="81"/>
            <rFont val="Tahoma"/>
            <family val="2"/>
          </rPr>
          <t xml:space="preserve">
6.1% compared to 53rd wk last year</t>
        </r>
      </text>
    </comment>
    <comment ref="A92" authorId="3">
      <text>
        <r>
          <rPr>
            <sz val="8"/>
            <color indexed="81"/>
            <rFont val="Tahoma"/>
            <family val="2"/>
          </rPr>
          <t>on 4q conf call said in 2000 new stores performed at 80% productiv. Of avg stores (not on psf basis) Avg store $2 mm, new store $1.6 mm</t>
        </r>
      </text>
    </comment>
    <comment ref="E93" authorId="2">
      <text>
        <r>
          <rPr>
            <b/>
            <sz val="8"/>
            <color indexed="81"/>
            <rFont val="Tahoma"/>
            <family val="2"/>
          </rPr>
          <t>Debbie Ong:</t>
        </r>
        <r>
          <rPr>
            <sz val="8"/>
            <color indexed="81"/>
            <rFont val="Tahoma"/>
            <family val="2"/>
          </rPr>
          <t xml:space="preserve">
had 3.0 before feb comp reported. took down to 1.3, and then (1) when co. provided flat guidance for March. had +1.7</t>
        </r>
      </text>
    </comment>
    <comment ref="I93" authorId="2">
      <text>
        <r>
          <rPr>
            <b/>
            <sz val="8"/>
            <color indexed="81"/>
            <rFont val="Tahoma"/>
            <family val="2"/>
          </rPr>
          <t>Debbie Ong:</t>
        </r>
        <r>
          <rPr>
            <sz val="8"/>
            <color indexed="81"/>
            <rFont val="Tahoma"/>
            <family val="2"/>
          </rPr>
          <t xml:space="preserve">
had 24 store openings.
Incl. 1 AE Canada</t>
        </r>
      </text>
    </comment>
    <comment ref="O93" authorId="2">
      <text>
        <r>
          <rPr>
            <b/>
            <sz val="8"/>
            <color indexed="81"/>
            <rFont val="Tahoma"/>
            <family val="2"/>
          </rPr>
          <t>Debbie Ong:</t>
        </r>
        <r>
          <rPr>
            <sz val="8"/>
            <color indexed="81"/>
            <rFont val="Tahoma"/>
            <family val="2"/>
          </rPr>
          <t xml:space="preserve">
had 90. took down to 85 after co. reported soft Feb comps. had 85</t>
        </r>
      </text>
    </comment>
    <comment ref="R93" authorId="2">
      <text>
        <r>
          <rPr>
            <b/>
            <sz val="8"/>
            <color indexed="81"/>
            <rFont val="Tahoma"/>
            <family val="2"/>
          </rPr>
          <t>Debbie Ong:</t>
        </r>
        <r>
          <rPr>
            <sz val="8"/>
            <color indexed="81"/>
            <rFont val="Tahoma"/>
            <family val="2"/>
          </rPr>
          <t xml:space="preserve">
had 209.0</t>
        </r>
      </text>
    </comment>
    <comment ref="E94" authorId="2">
      <text>
        <r>
          <rPr>
            <b/>
            <sz val="8"/>
            <color indexed="81"/>
            <rFont val="Tahoma"/>
            <family val="2"/>
          </rPr>
          <t>Debbie Ong:</t>
        </r>
        <r>
          <rPr>
            <sz val="8"/>
            <color indexed="81"/>
            <rFont val="Tahoma"/>
            <family val="2"/>
          </rPr>
          <t xml:space="preserve">
had 3.5. Changed to 4.2 from 4.9 after our 8/3 store visit </t>
        </r>
      </text>
    </comment>
    <comment ref="I94" authorId="4">
      <text>
        <r>
          <rPr>
            <b/>
            <sz val="8"/>
            <color indexed="81"/>
            <rFont val="Tahoma"/>
            <family val="2"/>
          </rPr>
          <t>dong2:</t>
        </r>
        <r>
          <rPr>
            <sz val="8"/>
            <color indexed="81"/>
            <rFont val="Tahoma"/>
            <family val="2"/>
          </rPr>
          <t xml:space="preserve">
had 593. 586 as of August sales release.
Incl. 36 AE Canada stores</t>
        </r>
      </text>
    </comment>
    <comment ref="O94" authorId="2">
      <text>
        <r>
          <rPr>
            <b/>
            <sz val="8"/>
            <color indexed="81"/>
            <rFont val="Tahoma"/>
            <family val="2"/>
          </rPr>
          <t>Debbie Ong:</t>
        </r>
        <r>
          <rPr>
            <sz val="8"/>
            <color indexed="81"/>
            <rFont val="Tahoma"/>
            <family val="2"/>
          </rPr>
          <t xml:space="preserve">
5/24: had 90; 6/5: had 100</t>
        </r>
      </text>
    </comment>
    <comment ref="R94" authorId="2">
      <text>
        <r>
          <rPr>
            <b/>
            <sz val="8"/>
            <color indexed="81"/>
            <rFont val="Tahoma"/>
            <family val="2"/>
          </rPr>
          <t>Debbie Ong:</t>
        </r>
        <r>
          <rPr>
            <sz val="8"/>
            <color indexed="81"/>
            <rFont val="Tahoma"/>
            <family val="2"/>
          </rPr>
          <t xml:space="preserve">
had 247.2, then 248.7</t>
        </r>
      </text>
    </comment>
    <comment ref="AM94" authorId="2">
      <text>
        <r>
          <rPr>
            <b/>
            <sz val="8"/>
            <color indexed="81"/>
            <rFont val="Tahoma"/>
            <family val="2"/>
          </rPr>
          <t>Debbie Ong:</t>
        </r>
        <r>
          <rPr>
            <sz val="8"/>
            <color indexed="81"/>
            <rFont val="Tahoma"/>
            <family val="2"/>
          </rPr>
          <t xml:space="preserve">
5/24: had 4, but incr. to 8 after co. reported 1Q internet sales increased 250% from 1Q00. 8/20: reduced from 8 to 5 after co. reported sales increased 150% over LY.
</t>
        </r>
      </text>
    </comment>
    <comment ref="E95" authorId="4">
      <text>
        <r>
          <rPr>
            <b/>
            <sz val="8"/>
            <color indexed="81"/>
            <rFont val="Tahoma"/>
            <family val="2"/>
          </rPr>
          <t>dong2:</t>
        </r>
        <r>
          <rPr>
            <sz val="8"/>
            <color indexed="81"/>
            <rFont val="Tahoma"/>
            <family val="2"/>
          </rPr>
          <t xml:space="preserve">
had 3.0% before co update on 2Q01 conf. call for low SD comps, then 1.6% b4 Aug comps. 10/10: had (0.6)</t>
        </r>
      </text>
    </comment>
    <comment ref="I95" authorId="4">
      <text>
        <r>
          <rPr>
            <b/>
            <sz val="8"/>
            <color indexed="81"/>
            <rFont val="Tahoma"/>
            <family val="2"/>
          </rPr>
          <t>dong2:</t>
        </r>
        <r>
          <rPr>
            <sz val="8"/>
            <color indexed="81"/>
            <rFont val="Tahoma"/>
            <family val="2"/>
          </rPr>
          <t xml:space="preserve">
modeled 617. Incl. 9 AE Canada stores</t>
        </r>
      </text>
    </comment>
    <comment ref="O95" authorId="2">
      <text>
        <r>
          <rPr>
            <b/>
            <sz val="8"/>
            <color indexed="81"/>
            <rFont val="Tahoma"/>
            <family val="2"/>
          </rPr>
          <t>Debbie Ong:</t>
        </r>
        <r>
          <rPr>
            <sz val="8"/>
            <color indexed="81"/>
            <rFont val="Tahoma"/>
            <family val="2"/>
          </rPr>
          <t xml:space="preserve">
5/24: had 85. 10/8: had 90</t>
        </r>
      </text>
    </comment>
    <comment ref="R95" authorId="4">
      <text>
        <r>
          <rPr>
            <b/>
            <sz val="8"/>
            <color indexed="81"/>
            <rFont val="Tahoma"/>
            <family val="2"/>
          </rPr>
          <t>dong2:</t>
        </r>
        <r>
          <rPr>
            <sz val="8"/>
            <color indexed="81"/>
            <rFont val="Tahoma"/>
            <family val="2"/>
          </rPr>
          <t xml:space="preserve">
had 321.8. 10/10: 313.7</t>
        </r>
      </text>
    </comment>
    <comment ref="AM95" authorId="2">
      <text>
        <r>
          <rPr>
            <b/>
            <sz val="8"/>
            <color indexed="81"/>
            <rFont val="Tahoma"/>
            <family val="2"/>
          </rPr>
          <t>Debbie Ong:</t>
        </r>
        <r>
          <rPr>
            <sz val="8"/>
            <color indexed="81"/>
            <rFont val="Tahoma"/>
            <family val="2"/>
          </rPr>
          <t xml:space="preserve">
5/24 had 5.5</t>
        </r>
      </text>
    </comment>
    <comment ref="E96" authorId="4">
      <text>
        <r>
          <rPr>
            <b/>
            <sz val="8"/>
            <color indexed="81"/>
            <rFont val="Tahoma"/>
            <family val="2"/>
          </rPr>
          <t>dong2:</t>
        </r>
        <r>
          <rPr>
            <sz val="8"/>
            <color indexed="81"/>
            <rFont val="Tahoma"/>
            <family val="2"/>
          </rPr>
          <t xml:space="preserve">
-3</t>
        </r>
      </text>
    </comment>
    <comment ref="O96" authorId="4">
      <text>
        <r>
          <rPr>
            <b/>
            <sz val="8"/>
            <color indexed="81"/>
            <rFont val="Tahoma"/>
            <family val="2"/>
          </rPr>
          <t>dong2:</t>
        </r>
        <r>
          <rPr>
            <sz val="8"/>
            <color indexed="81"/>
            <rFont val="Tahoma"/>
            <family val="2"/>
          </rPr>
          <t xml:space="preserve">
12/2: had 85, then 76</t>
        </r>
      </text>
    </comment>
    <comment ref="R96" authorId="4">
      <text>
        <r>
          <rPr>
            <b/>
            <sz val="8"/>
            <color indexed="81"/>
            <rFont val="Tahoma"/>
            <family val="2"/>
          </rPr>
          <t>dong2:</t>
        </r>
        <r>
          <rPr>
            <sz val="8"/>
            <color indexed="81"/>
            <rFont val="Tahoma"/>
            <family val="2"/>
          </rPr>
          <t xml:space="preserve">
12/2: had 434.6 mm
1/9: then 417.2 mm
2/6: 419.7 mm</t>
        </r>
      </text>
    </comment>
    <comment ref="AM96" authorId="2">
      <text>
        <r>
          <rPr>
            <b/>
            <sz val="8"/>
            <color indexed="81"/>
            <rFont val="Tahoma"/>
            <family val="2"/>
          </rPr>
          <t>Debbie Ong:</t>
        </r>
        <r>
          <rPr>
            <sz val="8"/>
            <color indexed="81"/>
            <rFont val="Tahoma"/>
            <family val="2"/>
          </rPr>
          <t xml:space="preserve">
5/24 had 6.5</t>
        </r>
      </text>
    </comment>
    <comment ref="R97" authorId="2">
      <text>
        <r>
          <rPr>
            <b/>
            <sz val="8"/>
            <color indexed="81"/>
            <rFont val="Tahoma"/>
            <family val="2"/>
          </rPr>
          <t>Debbie Ong:</t>
        </r>
        <r>
          <rPr>
            <sz val="8"/>
            <color indexed="81"/>
            <rFont val="Tahoma"/>
            <family val="2"/>
          </rPr>
          <t xml:space="preserve">
had $1,182.6 mm b4 Nov comp rptd</t>
        </r>
      </text>
    </comment>
    <comment ref="E100" authorId="5">
      <text>
        <r>
          <rPr>
            <sz val="8"/>
            <color indexed="81"/>
            <rFont val="Tahoma"/>
            <family val="2"/>
          </rPr>
          <t>(3.5)</t>
        </r>
      </text>
    </comment>
    <comment ref="O100" authorId="5">
      <text>
        <r>
          <rPr>
            <sz val="8"/>
            <color indexed="81"/>
            <rFont val="Tahoma"/>
            <family val="2"/>
          </rPr>
          <t>HAD 100</t>
        </r>
      </text>
    </comment>
    <comment ref="R100" authorId="5">
      <text>
        <r>
          <rPr>
            <sz val="8"/>
            <color indexed="81"/>
            <rFont val="Tahoma"/>
            <family val="2"/>
          </rPr>
          <t>253.7</t>
        </r>
      </text>
    </comment>
    <comment ref="X100" authorId="5">
      <text>
        <r>
          <rPr>
            <sz val="8"/>
            <color indexed="81"/>
            <rFont val="Tahoma"/>
            <family val="2"/>
          </rPr>
          <t>had 3.395</t>
        </r>
      </text>
    </comment>
    <comment ref="E101" authorId="5">
      <text>
        <r>
          <rPr>
            <sz val="8"/>
            <color indexed="81"/>
            <rFont val="Tahoma"/>
            <family val="2"/>
          </rPr>
          <t>(1.0), (2.0), then (3.1)</t>
        </r>
      </text>
    </comment>
    <comment ref="O101" authorId="5">
      <text>
        <r>
          <rPr>
            <sz val="8"/>
            <color indexed="81"/>
            <rFont val="Tahoma"/>
            <family val="2"/>
          </rPr>
          <t>take down. Had 88</t>
        </r>
      </text>
    </comment>
    <comment ref="R101" authorId="5">
      <text>
        <r>
          <rPr>
            <sz val="8"/>
            <color indexed="81"/>
            <rFont val="Tahoma"/>
            <family val="2"/>
          </rPr>
          <t>302.7</t>
        </r>
      </text>
    </comment>
    <comment ref="E102" authorId="5">
      <text>
        <r>
          <rPr>
            <sz val="8"/>
            <color indexed="81"/>
            <rFont val="Tahoma"/>
            <family val="2"/>
          </rPr>
          <t>-2, -5, -5.9</t>
        </r>
      </text>
    </comment>
    <comment ref="O102" authorId="5">
      <text>
        <r>
          <rPr>
            <sz val="8"/>
            <color indexed="81"/>
            <rFont val="Tahoma"/>
            <family val="2"/>
          </rPr>
          <t>85</t>
        </r>
      </text>
    </comment>
    <comment ref="R102" authorId="5">
      <text>
        <r>
          <rPr>
            <sz val="8"/>
            <color indexed="81"/>
            <rFont val="Tahoma"/>
            <family val="2"/>
          </rPr>
          <t>302.7</t>
        </r>
      </text>
    </comment>
    <comment ref="AM102" authorId="5">
      <text>
        <r>
          <rPr>
            <sz val="8"/>
            <color indexed="81"/>
            <rFont val="Tahoma"/>
            <family val="2"/>
          </rPr>
          <t>co. said sales were 42% higher than LY</t>
        </r>
      </text>
    </comment>
    <comment ref="E103" authorId="5">
      <text>
        <r>
          <rPr>
            <sz val="8"/>
            <color indexed="81"/>
            <rFont val="Tahoma"/>
            <family val="2"/>
          </rPr>
          <t>(2.0), (7.0), (3.5)</t>
        </r>
      </text>
    </comment>
    <comment ref="O103" authorId="5">
      <text>
        <r>
          <rPr>
            <sz val="8"/>
            <color indexed="81"/>
            <rFont val="Tahoma"/>
            <family val="2"/>
          </rPr>
          <t>had 85</t>
        </r>
      </text>
    </comment>
    <comment ref="R103" authorId="5">
      <text>
        <r>
          <rPr>
            <sz val="8"/>
            <color indexed="81"/>
            <rFont val="Tahoma"/>
            <family val="2"/>
          </rPr>
          <t>451.0</t>
        </r>
      </text>
    </comment>
    <comment ref="E104" authorId="6">
      <text>
        <r>
          <rPr>
            <b/>
            <sz val="8"/>
            <color indexed="81"/>
            <rFont val="Tahoma"/>
            <family val="2"/>
          </rPr>
          <t>dliu:</t>
        </r>
        <r>
          <rPr>
            <sz val="8"/>
            <color indexed="81"/>
            <rFont val="Tahoma"/>
            <family val="2"/>
          </rPr>
          <t xml:space="preserve">
(4.3) IS actual</t>
        </r>
      </text>
    </comment>
    <comment ref="E107" authorId="6">
      <text>
        <r>
          <rPr>
            <b/>
            <sz val="8"/>
            <color indexed="81"/>
            <rFont val="Tahoma"/>
            <family val="2"/>
          </rPr>
          <t>dliu:</t>
        </r>
        <r>
          <rPr>
            <sz val="8"/>
            <color indexed="81"/>
            <rFont val="Tahoma"/>
            <family val="2"/>
          </rPr>
          <t xml:space="preserve">
(1.0), (4.0)</t>
        </r>
      </text>
    </comment>
    <comment ref="O107" authorId="6">
      <text>
        <r>
          <rPr>
            <b/>
            <sz val="8"/>
            <color indexed="81"/>
            <rFont val="Tahoma"/>
            <family val="2"/>
          </rPr>
          <t>dliu:</t>
        </r>
        <r>
          <rPr>
            <sz val="8"/>
            <color indexed="81"/>
            <rFont val="Tahoma"/>
            <family val="2"/>
          </rPr>
          <t xml:space="preserve">
85</t>
        </r>
      </text>
    </comment>
    <comment ref="R107" authorId="6">
      <text>
        <r>
          <rPr>
            <b/>
            <sz val="8"/>
            <color indexed="81"/>
            <rFont val="Tahoma"/>
            <family val="2"/>
          </rPr>
          <t>dliu:</t>
        </r>
        <r>
          <rPr>
            <sz val="8"/>
            <color indexed="81"/>
            <rFont val="Tahoma"/>
            <family val="2"/>
          </rPr>
          <t xml:space="preserve">
266.7</t>
        </r>
      </text>
    </comment>
    <comment ref="X107" authorId="5">
      <text>
        <r>
          <rPr>
            <sz val="8"/>
            <color indexed="81"/>
            <rFont val="Tahoma"/>
            <family val="2"/>
          </rPr>
          <t>includes 12,500 sq ft for remodels split evenly throughout year</t>
        </r>
      </text>
    </comment>
    <comment ref="E108" authorId="6">
      <text>
        <r>
          <rPr>
            <b/>
            <sz val="8"/>
            <color indexed="81"/>
            <rFont val="Tahoma"/>
            <family val="2"/>
          </rPr>
          <t>dliu:</t>
        </r>
        <r>
          <rPr>
            <sz val="8"/>
            <color indexed="81"/>
            <rFont val="Tahoma"/>
            <family val="2"/>
          </rPr>
          <t xml:space="preserve">
had +2, (4.0), (1.0), (2.7)</t>
        </r>
      </text>
    </comment>
    <comment ref="O108" authorId="6">
      <text>
        <r>
          <rPr>
            <b/>
            <sz val="8"/>
            <color indexed="81"/>
            <rFont val="Tahoma"/>
            <family val="2"/>
          </rPr>
          <t>dliu:</t>
        </r>
        <r>
          <rPr>
            <sz val="8"/>
            <color indexed="81"/>
            <rFont val="Tahoma"/>
            <family val="2"/>
          </rPr>
          <t xml:space="preserve">
95</t>
        </r>
      </text>
    </comment>
    <comment ref="R108" authorId="6">
      <text>
        <r>
          <rPr>
            <b/>
            <sz val="8"/>
            <color indexed="81"/>
            <rFont val="Tahoma"/>
            <family val="2"/>
          </rPr>
          <t>dliu:</t>
        </r>
        <r>
          <rPr>
            <sz val="8"/>
            <color indexed="81"/>
            <rFont val="Tahoma"/>
            <family val="2"/>
          </rPr>
          <t xml:space="preserve">
took out 18 mm in rev when reduced from +2 to (5) and boosted productivity from 85 to 95. 6/4/03: 309.2</t>
        </r>
      </text>
    </comment>
    <comment ref="AM108" authorId="7">
      <text>
        <r>
          <rPr>
            <b/>
            <sz val="8"/>
            <color indexed="81"/>
            <rFont val="Tahoma"/>
            <family val="2"/>
          </rPr>
          <t>Kimberly Greenberger:</t>
        </r>
        <r>
          <rPr>
            <sz val="8"/>
            <color indexed="81"/>
            <rFont val="Tahoma"/>
            <family val="2"/>
          </rPr>
          <t xml:space="preserve">
back into 9.4mm based on 2Q04 growth of 28% to approx $12mm</t>
        </r>
      </text>
    </comment>
    <comment ref="E109" authorId="6">
      <text>
        <r>
          <rPr>
            <b/>
            <sz val="8"/>
            <color indexed="81"/>
            <rFont val="Tahoma"/>
            <family val="2"/>
          </rPr>
          <t>dliu:</t>
        </r>
        <r>
          <rPr>
            <sz val="8"/>
            <color indexed="81"/>
            <rFont val="Tahoma"/>
            <family val="2"/>
          </rPr>
          <t xml:space="preserve">
(5), (7.8), (7.0)</t>
        </r>
      </text>
    </comment>
    <comment ref="O109" authorId="5">
      <text>
        <r>
          <rPr>
            <sz val="8"/>
            <color indexed="81"/>
            <rFont val="Tahoma"/>
            <family val="2"/>
          </rPr>
          <t>115</t>
        </r>
      </text>
    </comment>
    <comment ref="R109" authorId="5">
      <text>
        <r>
          <rPr>
            <sz val="8"/>
            <color indexed="81"/>
            <rFont val="Tahoma"/>
            <family val="2"/>
          </rPr>
          <t>349.7</t>
        </r>
      </text>
    </comment>
    <comment ref="E110" authorId="6">
      <text>
        <r>
          <rPr>
            <b/>
            <sz val="8"/>
            <color indexed="81"/>
            <rFont val="Tahoma"/>
            <family val="2"/>
          </rPr>
          <t>dliu:</t>
        </r>
        <r>
          <rPr>
            <sz val="8"/>
            <color indexed="81"/>
            <rFont val="Tahoma"/>
            <family val="2"/>
          </rPr>
          <t xml:space="preserve">
-6</t>
        </r>
      </text>
    </comment>
    <comment ref="I110" authorId="6">
      <text>
        <r>
          <rPr>
            <b/>
            <sz val="8"/>
            <color indexed="81"/>
            <rFont val="Tahoma"/>
            <family val="2"/>
          </rPr>
          <t>dliu:</t>
        </r>
        <r>
          <rPr>
            <sz val="8"/>
            <color indexed="81"/>
            <rFont val="Tahoma"/>
            <family val="2"/>
          </rPr>
          <t xml:space="preserve">
805: 740 AE U.S., 65 Canada, and 110 BN/T
</t>
        </r>
      </text>
    </comment>
    <comment ref="O110" authorId="6">
      <text>
        <r>
          <rPr>
            <b/>
            <sz val="8"/>
            <color indexed="81"/>
            <rFont val="Tahoma"/>
            <family val="2"/>
          </rPr>
          <t>dliu:</t>
        </r>
        <r>
          <rPr>
            <sz val="8"/>
            <color indexed="81"/>
            <rFont val="Tahoma"/>
            <family val="2"/>
          </rPr>
          <t xml:space="preserve">
120</t>
        </r>
      </text>
    </comment>
    <comment ref="R110" authorId="6">
      <text>
        <r>
          <rPr>
            <b/>
            <sz val="8"/>
            <color indexed="81"/>
            <rFont val="Tahoma"/>
            <family val="2"/>
          </rPr>
          <t>dliu:</t>
        </r>
        <r>
          <rPr>
            <sz val="8"/>
            <color indexed="81"/>
            <rFont val="Tahoma"/>
            <family val="2"/>
          </rPr>
          <t xml:space="preserve">
459.7</t>
        </r>
      </text>
    </comment>
    <comment ref="E114" authorId="6">
      <text>
        <r>
          <rPr>
            <b/>
            <sz val="8"/>
            <color indexed="81"/>
            <rFont val="Tahoma"/>
            <family val="2"/>
          </rPr>
          <t>dliu:</t>
        </r>
        <r>
          <rPr>
            <sz val="8"/>
            <color indexed="81"/>
            <rFont val="Tahoma"/>
            <family val="2"/>
          </rPr>
          <t xml:space="preserve">
8</t>
        </r>
      </text>
    </comment>
    <comment ref="I114" authorId="7">
      <text>
        <r>
          <rPr>
            <b/>
            <sz val="8"/>
            <color indexed="81"/>
            <rFont val="Tahoma"/>
            <family val="2"/>
          </rPr>
          <t>Kimberly Greenberger:</t>
        </r>
        <r>
          <rPr>
            <sz val="8"/>
            <color indexed="81"/>
            <rFont val="Tahoma"/>
            <family val="2"/>
          </rPr>
          <t xml:space="preserve">
745 U.S. + 64 Canada</t>
        </r>
      </text>
    </comment>
    <comment ref="E115" authorId="6">
      <text>
        <r>
          <rPr>
            <b/>
            <sz val="8"/>
            <color indexed="81"/>
            <rFont val="Tahoma"/>
            <family val="2"/>
          </rPr>
          <t>dliu:</t>
        </r>
        <r>
          <rPr>
            <sz val="8"/>
            <color indexed="81"/>
            <rFont val="Tahoma"/>
            <family val="2"/>
          </rPr>
          <t xml:space="preserve">
813.8</t>
        </r>
      </text>
    </comment>
    <comment ref="I115" authorId="7">
      <text>
        <r>
          <rPr>
            <b/>
            <sz val="8"/>
            <color indexed="81"/>
            <rFont val="Tahoma"/>
            <family val="2"/>
          </rPr>
          <t>Kimberly Greenberger:</t>
        </r>
        <r>
          <rPr>
            <sz val="8"/>
            <color indexed="81"/>
            <rFont val="Tahoma"/>
            <family val="2"/>
          </rPr>
          <t xml:space="preserve">
757 US + 68 Canada = 825</t>
        </r>
      </text>
    </comment>
    <comment ref="X115" authorId="7">
      <text>
        <r>
          <rPr>
            <b/>
            <sz val="8"/>
            <color indexed="81"/>
            <rFont val="Tahoma"/>
            <family val="2"/>
          </rPr>
          <t>Kimberly Greenberger:</t>
        </r>
        <r>
          <rPr>
            <sz val="8"/>
            <color indexed="81"/>
            <rFont val="Tahoma"/>
            <family val="2"/>
          </rPr>
          <t xml:space="preserve">
prior est 4.392</t>
        </r>
      </text>
    </comment>
    <comment ref="AM115" authorId="7">
      <text>
        <r>
          <rPr>
            <b/>
            <sz val="8"/>
            <color indexed="81"/>
            <rFont val="Tahoma"/>
            <family val="2"/>
          </rPr>
          <t>Kimberly Greenberger:</t>
        </r>
        <r>
          <rPr>
            <sz val="8"/>
            <color indexed="81"/>
            <rFont val="Tahoma"/>
            <family val="2"/>
          </rPr>
          <t xml:space="preserve">
8/12/04: approx $12mm </t>
        </r>
      </text>
    </comment>
    <comment ref="AO115" authorId="7">
      <text>
        <r>
          <rPr>
            <b/>
            <sz val="8"/>
            <color indexed="81"/>
            <rFont val="Tahoma"/>
            <family val="2"/>
          </rPr>
          <t>Kimberly Greenberger:</t>
        </r>
        <r>
          <rPr>
            <sz val="8"/>
            <color indexed="81"/>
            <rFont val="Tahoma"/>
            <family val="2"/>
          </rPr>
          <t xml:space="preserve">
per judy said +28%</t>
        </r>
      </text>
    </comment>
    <comment ref="I116" authorId="7">
      <text>
        <r>
          <rPr>
            <b/>
            <sz val="8"/>
            <color indexed="81"/>
            <rFont val="Tahoma"/>
            <family val="2"/>
          </rPr>
          <t>Kimberly Greenberger:</t>
        </r>
        <r>
          <rPr>
            <sz val="8"/>
            <color indexed="81"/>
            <rFont val="Tahoma"/>
            <family val="2"/>
          </rPr>
          <t xml:space="preserve">
774 US + 69 Canada = 843</t>
        </r>
      </text>
    </comment>
    <comment ref="X116" authorId="7">
      <text>
        <r>
          <rPr>
            <b/>
            <sz val="8"/>
            <color indexed="81"/>
            <rFont val="Tahoma"/>
            <family val="2"/>
          </rPr>
          <t>Kimberly Greenberger:</t>
        </r>
        <r>
          <rPr>
            <sz val="8"/>
            <color indexed="81"/>
            <rFont val="Tahoma"/>
            <family val="2"/>
          </rPr>
          <t xml:space="preserve">
prior est 4.511</t>
        </r>
      </text>
    </comment>
    <comment ref="X117" authorId="7">
      <text>
        <r>
          <rPr>
            <b/>
            <sz val="8"/>
            <color indexed="81"/>
            <rFont val="Tahoma"/>
            <family val="2"/>
          </rPr>
          <t>Kimberly Greenberger:</t>
        </r>
        <r>
          <rPr>
            <sz val="8"/>
            <color indexed="81"/>
            <rFont val="Tahoma"/>
            <family val="2"/>
          </rPr>
          <t xml:space="preserve">
prior est 4.651</t>
        </r>
      </text>
    </comment>
    <comment ref="I121" authorId="8">
      <text>
        <r>
          <rPr>
            <b/>
            <sz val="8"/>
            <color indexed="81"/>
            <rFont val="Tahoma"/>
            <family val="2"/>
          </rPr>
          <t>Corinna Freedman:</t>
        </r>
        <r>
          <rPr>
            <sz val="8"/>
            <color indexed="81"/>
            <rFont val="Tahoma"/>
            <family val="2"/>
          </rPr>
          <t xml:space="preserve">
774 US + 70 Canada</t>
        </r>
      </text>
    </comment>
    <comment ref="I122" authorId="8">
      <text>
        <r>
          <rPr>
            <b/>
            <sz val="8"/>
            <color indexed="81"/>
            <rFont val="Tahoma"/>
            <family val="2"/>
          </rPr>
          <t>Corinna Freedman:</t>
        </r>
        <r>
          <rPr>
            <sz val="8"/>
            <color indexed="81"/>
            <rFont val="Tahoma"/>
            <family val="2"/>
          </rPr>
          <t xml:space="preserve">
783 US &amp; 71 Canada</t>
        </r>
      </text>
    </comment>
    <comment ref="AO123" authorId="9">
      <text>
        <r>
          <rPr>
            <b/>
            <sz val="8"/>
            <color indexed="81"/>
            <rFont val="Tahoma"/>
            <family val="2"/>
          </rPr>
          <t>mm98285:</t>
        </r>
        <r>
          <rPr>
            <sz val="8"/>
            <color indexed="81"/>
            <rFont val="Tahoma"/>
            <family val="2"/>
          </rPr>
          <t xml:space="preserve">
50%</t>
        </r>
      </text>
    </comment>
    <comment ref="AO124" authorId="9">
      <text>
        <r>
          <rPr>
            <b/>
            <sz val="8"/>
            <color indexed="81"/>
            <rFont val="Tahoma"/>
            <family val="2"/>
          </rPr>
          <t>mm98285:</t>
        </r>
        <r>
          <rPr>
            <sz val="8"/>
            <color indexed="81"/>
            <rFont val="Tahoma"/>
            <family val="2"/>
          </rPr>
          <t xml:space="preserve">
online sales increased by over 50%</t>
        </r>
      </text>
    </comment>
    <comment ref="AO128" authorId="9">
      <text>
        <r>
          <rPr>
            <b/>
            <sz val="8"/>
            <color indexed="81"/>
            <rFont val="Tahoma"/>
            <family val="2"/>
          </rPr>
          <t>mm98285:</t>
        </r>
        <r>
          <rPr>
            <sz val="8"/>
            <color indexed="81"/>
            <rFont val="Tahoma"/>
            <family val="2"/>
          </rPr>
          <t xml:space="preserve">
45%</t>
        </r>
      </text>
    </comment>
    <comment ref="AO129" authorId="9">
      <text>
        <r>
          <rPr>
            <b/>
            <sz val="8"/>
            <color indexed="81"/>
            <rFont val="Tahoma"/>
            <family val="2"/>
          </rPr>
          <t>mm98285:</t>
        </r>
        <r>
          <rPr>
            <sz val="8"/>
            <color indexed="81"/>
            <rFont val="Tahoma"/>
            <family val="2"/>
          </rPr>
          <t xml:space="preserve">
53%</t>
        </r>
      </text>
    </comment>
    <comment ref="AO130" authorId="9">
      <text>
        <r>
          <rPr>
            <b/>
            <sz val="8"/>
            <color indexed="81"/>
            <rFont val="Tahoma"/>
            <family val="2"/>
          </rPr>
          <t>mm98285:</t>
        </r>
        <r>
          <rPr>
            <sz val="8"/>
            <color indexed="81"/>
            <rFont val="Tahoma"/>
            <family val="2"/>
          </rPr>
          <t xml:space="preserve">
43%</t>
        </r>
      </text>
    </comment>
    <comment ref="O131" authorId="10">
      <text>
        <r>
          <rPr>
            <b/>
            <sz val="8"/>
            <color indexed="81"/>
            <rFont val="Tahoma"/>
            <family val="2"/>
          </rPr>
          <t>MB33100:</t>
        </r>
        <r>
          <rPr>
            <sz val="8"/>
            <color indexed="81"/>
            <rFont val="Tahoma"/>
            <family val="2"/>
          </rPr>
          <t xml:space="preserve">
to account for 53rd week</t>
        </r>
      </text>
    </comment>
    <comment ref="R131" authorId="11">
      <text>
        <r>
          <rPr>
            <b/>
            <sz val="8"/>
            <color indexed="81"/>
            <rFont val="Tahoma"/>
            <family val="2"/>
          </rPr>
          <t>OC48540:</t>
        </r>
        <r>
          <rPr>
            <sz val="8"/>
            <color indexed="81"/>
            <rFont val="Tahoma"/>
            <family val="2"/>
          </rPr>
          <t xml:space="preserve">
STRIP OUT 45mm of est. sales to get to comparable productivity number in cell o138
We obtain our $836mm of retail store revenue in 4Q06 based on $973.4mm of GAAP 4Q06 sales less $92.6mm of 4Q06 estimated direct/internet sales less an estimated $45mm of
retail store sales for the week of October 29th to November 4th 2006.</t>
        </r>
      </text>
    </comment>
    <comment ref="AO132" authorId="9">
      <text>
        <r>
          <rPr>
            <b/>
            <sz val="8"/>
            <color indexed="81"/>
            <rFont val="Tahoma"/>
            <family val="2"/>
          </rPr>
          <t>mm98285:</t>
        </r>
        <r>
          <rPr>
            <sz val="8"/>
            <color indexed="81"/>
            <rFont val="Tahoma"/>
            <family val="2"/>
          </rPr>
          <t xml:space="preserve">
48%</t>
        </r>
      </text>
    </comment>
    <comment ref="AO135" authorId="9">
      <text>
        <r>
          <rPr>
            <b/>
            <sz val="8"/>
            <color indexed="81"/>
            <rFont val="Tahoma"/>
            <family val="2"/>
          </rPr>
          <t>mm98285:</t>
        </r>
        <r>
          <rPr>
            <sz val="8"/>
            <color indexed="81"/>
            <rFont val="Tahoma"/>
            <family val="2"/>
          </rPr>
          <t xml:space="preserve">
5/07: AE.com increased 24% in April
4/07: AE.com increased 35% in March
3/07: AE.com increased 39% in February </t>
        </r>
      </text>
    </comment>
    <comment ref="I136" authorId="9">
      <text>
        <r>
          <rPr>
            <b/>
            <sz val="8"/>
            <color indexed="81"/>
            <rFont val="Tahoma"/>
            <family val="2"/>
          </rPr>
          <t>mm98285:</t>
        </r>
        <r>
          <rPr>
            <sz val="8"/>
            <color indexed="81"/>
            <rFont val="Tahoma"/>
            <family val="2"/>
          </rPr>
          <t xml:space="preserve">
919 AE (includes 5 aerie stand alones), 9 M+O</t>
        </r>
      </text>
    </comment>
    <comment ref="O136" authorId="9">
      <text>
        <r>
          <rPr>
            <b/>
            <sz val="8"/>
            <color indexed="81"/>
            <rFont val="Tahoma"/>
            <family val="2"/>
          </rPr>
          <t>mm98285:</t>
        </r>
        <r>
          <rPr>
            <sz val="8"/>
            <color indexed="81"/>
            <rFont val="Tahoma"/>
            <family val="2"/>
          </rPr>
          <t xml:space="preserve">
5/07: shifted ~20mm sales out of 3Q into 2Q given calendar shift</t>
        </r>
      </text>
    </comment>
    <comment ref="AO136" authorId="9">
      <text>
        <r>
          <rPr>
            <b/>
            <sz val="8"/>
            <color indexed="81"/>
            <rFont val="Tahoma"/>
            <family val="2"/>
          </rPr>
          <t>mm98285:</t>
        </r>
        <r>
          <rPr>
            <sz val="8"/>
            <color indexed="81"/>
            <rFont val="Tahoma"/>
            <family val="2"/>
          </rPr>
          <t xml:space="preserve">
2Q EPS call: AE.com increased 32%</t>
        </r>
      </text>
    </comment>
    <comment ref="I137" authorId="9">
      <text>
        <r>
          <rPr>
            <sz val="8"/>
            <color indexed="81"/>
            <rFont val="Tahoma"/>
            <family val="2"/>
          </rPr>
          <t>Added (see Store Adds):
Aug: 3 AE, 8 aerie, 2 M+O; Sept: 3 AE, 6 aerie, 2 M+O; Oct: 8 AE, 13 aerie, 1 M+O</t>
        </r>
        <r>
          <rPr>
            <b/>
            <sz val="8"/>
            <color indexed="81"/>
            <rFont val="Tahoma"/>
            <family val="2"/>
          </rPr>
          <t xml:space="preserve">
mm98285:</t>
        </r>
        <r>
          <rPr>
            <sz val="8"/>
            <color indexed="81"/>
            <rFont val="Tahoma"/>
            <family val="2"/>
          </rPr>
          <t xml:space="preserve">
853 AE in US., 75 in Canada, 32 aerie, 14 M+O
8/07: opening 23 aerie stores in 3Q</t>
        </r>
      </text>
    </comment>
    <comment ref="AO137" authorId="9">
      <text>
        <r>
          <rPr>
            <b/>
            <sz val="8"/>
            <color indexed="81"/>
            <rFont val="Tahoma"/>
            <family val="2"/>
          </rPr>
          <t>mm98285:</t>
        </r>
        <r>
          <rPr>
            <sz val="8"/>
            <color indexed="81"/>
            <rFont val="Tahoma"/>
            <family val="2"/>
          </rPr>
          <t xml:space="preserve">
Aug. +38%
Sept +20%
Oct +31%</t>
        </r>
      </text>
    </comment>
    <comment ref="O138" authorId="10">
      <text>
        <r>
          <rPr>
            <b/>
            <sz val="8"/>
            <color indexed="81"/>
            <rFont val="Tahoma"/>
            <family val="2"/>
          </rPr>
          <t>MB33100:</t>
        </r>
        <r>
          <rPr>
            <sz val="8"/>
            <color indexed="81"/>
            <rFont val="Tahoma"/>
            <family val="2"/>
          </rPr>
          <t xml:space="preserve">
to account for 53rd week</t>
        </r>
      </text>
    </comment>
    <comment ref="R138" authorId="11">
      <text>
        <r>
          <rPr>
            <b/>
            <sz val="8"/>
            <color indexed="81"/>
            <rFont val="Tahoma"/>
            <family val="2"/>
          </rPr>
          <t>OC48540:</t>
        </r>
        <r>
          <rPr>
            <sz val="8"/>
            <color indexed="81"/>
            <rFont val="Tahoma"/>
            <family val="2"/>
          </rPr>
          <t xml:space="preserve">
2006's 53rd week = ~$45mm</t>
        </r>
      </text>
    </comment>
    <comment ref="AO138" authorId="9">
      <text>
        <r>
          <rPr>
            <b/>
            <sz val="8"/>
            <color indexed="81"/>
            <rFont val="Tahoma"/>
            <family val="2"/>
          </rPr>
          <t>mm98285:</t>
        </r>
        <r>
          <rPr>
            <sz val="8"/>
            <color indexed="81"/>
            <rFont val="Tahoma"/>
            <family val="2"/>
          </rPr>
          <t xml:space="preserve">
Nov +42%
Dec +22%
Jan +37%</t>
        </r>
      </text>
    </comment>
    <comment ref="AM139" authorId="11">
      <text>
        <r>
          <rPr>
            <b/>
            <sz val="8"/>
            <color indexed="81"/>
            <rFont val="Tahoma"/>
            <family val="2"/>
          </rPr>
          <t>3/08:</t>
        </r>
        <r>
          <rPr>
            <sz val="8"/>
            <color indexed="81"/>
            <rFont val="Tahoma"/>
            <family val="2"/>
          </rPr>
          <t xml:space="preserve">
In 2007, AEO direct delivered over $240 million in sales a 30% increase over the prior year</t>
        </r>
      </text>
    </comment>
    <comment ref="O142" authorId="12">
      <text>
        <r>
          <rPr>
            <b/>
            <sz val="8"/>
            <color indexed="81"/>
            <rFont val="Tahoma"/>
            <family val="2"/>
          </rPr>
          <t>kg51925:</t>
        </r>
        <r>
          <rPr>
            <sz val="8"/>
            <color indexed="81"/>
            <rFont val="Tahoma"/>
            <family val="2"/>
          </rPr>
          <t xml:space="preserve">
11/27/07 lowered all '08 to 60% given 3Q07 deterioriated to 60%
8/07 weighted 75% productivity as assume 30 AE stores at 100%, 10 M&amp;O stores at 50%, and 50 aerie stores at 65% productivity</t>
        </r>
      </text>
    </comment>
    <comment ref="AO142" authorId="11">
      <text>
        <r>
          <rPr>
            <b/>
            <sz val="8"/>
            <color indexed="81"/>
            <rFont val="Tahoma"/>
            <family val="2"/>
          </rPr>
          <t>OC48540:</t>
        </r>
        <r>
          <rPr>
            <sz val="8"/>
            <color indexed="81"/>
            <rFont val="Tahoma"/>
            <family val="2"/>
          </rPr>
          <t xml:space="preserve">
AE.com: +32% in Feb.
+15% in Mar
+44% in April</t>
        </r>
      </text>
    </comment>
    <comment ref="O143" authorId="12">
      <text>
        <r>
          <rPr>
            <b/>
            <sz val="8"/>
            <color indexed="81"/>
            <rFont val="Tahoma"/>
            <family val="2"/>
          </rPr>
          <t>If subtract $20mm from 2Q07, productivity was 201 LY and 71  TY.
kg51925:</t>
        </r>
        <r>
          <rPr>
            <sz val="8"/>
            <color indexed="81"/>
            <rFont val="Tahoma"/>
            <family val="2"/>
          </rPr>
          <t xml:space="preserve">
11/27/07 lowered all '08 to 60% given 3Q07 deterioriated to 60%
8/07 weighted 75% productivity as assume 30 AE stores at 100%, 10 M&amp;O stores at 50%, and 50 aerie stores at 65% productivity</t>
        </r>
      </text>
    </comment>
    <comment ref="AO143" authorId="11">
      <text>
        <r>
          <rPr>
            <b/>
            <sz val="8"/>
            <color indexed="81"/>
            <rFont val="Tahoma"/>
            <family val="2"/>
          </rPr>
          <t>OC48540:</t>
        </r>
        <r>
          <rPr>
            <sz val="8"/>
            <color indexed="81"/>
            <rFont val="Tahoma"/>
            <family val="2"/>
          </rPr>
          <t xml:space="preserve">
AE.com +24% in May
AE.com +20% in June
AE.com +21% in July</t>
        </r>
      </text>
    </comment>
    <comment ref="O144" authorId="12">
      <text>
        <r>
          <rPr>
            <b/>
            <sz val="8"/>
            <color indexed="81"/>
            <rFont val="Tahoma"/>
            <family val="2"/>
          </rPr>
          <t>kg51925:</t>
        </r>
        <r>
          <rPr>
            <sz val="8"/>
            <color indexed="81"/>
            <rFont val="Tahoma"/>
            <family val="2"/>
          </rPr>
          <t xml:space="preserve">
11/27/07 lowered all '08 to 60% given 3Q07 deterioriated to 60%
8/07 weighted 75% productivity as assume 30 AE stores at 100%, 10 M&amp;O stores at 50%, and 50 aerie stores at 65% productivity</t>
        </r>
      </text>
    </comment>
    <comment ref="AO144" authorId="13">
      <text>
        <r>
          <rPr>
            <b/>
            <sz val="8"/>
            <color indexed="81"/>
            <rFont val="Tahoma"/>
            <family val="2"/>
          </rPr>
          <t>TI23070:</t>
        </r>
        <r>
          <rPr>
            <sz val="8"/>
            <color indexed="81"/>
            <rFont val="Tahoma"/>
            <family val="2"/>
          </rPr>
          <t xml:space="preserve">
October: +37% - 77kids: very positive initial costomer response
September: +33%
August: +36% (+visits, +conv.)
Oct: +37%</t>
        </r>
      </text>
    </comment>
    <comment ref="E145" authorId="13">
      <text>
        <r>
          <rPr>
            <b/>
            <sz val="8"/>
            <color indexed="81"/>
            <rFont val="Tahoma"/>
            <family val="2"/>
          </rPr>
          <t>TI23070:</t>
        </r>
        <r>
          <rPr>
            <sz val="8"/>
            <color indexed="81"/>
            <rFont val="Tahoma"/>
            <family val="2"/>
          </rPr>
          <t xml:space="preserve">
12/4/08:-DD</t>
        </r>
      </text>
    </comment>
    <comment ref="O145" authorId="12">
      <text>
        <r>
          <rPr>
            <b/>
            <sz val="8"/>
            <color indexed="81"/>
            <rFont val="Tahoma"/>
            <family val="2"/>
          </rPr>
          <t>kg51925:</t>
        </r>
        <r>
          <rPr>
            <sz val="8"/>
            <color indexed="81"/>
            <rFont val="Tahoma"/>
            <family val="2"/>
          </rPr>
          <t xml:space="preserve">
11/27/07 lowered all '08 to 60% given 3Q07 deterioriated to 60%
8/07 weighted 75% productivity as assume 30 AE stores at 100%, 10 M&amp;O stores at 50%, and 50 aerie stores at 65% productivity</t>
        </r>
      </text>
    </comment>
    <comment ref="AO145" authorId="13">
      <text>
        <r>
          <rPr>
            <b/>
            <sz val="8"/>
            <color indexed="81"/>
            <rFont val="Tahoma"/>
            <family val="2"/>
          </rPr>
          <t xml:space="preserve">TI23070 </t>
        </r>
        <r>
          <rPr>
            <sz val="8"/>
            <color indexed="81"/>
            <rFont val="Tahoma"/>
            <family val="2"/>
          </rPr>
          <t>Internet:
January: +20%
December: +37%
November: +20% (TG doubled vs. LY
Jan: +20%</t>
        </r>
      </text>
    </comment>
    <comment ref="I149" authorId="14">
      <text>
        <r>
          <rPr>
            <b/>
            <sz val="8"/>
            <color indexed="81"/>
            <rFont val="Tahoma"/>
            <family val="2"/>
          </rPr>
          <t>oc48540:</t>
        </r>
        <r>
          <rPr>
            <sz val="8"/>
            <color indexed="81"/>
            <rFont val="Tahoma"/>
            <family val="2"/>
          </rPr>
          <t xml:space="preserve">
opened 18
closed 6</t>
        </r>
      </text>
    </comment>
    <comment ref="O149" authorId="12">
      <text>
        <r>
          <rPr>
            <b/>
            <sz val="8"/>
            <color indexed="81"/>
            <rFont val="Tahoma"/>
            <family val="2"/>
          </rPr>
          <t>kg51925:</t>
        </r>
        <r>
          <rPr>
            <sz val="8"/>
            <color indexed="81"/>
            <rFont val="Tahoma"/>
            <family val="2"/>
          </rPr>
          <t xml:space="preserve">
11/27/07 lowered all '08 to 60% given 3Q07 deterioriated to 60%
8/07 weighted 75% productivity as assume 30 AE stores at 100%, 10 M&amp;O stores at 50%, and 50 aerie stores at 65% productivity</t>
        </r>
      </text>
    </comment>
    <comment ref="X149" authorId="15">
      <text>
        <r>
          <rPr>
            <b/>
            <sz val="8"/>
            <color indexed="81"/>
            <rFont val="Tahoma"/>
            <family val="2"/>
          </rPr>
          <t>lr73192:</t>
        </r>
        <r>
          <rPr>
            <sz val="8"/>
            <color indexed="81"/>
            <rFont val="Tahoma"/>
            <family val="2"/>
          </rPr>
          <t xml:space="preserve">
6/10: Adjusted out M+O square footage (188,504)</t>
        </r>
      </text>
    </comment>
    <comment ref="AO149" authorId="13">
      <text>
        <r>
          <rPr>
            <b/>
            <sz val="8"/>
            <color indexed="81"/>
            <rFont val="Tahoma"/>
            <family val="2"/>
          </rPr>
          <t>TI23070:</t>
        </r>
        <r>
          <rPr>
            <sz val="8"/>
            <color indexed="81"/>
            <rFont val="Tahoma"/>
            <family val="2"/>
          </rPr>
          <t xml:space="preserve">
February +47% (traffic &amp; conversion up vs. LY)
March: +23%
April: +13% </t>
        </r>
      </text>
    </comment>
    <comment ref="X150" authorId="15">
      <text>
        <r>
          <rPr>
            <b/>
            <sz val="8"/>
            <color indexed="81"/>
            <rFont val="Tahoma"/>
            <family val="2"/>
          </rPr>
          <t>lr73192:</t>
        </r>
        <r>
          <rPr>
            <sz val="8"/>
            <color indexed="81"/>
            <rFont val="Tahoma"/>
            <family val="2"/>
          </rPr>
          <t xml:space="preserve">
6/10: Adjusted out M+O square footage (188,504)</t>
        </r>
      </text>
    </comment>
    <comment ref="AO150" authorId="13">
      <text>
        <r>
          <rPr>
            <b/>
            <sz val="8"/>
            <color indexed="81"/>
            <rFont val="Tahoma"/>
            <family val="2"/>
          </rPr>
          <t>TI23070:</t>
        </r>
        <r>
          <rPr>
            <sz val="8"/>
            <color indexed="81"/>
            <rFont val="Tahoma"/>
            <family val="2"/>
          </rPr>
          <t xml:space="preserve">
May +7% (increases traffic), below plan, site down 1 day on platform upgrade
June =24%
July = +17% (on higher traffic and conversion)
</t>
        </r>
      </text>
    </comment>
    <comment ref="X151" authorId="15">
      <text>
        <r>
          <rPr>
            <b/>
            <sz val="8"/>
            <color indexed="81"/>
            <rFont val="Tahoma"/>
            <family val="2"/>
          </rPr>
          <t>lr73192:</t>
        </r>
        <r>
          <rPr>
            <sz val="8"/>
            <color indexed="81"/>
            <rFont val="Tahoma"/>
            <family val="2"/>
          </rPr>
          <t xml:space="preserve">
6/10: Adjusted out M+O square footage (188,504)</t>
        </r>
      </text>
    </comment>
    <comment ref="AO151" authorId="13">
      <text>
        <r>
          <rPr>
            <b/>
            <sz val="8"/>
            <color indexed="81"/>
            <rFont val="Tahoma"/>
            <family val="2"/>
          </rPr>
          <t>TI23070:</t>
        </r>
        <r>
          <rPr>
            <sz val="8"/>
            <color indexed="81"/>
            <rFont val="Tahoma"/>
            <family val="2"/>
          </rPr>
          <t xml:space="preserve">
Direct/Web sales:
August: +LSD vs +30% LY.
September: +13%
October: +16-17%</t>
        </r>
      </text>
    </comment>
    <comment ref="X152" authorId="15">
      <text>
        <r>
          <rPr>
            <b/>
            <sz val="8"/>
            <color indexed="81"/>
            <rFont val="Tahoma"/>
            <family val="2"/>
          </rPr>
          <t>lr73192:</t>
        </r>
        <r>
          <rPr>
            <sz val="8"/>
            <color indexed="81"/>
            <rFont val="Tahoma"/>
            <family val="2"/>
          </rPr>
          <t xml:space="preserve">
6/10: Adjusted out M+O square footage (188,504)</t>
        </r>
      </text>
    </comment>
    <comment ref="AO152" authorId="13">
      <text>
        <r>
          <rPr>
            <b/>
            <sz val="8"/>
            <color indexed="81"/>
            <rFont val="Tahoma"/>
            <family val="2"/>
          </rPr>
          <t>TI23070:</t>
        </r>
        <r>
          <rPr>
            <sz val="8"/>
            <color indexed="81"/>
            <rFont val="Tahoma"/>
            <family val="2"/>
          </rPr>
          <t xml:space="preserve">
Direct/web sales:
Nov -9%
Dec +4%
Jan +22%</t>
        </r>
      </text>
    </comment>
    <comment ref="E156" authorId="15">
      <text>
        <r>
          <rPr>
            <b/>
            <sz val="8"/>
            <color indexed="81"/>
            <rFont val="Tahoma"/>
            <family val="2"/>
          </rPr>
          <t>lr73192:</t>
        </r>
        <r>
          <rPr>
            <sz val="8"/>
            <color indexed="81"/>
            <rFont val="Tahoma"/>
            <family val="2"/>
          </rPr>
          <t xml:space="preserve">
4/10: 7.5%</t>
        </r>
      </text>
    </comment>
    <comment ref="I156" authorId="16">
      <text>
        <r>
          <rPr>
            <b/>
            <sz val="8"/>
            <color indexed="81"/>
            <rFont val="Tahoma"/>
            <family val="2"/>
          </rPr>
          <t xml:space="preserve">lr73192:
</t>
        </r>
        <r>
          <rPr>
            <sz val="8"/>
            <color indexed="81"/>
            <rFont val="Tahoma"/>
            <family val="2"/>
          </rPr>
          <t>Opened 5 AE, 2 aerie, closed 5 AE stores</t>
        </r>
        <r>
          <rPr>
            <b/>
            <sz val="8"/>
            <color indexed="81"/>
            <rFont val="Tahoma"/>
            <family val="2"/>
          </rPr>
          <t xml:space="preserve">
ns66486:</t>
        </r>
        <r>
          <rPr>
            <sz val="8"/>
            <color indexed="81"/>
            <rFont val="Tahoma"/>
            <family val="2"/>
          </rPr>
          <t xml:space="preserve">
assume close 10 M+O, add 6 aerie, 4 AE, close 3 AE</t>
        </r>
      </text>
    </comment>
    <comment ref="X156" authorId="15">
      <text>
        <r>
          <rPr>
            <b/>
            <sz val="8"/>
            <color indexed="81"/>
            <rFont val="Tahoma"/>
            <family val="2"/>
          </rPr>
          <t>lr73192:</t>
        </r>
        <r>
          <rPr>
            <sz val="8"/>
            <color indexed="81"/>
            <rFont val="Tahoma"/>
            <family val="2"/>
          </rPr>
          <t xml:space="preserve">
6/10: Adjusted out M+O square footage (188,504)</t>
        </r>
      </text>
    </comment>
    <comment ref="AM156" authorId="15">
      <text>
        <r>
          <rPr>
            <b/>
            <sz val="8"/>
            <color indexed="81"/>
            <rFont val="Tahoma"/>
            <family val="2"/>
          </rPr>
          <t>lr73192:</t>
        </r>
        <r>
          <rPr>
            <sz val="8"/>
            <color indexed="81"/>
            <rFont val="Tahoma"/>
            <family val="2"/>
          </rPr>
          <t xml:space="preserve">
5/26/10: "closer to $70M"</t>
        </r>
      </text>
    </comment>
    <comment ref="AO156" authorId="13">
      <text>
        <r>
          <rPr>
            <b/>
            <sz val="8"/>
            <color indexed="81"/>
            <rFont val="Tahoma"/>
            <family val="2"/>
          </rPr>
          <t>TI23070:</t>
        </r>
        <r>
          <rPr>
            <sz val="8"/>
            <color indexed="81"/>
            <rFont val="Tahoma"/>
            <family val="2"/>
          </rPr>
          <t xml:space="preserve">
Direct/web sales:
February: -14% (weighted ~30%)
March +13% (weighted ~40%)
April +7% (weighted 30%)</t>
        </r>
      </text>
    </comment>
    <comment ref="I157" authorId="16">
      <text>
        <r>
          <rPr>
            <sz val="8"/>
            <color indexed="81"/>
            <rFont val="Tahoma"/>
            <family val="2"/>
          </rPr>
          <t>opened 1 AE, 5 aerie, 5 767 kids, closed 5 AE, 28 M+O</t>
        </r>
        <r>
          <rPr>
            <b/>
            <sz val="8"/>
            <color indexed="81"/>
            <rFont val="Tahoma"/>
            <family val="2"/>
          </rPr>
          <t xml:space="preserve">
</t>
        </r>
        <r>
          <rPr>
            <sz val="8"/>
            <color indexed="81"/>
            <rFont val="Tahoma"/>
            <family val="2"/>
          </rPr>
          <t>assume close 18 M+O, add 4 aerie, 3 AE, close 2 AE</t>
        </r>
      </text>
    </comment>
    <comment ref="AM157" authorId="17">
      <text>
        <r>
          <rPr>
            <b/>
            <sz val="8"/>
            <color indexed="81"/>
            <rFont val="Tahoma"/>
            <family val="2"/>
          </rPr>
          <t>nicholjs:</t>
        </r>
        <r>
          <rPr>
            <sz val="8"/>
            <color indexed="81"/>
            <rFont val="Tahoma"/>
            <family val="2"/>
          </rPr>
          <t xml:space="preserve">
lighter than the 1st qtr</t>
        </r>
      </text>
    </comment>
    <comment ref="AO157" authorId="13">
      <text>
        <r>
          <rPr>
            <sz val="8"/>
            <color indexed="81"/>
            <rFont val="Tahoma"/>
            <family val="2"/>
          </rPr>
          <t xml:space="preserve">
1/3 of decline related to website outages
Direct web sales:
May -LSD</t>
        </r>
      </text>
    </comment>
    <comment ref="E158" authorId="17">
      <text>
        <r>
          <rPr>
            <b/>
            <sz val="8"/>
            <color indexed="81"/>
            <rFont val="Tahoma"/>
            <family val="2"/>
          </rPr>
          <t>nicholjs:</t>
        </r>
        <r>
          <rPr>
            <sz val="8"/>
            <color indexed="81"/>
            <rFont val="Tahoma"/>
            <family val="2"/>
          </rPr>
          <t xml:space="preserve">
8/10: expect flat to down -LSD, August MTD 8/25 was +1%</t>
        </r>
      </text>
    </comment>
    <comment ref="I158" authorId="16">
      <text>
        <r>
          <rPr>
            <b/>
            <sz val="8"/>
            <color indexed="81"/>
            <rFont val="Tahoma"/>
            <family val="2"/>
          </rPr>
          <t>ns66486:</t>
        </r>
        <r>
          <rPr>
            <sz val="8"/>
            <color indexed="81"/>
            <rFont val="Tahoma"/>
            <family val="2"/>
          </rPr>
          <t xml:space="preserve">
+5 AE, +3 aerie, +2 77kids, close -4 AE
assume add 2 aerie, 4 AE, 2 77kids, close 5 AE</t>
        </r>
      </text>
    </comment>
    <comment ref="AM158" authorId="17">
      <text>
        <r>
          <rPr>
            <b/>
            <sz val="8"/>
            <color indexed="81"/>
            <rFont val="Tahoma"/>
            <family val="2"/>
          </rPr>
          <t>nicholjs:</t>
        </r>
        <r>
          <rPr>
            <sz val="8"/>
            <color indexed="81"/>
            <rFont val="Tahoma"/>
            <family val="2"/>
          </rPr>
          <t xml:space="preserve">
strongest after 4Q</t>
        </r>
      </text>
    </comment>
    <comment ref="AO158" authorId="17">
      <text>
        <r>
          <rPr>
            <b/>
            <sz val="8"/>
            <color indexed="81"/>
            <rFont val="Tahoma"/>
            <family val="2"/>
          </rPr>
          <t>nicholjs:</t>
        </r>
        <r>
          <rPr>
            <sz val="8"/>
            <color indexed="81"/>
            <rFont val="Tahoma"/>
            <family val="2"/>
          </rPr>
          <t xml:space="preserve">
11/2010: sales decreased -2%, compared to a +9% increase LY driven by increased traffic and higher conversion due to promotional activity;
decreased promos resulted in higher margins and profitability</t>
        </r>
      </text>
    </comment>
    <comment ref="I159" authorId="16">
      <text>
        <r>
          <rPr>
            <b/>
            <sz val="8"/>
            <color indexed="81"/>
            <rFont val="Tahoma"/>
            <family val="2"/>
          </rPr>
          <t xml:space="preserve">ns66486:
</t>
        </r>
        <r>
          <rPr>
            <sz val="8"/>
            <color indexed="81"/>
            <rFont val="Tahoma"/>
            <family val="2"/>
          </rPr>
          <t>929 ae stores, 148 aerie, 9 77 kids</t>
        </r>
        <r>
          <rPr>
            <sz val="8"/>
            <color indexed="81"/>
            <rFont val="Tahoma"/>
            <family val="2"/>
          </rPr>
          <t xml:space="preserve">
11/2010: assume +3 AE, +1 aerie, +2 77 kids, close 1-11 AE stores
store closings that are planned of any substantial number will be taken in 2012 and 2013. And theycould be anywhere between 65 to 100. But it is all pending lease discussions with the landlords, and so it's a very dynamic number that it is very difficult to pin down and say specifically it is going to be this number or that. But we will have store closings
at a greater rate than we have ever in the past.</t>
        </r>
      </text>
    </comment>
    <comment ref="AM159" authorId="17">
      <text>
        <r>
          <rPr>
            <b/>
            <sz val="8"/>
            <color indexed="81"/>
            <rFont val="Tahoma"/>
            <family val="2"/>
          </rPr>
          <t>nicholjs:</t>
        </r>
        <r>
          <rPr>
            <sz val="8"/>
            <color indexed="81"/>
            <rFont val="Tahoma"/>
            <family val="2"/>
          </rPr>
          <t xml:space="preserve">
130ish</t>
        </r>
      </text>
    </comment>
    <comment ref="AO159" authorId="17">
      <text>
        <r>
          <rPr>
            <b/>
            <sz val="8"/>
            <color indexed="81"/>
            <rFont val="Tahoma"/>
            <family val="2"/>
          </rPr>
          <t>nicholjs:</t>
        </r>
        <r>
          <rPr>
            <sz val="8"/>
            <color indexed="81"/>
            <rFont val="Tahoma"/>
            <family val="2"/>
          </rPr>
          <t xml:space="preserve">
November +HSD
December +LDD
January down (a lot less clearance, changed promotional cadence, some biz will flow into February)
11/2010: expect modest growth</t>
        </r>
      </text>
    </comment>
    <comment ref="AM160" authorId="18">
      <text>
        <r>
          <rPr>
            <b/>
            <sz val="8"/>
            <color indexed="81"/>
            <rFont val="Tahoma"/>
            <family val="2"/>
          </rPr>
          <t xml:space="preserve">3/7/12: </t>
        </r>
        <r>
          <rPr>
            <sz val="8"/>
            <color indexed="81"/>
            <rFont val="Tahoma"/>
            <family val="2"/>
          </rPr>
          <t>$334M verified</t>
        </r>
        <r>
          <rPr>
            <b/>
            <sz val="8"/>
            <color indexed="81"/>
            <rFont val="Tahoma"/>
            <family val="2"/>
          </rPr>
          <t xml:space="preserve">
marchant:</t>
        </r>
        <r>
          <rPr>
            <sz val="8"/>
            <color indexed="81"/>
            <rFont val="Tahoma"/>
            <family val="2"/>
          </rPr>
          <t xml:space="preserve">
sales flat at $334mm
10/10: running ~$350M</t>
        </r>
      </text>
    </comment>
    <comment ref="I163" authorId="17">
      <text>
        <r>
          <rPr>
            <b/>
            <sz val="8"/>
            <color indexed="81"/>
            <rFont val="Tahoma"/>
            <family val="2"/>
          </rPr>
          <t xml:space="preserve">8/22/2012: </t>
        </r>
        <r>
          <rPr>
            <sz val="8"/>
            <color indexed="81"/>
            <rFont val="Tahoma"/>
            <family val="2"/>
          </rPr>
          <t>was 1,087 incl 77 kids</t>
        </r>
        <r>
          <rPr>
            <b/>
            <sz val="8"/>
            <color indexed="81"/>
            <rFont val="Tahoma"/>
            <family val="2"/>
          </rPr>
          <t xml:space="preserve">
nicholjs:</t>
        </r>
        <r>
          <rPr>
            <sz val="8"/>
            <color indexed="81"/>
            <rFont val="Tahoma"/>
            <family val="2"/>
          </rPr>
          <t xml:space="preserve">
930 ae stores, 150 aerie, 18 77kids
+6 77 kids, +3 AE, +2 aerie stores.  Remodeled 32 stores.  Closed 1 AE store.
Had 5 international franchise stores at end of 1Q11 (vs. 2 LY) in Dubai, Kuwait City and Hong Kong
Looking to close 65-100 stores</t>
        </r>
      </text>
    </comment>
    <comment ref="AO163" authorId="17">
      <text>
        <r>
          <rPr>
            <b/>
            <sz val="8"/>
            <color indexed="81"/>
            <rFont val="Tahoma"/>
            <family val="2"/>
          </rPr>
          <t>nicholjs:</t>
        </r>
        <r>
          <rPr>
            <sz val="8"/>
            <color indexed="81"/>
            <rFont val="Tahoma"/>
            <family val="2"/>
          </rPr>
          <t xml:space="preserve">
Up LSD. Continues to be a very strong profit performer.
higher transactions driven by improved conversion</t>
        </r>
      </text>
    </comment>
    <comment ref="E164" authorId="19">
      <text>
        <r>
          <rPr>
            <b/>
            <sz val="8"/>
            <color indexed="81"/>
            <rFont val="Tahoma"/>
            <family val="2"/>
          </rPr>
          <t xml:space="preserve">8/22/2012: </t>
        </r>
        <r>
          <rPr>
            <sz val="8"/>
            <color indexed="81"/>
            <rFont val="Tahoma"/>
            <family val="2"/>
          </rPr>
          <t>+1% Ex 77 kids (was flat previously)</t>
        </r>
      </text>
    </comment>
    <comment ref="I164" authorId="17">
      <text>
        <r>
          <rPr>
            <b/>
            <sz val="8"/>
            <color indexed="81"/>
            <rFont val="Tahoma"/>
            <family val="2"/>
          </rPr>
          <t xml:space="preserve">8/22/2012: </t>
        </r>
        <r>
          <rPr>
            <sz val="8"/>
            <color indexed="81"/>
            <rFont val="Tahoma"/>
            <family val="2"/>
          </rPr>
          <t xml:space="preserve">Excludes 21 "77 kids" stores
</t>
        </r>
        <r>
          <rPr>
            <b/>
            <sz val="8"/>
            <color indexed="81"/>
            <rFont val="Tahoma"/>
            <family val="2"/>
          </rPr>
          <t xml:space="preserve">
nicholjs:</t>
        </r>
        <r>
          <rPr>
            <sz val="8"/>
            <color indexed="81"/>
            <rFont val="Tahoma"/>
            <family val="2"/>
          </rPr>
          <t xml:space="preserve">
931 US and Canada AE stores, 151 aerie stand alone stores, 21 77 kids stores.
Also have 9 international franchise stores.</t>
        </r>
      </text>
    </comment>
    <comment ref="AO164" authorId="20">
      <text>
        <r>
          <rPr>
            <b/>
            <sz val="8"/>
            <color indexed="81"/>
            <rFont val="Tahoma"/>
            <family val="2"/>
          </rPr>
          <t xml:space="preserve">8/22/2012: </t>
        </r>
        <r>
          <rPr>
            <sz val="8"/>
            <color indexed="81"/>
            <rFont val="Tahoma"/>
            <family val="2"/>
          </rPr>
          <t>+17%</t>
        </r>
        <r>
          <rPr>
            <b/>
            <sz val="8"/>
            <color indexed="81"/>
            <rFont val="Tahoma"/>
            <family val="2"/>
          </rPr>
          <t xml:space="preserve">
sancfa:</t>
        </r>
        <r>
          <rPr>
            <sz val="8"/>
            <color indexed="81"/>
            <rFont val="Tahoma"/>
            <family val="2"/>
          </rPr>
          <t xml:space="preserve">
AE Direct sales were driven by new fall merchandise and upgrades to our website, which drove increased traffic and conversion.</t>
        </r>
      </text>
    </comment>
    <comment ref="E165" authorId="0">
      <text>
        <r>
          <rPr>
            <b/>
            <sz val="8"/>
            <color indexed="81"/>
            <rFont val="Tahoma"/>
            <family val="2"/>
          </rPr>
          <t>kahng:</t>
        </r>
        <r>
          <rPr>
            <sz val="8"/>
            <color indexed="81"/>
            <rFont val="Tahoma"/>
            <family val="2"/>
          </rPr>
          <t xml:space="preserve">
8% comp for aerie</t>
        </r>
      </text>
    </comment>
    <comment ref="I165" authorId="17">
      <text>
        <r>
          <rPr>
            <b/>
            <sz val="8"/>
            <color indexed="81"/>
            <rFont val="Tahoma"/>
            <family val="2"/>
          </rPr>
          <t>solejay:</t>
        </r>
        <r>
          <rPr>
            <sz val="8"/>
            <color indexed="81"/>
            <rFont val="Tahoma"/>
            <family val="2"/>
          </rPr>
          <t xml:space="preserve">
937 US and Canada AE stores, 158 aerie stand alone stores, 21 77 kids stores.
Closing 75-100 stores in 2012, 2013</t>
        </r>
      </text>
    </comment>
    <comment ref="AO165" authorId="21">
      <text>
        <r>
          <rPr>
            <b/>
            <sz val="8"/>
            <color indexed="81"/>
            <rFont val="Tahoma"/>
            <family val="2"/>
          </rPr>
          <t>kimberlg:</t>
        </r>
        <r>
          <rPr>
            <sz val="8"/>
            <color indexed="81"/>
            <rFont val="Tahoma"/>
            <family val="2"/>
          </rPr>
          <t xml:space="preserve">
3/7/12: 3Q eComm sales hit record growing 21% due to increased traffic and conversion</t>
        </r>
      </text>
    </comment>
    <comment ref="C166" authorId="22">
      <text>
        <r>
          <rPr>
            <b/>
            <sz val="8"/>
            <color indexed="81"/>
            <rFont val="Tahoma"/>
            <family val="2"/>
          </rPr>
          <t>casselau:</t>
        </r>
        <r>
          <rPr>
            <sz val="8"/>
            <color indexed="81"/>
            <rFont val="Tahoma"/>
            <family val="2"/>
          </rPr>
          <t xml:space="preserve">
ADS -MSD, AUR -MSD, transactions +high-teens</t>
        </r>
      </text>
    </comment>
    <comment ref="E166" authorId="21">
      <text>
        <r>
          <rPr>
            <b/>
            <sz val="8"/>
            <color indexed="81"/>
            <rFont val="Tahoma"/>
            <family val="2"/>
          </rPr>
          <t>AE brand stores +10%, aerie stores +6%, AEO direct +19%; men's +12%, women's +11%
1/5/12: Comp +12% for first 2 months of the quarter.</t>
        </r>
        <r>
          <rPr>
            <sz val="8"/>
            <color indexed="81"/>
            <rFont val="Tahoma"/>
            <family val="2"/>
          </rPr>
          <t xml:space="preserve">  "The holiday season started strong with a nearly 20% increase in comparable store sales in November and record sales over Thanksgiving weekend, fueled by strong unit sales, with customers responding positively to the assortments and promotional events. During the important final two weeks of December, in a significantly more competitive environment, the company made a strategic decision to take a more aggressive promotional stance. While impacting margins, the decision enabled the company to generate strong unit sales, increase market share and achieve targeted inventory levels."</t>
        </r>
        <r>
          <rPr>
            <b/>
            <sz val="8"/>
            <color indexed="81"/>
            <rFont val="Tahoma"/>
            <family val="2"/>
          </rPr>
          <t xml:space="preserve">
11/30/2011 kimberlg:</t>
        </r>
        <r>
          <rPr>
            <sz val="8"/>
            <color indexed="81"/>
            <rFont val="Tahoma"/>
            <family val="2"/>
          </rPr>
          <t xml:space="preserve">
we think Nov comped up 19%</t>
        </r>
      </text>
    </comment>
    <comment ref="I166" authorId="0">
      <text>
        <r>
          <rPr>
            <b/>
            <sz val="8"/>
            <color indexed="81"/>
            <rFont val="Tahoma"/>
            <family val="2"/>
          </rPr>
          <t xml:space="preserve">8/22/2012: </t>
        </r>
        <r>
          <rPr>
            <sz val="8"/>
            <color indexed="81"/>
            <rFont val="Tahoma"/>
            <family val="2"/>
          </rPr>
          <t>was 1,090 (incl. 77 kids)</t>
        </r>
        <r>
          <rPr>
            <b/>
            <sz val="8"/>
            <color indexed="81"/>
            <rFont val="Tahoma"/>
            <family val="2"/>
          </rPr>
          <t xml:space="preserve">
3/7/12: 
</t>
        </r>
        <r>
          <rPr>
            <sz val="8"/>
            <color indexed="81"/>
            <rFont val="Tahoma"/>
            <family val="2"/>
          </rPr>
          <t>911 AE US and Canada (incl 62 outlet), 158 aerie, 21 77kids</t>
        </r>
      </text>
    </comment>
    <comment ref="AO166" authorId="21">
      <text>
        <r>
          <rPr>
            <b/>
            <sz val="8"/>
            <color indexed="81"/>
            <rFont val="Tahoma"/>
            <family val="2"/>
          </rPr>
          <t>kimberlg:</t>
        </r>
        <r>
          <rPr>
            <sz val="8"/>
            <color indexed="81"/>
            <rFont val="Tahoma"/>
            <family val="2"/>
          </rPr>
          <t xml:space="preserve">
3/7/12: in 4th quarter online sales increased 18% compared to 4% LY</t>
        </r>
      </text>
    </comment>
    <comment ref="C167" authorId="22">
      <text>
        <r>
          <rPr>
            <b/>
            <sz val="8"/>
            <color indexed="81"/>
            <rFont val="Tahoma"/>
            <family val="2"/>
          </rPr>
          <t>casselau:</t>
        </r>
        <r>
          <rPr>
            <sz val="8"/>
            <color indexed="81"/>
            <rFont val="Tahoma"/>
            <family val="2"/>
          </rPr>
          <t xml:space="preserve">
ADS +LSD, AUR + LSD, transactions +MSD</t>
        </r>
      </text>
    </comment>
    <comment ref="E167" authorId="22">
      <text>
        <r>
          <rPr>
            <b/>
            <sz val="8"/>
            <color indexed="81"/>
            <rFont val="Tahoma"/>
            <family val="2"/>
          </rPr>
          <t>AE brand stores +3%, aerie stores +2%, direct +16%, men's +5%, women's +4%</t>
        </r>
        <r>
          <rPr>
            <sz val="8"/>
            <color indexed="81"/>
            <rFont val="Tahoma"/>
            <family val="2"/>
          </rPr>
          <t xml:space="preserve">
</t>
        </r>
      </text>
    </comment>
    <comment ref="AM167" authorId="17">
      <text>
        <r>
          <rPr>
            <b/>
            <sz val="8"/>
            <color indexed="81"/>
            <rFont val="Tahoma"/>
            <family val="2"/>
          </rPr>
          <t xml:space="preserve">3/7/12: </t>
        </r>
        <r>
          <rPr>
            <sz val="8"/>
            <color indexed="81"/>
            <rFont val="Tahoma"/>
            <family val="2"/>
          </rPr>
          <t>FY eComm sales grew 15% to $385 vs $334 last year</t>
        </r>
        <r>
          <rPr>
            <sz val="8"/>
            <color indexed="81"/>
            <rFont val="Tahoma"/>
            <family val="2"/>
          </rPr>
          <t xml:space="preserve">
</t>
        </r>
        <r>
          <rPr>
            <b/>
            <sz val="8"/>
            <color indexed="81"/>
            <rFont val="Tahoma"/>
            <family val="2"/>
          </rPr>
          <t>11/2010:</t>
        </r>
        <r>
          <rPr>
            <sz val="8"/>
            <color indexed="81"/>
            <rFont val="Tahoma"/>
            <family val="2"/>
          </rPr>
          <t xml:space="preserve"> goal of achieving sales of ~$500mm (long term)</t>
        </r>
      </text>
    </comment>
    <comment ref="AO167" authorId="17">
      <text>
        <r>
          <rPr>
            <b/>
            <sz val="8"/>
            <color indexed="81"/>
            <rFont val="Tahoma"/>
            <family val="2"/>
          </rPr>
          <t xml:space="preserve">3/7/12: </t>
        </r>
        <r>
          <rPr>
            <sz val="8"/>
            <color indexed="81"/>
            <rFont val="Tahoma"/>
            <family val="2"/>
          </rPr>
          <t>FY eComm sales grew 15% to $385 vs $334 last year</t>
        </r>
        <r>
          <rPr>
            <sz val="8"/>
            <color indexed="81"/>
            <rFont val="Tahoma"/>
            <family val="2"/>
          </rPr>
          <t xml:space="preserve">
</t>
        </r>
        <r>
          <rPr>
            <b/>
            <sz val="8"/>
            <color indexed="81"/>
            <rFont val="Tahoma"/>
            <family val="2"/>
          </rPr>
          <t>11/2010:</t>
        </r>
        <r>
          <rPr>
            <sz val="8"/>
            <color indexed="81"/>
            <rFont val="Tahoma"/>
            <family val="2"/>
          </rPr>
          <t xml:space="preserve"> goal of achieving sales of ~$500mm (long term)</t>
        </r>
      </text>
    </comment>
    <comment ref="E170" authorId="0">
      <text>
        <r>
          <rPr>
            <b/>
            <sz val="8"/>
            <color indexed="81"/>
            <rFont val="Tahoma"/>
            <family val="2"/>
          </rPr>
          <t xml:space="preserve">5/1/12: </t>
        </r>
        <r>
          <rPr>
            <sz val="8"/>
            <color indexed="81"/>
            <rFont val="Tahoma"/>
            <family val="2"/>
          </rPr>
          <t>was at 7%, AEO preannc 1Q sales with 17% comp incl e-com. Estimating 16% excl e-com with 1% spread</t>
        </r>
        <r>
          <rPr>
            <b/>
            <sz val="8"/>
            <color indexed="81"/>
            <rFont val="Tahoma"/>
            <family val="2"/>
          </rPr>
          <t xml:space="preserve">
4/5/12: </t>
        </r>
        <r>
          <rPr>
            <sz val="8"/>
            <color indexed="81"/>
            <rFont val="Tahoma"/>
            <family val="2"/>
          </rPr>
          <t>was at 6%</t>
        </r>
        <r>
          <rPr>
            <b/>
            <sz val="8"/>
            <color indexed="81"/>
            <rFont val="Tahoma"/>
            <family val="2"/>
          </rPr>
          <t xml:space="preserve">
3/7/12 4Q: </t>
        </r>
        <r>
          <rPr>
            <sz val="8"/>
            <color indexed="81"/>
            <rFont val="Tahoma"/>
            <family val="2"/>
          </rPr>
          <t xml:space="preserve">Feb positive comps with well balanced selling of spring product and clearance. Was at 8%. Expect AURs to be down in 1Q but as they progress thru spring season, expect AUR to come back up a bit. Back half should see a little bit higher AURs as well
</t>
        </r>
      </text>
    </comment>
    <comment ref="I170" authorId="23">
      <text>
        <r>
          <rPr>
            <b/>
            <sz val="8"/>
            <color indexed="81"/>
            <rFont val="Tahoma"/>
            <family val="2"/>
          </rPr>
          <t>P Kahng:</t>
        </r>
        <r>
          <rPr>
            <sz val="8"/>
            <color indexed="81"/>
            <rFont val="Tahoma"/>
            <family val="2"/>
          </rPr>
          <t xml:space="preserve">
opened 6 AE Brand and 1 77kids (mainly outlet)
closed 7 AE Brand including 1 aerie store
21 store remodels and refurbishments</t>
        </r>
      </text>
    </comment>
    <comment ref="AO170" authorId="23">
      <text>
        <r>
          <rPr>
            <b/>
            <sz val="8"/>
            <color indexed="81"/>
            <rFont val="Tahoma"/>
            <family val="2"/>
          </rPr>
          <t xml:space="preserve">5/23/12: estimated 8%
P Kahng: </t>
        </r>
        <r>
          <rPr>
            <sz val="8"/>
            <color indexed="81"/>
            <rFont val="Tahoma"/>
            <family val="2"/>
          </rPr>
          <t>7.6% based on 1% contribution to comp from ecom. 1% of $539M gives $5.4M on 71% is about 7.6% growth in e-com</t>
        </r>
      </text>
    </comment>
    <comment ref="E171" authorId="23">
      <text>
        <r>
          <rPr>
            <b/>
            <sz val="8"/>
            <color indexed="81"/>
            <rFont val="Tahoma"/>
            <family val="2"/>
          </rPr>
          <t>8/22/2012: +</t>
        </r>
        <r>
          <rPr>
            <sz val="8"/>
            <color indexed="81"/>
            <rFont val="Tahoma"/>
            <family val="2"/>
          </rPr>
          <t xml:space="preserve">9% comp; assumes +8% ex online; 77 kids excluded;
AE brand +7%, Aerie +13%, AEO Direct +28%
</t>
        </r>
        <r>
          <rPr>
            <b/>
            <sz val="8"/>
            <color indexed="81"/>
            <rFont val="Tahoma"/>
            <family val="2"/>
          </rPr>
          <t xml:space="preserve">8/1/12 pk: </t>
        </r>
        <r>
          <rPr>
            <sz val="8"/>
            <color indexed="81"/>
            <rFont val="Tahoma"/>
            <family val="2"/>
          </rPr>
          <t>was at 5% store only comp. AE annc 2q comp of 9% incl ecom (we est 8% excl ecom)</t>
        </r>
        <r>
          <rPr>
            <b/>
            <sz val="8"/>
            <color indexed="81"/>
            <rFont val="Tahoma"/>
            <family val="2"/>
          </rPr>
          <t xml:space="preserve">
5/23/12 pk: </t>
        </r>
        <r>
          <rPr>
            <sz val="8"/>
            <color indexed="81"/>
            <rFont val="Tahoma"/>
            <family val="2"/>
          </rPr>
          <t>guidance for +MSD</t>
        </r>
        <r>
          <rPr>
            <b/>
            <sz val="8"/>
            <color indexed="81"/>
            <rFont val="Tahoma"/>
            <family val="2"/>
          </rPr>
          <t xml:space="preserve">
P Kahng: </t>
        </r>
        <r>
          <rPr>
            <sz val="8"/>
            <color indexed="81"/>
            <rFont val="Tahoma"/>
            <family val="2"/>
          </rPr>
          <t>Assume warmer weather pulled 2Q sales into 1Q. Was at 5%</t>
        </r>
      </text>
    </comment>
    <comment ref="I171" authorId="19">
      <text>
        <r>
          <rPr>
            <b/>
            <sz val="8"/>
            <color indexed="81"/>
            <rFont val="Tahoma"/>
            <family val="2"/>
          </rPr>
          <t xml:space="preserve">8/22/2012: </t>
        </r>
        <r>
          <rPr>
            <sz val="8"/>
            <color indexed="81"/>
            <rFont val="Tahoma"/>
            <family val="2"/>
          </rPr>
          <t>3 AE openings, 6 AE closures, 2 Aerie closure; excludes 77 kids</t>
        </r>
      </text>
    </comment>
    <comment ref="M171" authorId="19">
      <text>
        <r>
          <rPr>
            <b/>
            <sz val="8"/>
            <color indexed="81"/>
            <rFont val="Tahoma"/>
            <family val="2"/>
          </rPr>
          <t xml:space="preserve">8/22/2012: </t>
        </r>
        <r>
          <rPr>
            <sz val="8"/>
            <color indexed="81"/>
            <rFont val="Tahoma"/>
            <family val="2"/>
          </rPr>
          <t>SF decreased slightly in 2Q</t>
        </r>
      </text>
    </comment>
    <comment ref="O171" authorId="23">
      <text>
        <r>
          <rPr>
            <b/>
            <sz val="8"/>
            <color indexed="81"/>
            <rFont val="Tahoma"/>
            <family val="2"/>
          </rPr>
          <t xml:space="preserve">8/1/12 pk: </t>
        </r>
        <r>
          <rPr>
            <sz val="8"/>
            <color indexed="81"/>
            <rFont val="Tahoma"/>
            <family val="2"/>
          </rPr>
          <t>changed to -835 to target $740 total revenue</t>
        </r>
        <r>
          <rPr>
            <b/>
            <sz val="8"/>
            <color indexed="81"/>
            <rFont val="Tahoma"/>
            <family val="2"/>
          </rPr>
          <t xml:space="preserve">
5/23/12 pk: </t>
        </r>
        <r>
          <rPr>
            <sz val="8"/>
            <color indexed="81"/>
            <rFont val="Tahoma"/>
            <family val="2"/>
          </rPr>
          <t xml:space="preserve">changed from +25 to -60 to get better in line with trend. Store optimization likely to have negative new store productivity as unproductive stores are closed. </t>
        </r>
      </text>
    </comment>
    <comment ref="X171" authorId="19">
      <text>
        <r>
          <rPr>
            <b/>
            <sz val="8"/>
            <color indexed="81"/>
            <rFont val="Tahoma"/>
            <family val="2"/>
          </rPr>
          <t xml:space="preserve">8/22/2012: </t>
        </r>
        <r>
          <rPr>
            <sz val="8"/>
            <color indexed="81"/>
            <rFont val="Tahoma"/>
            <family val="2"/>
          </rPr>
          <t>Ex 77 kids</t>
        </r>
      </text>
    </comment>
    <comment ref="AO171" authorId="19">
      <text>
        <r>
          <rPr>
            <b/>
            <sz val="8"/>
            <color indexed="81"/>
            <rFont val="Tahoma"/>
            <family val="2"/>
          </rPr>
          <t xml:space="preserve">8/22/2012: </t>
        </r>
        <r>
          <rPr>
            <sz val="8"/>
            <color indexed="81"/>
            <rFont val="Tahoma"/>
            <family val="2"/>
          </rPr>
          <t>+28%</t>
        </r>
      </text>
    </comment>
    <comment ref="E172" authorId="23">
      <text>
        <r>
          <rPr>
            <b/>
            <sz val="8"/>
            <color indexed="81"/>
            <rFont val="Tahoma"/>
            <family val="2"/>
          </rPr>
          <t xml:space="preserve">11/28: </t>
        </r>
        <r>
          <rPr>
            <sz val="8"/>
            <color indexed="81"/>
            <rFont val="Tahoma"/>
            <family val="2"/>
          </rPr>
          <t>AEO 10%, included +27% eComm growth; AE Brand 8%, Aerie 5%; comp driven by positive traffic, conversion, and ASP
- Men's consolidated comps increased +HSD and women's +LDD</t>
        </r>
        <r>
          <rPr>
            <b/>
            <sz val="8"/>
            <color indexed="81"/>
            <rFont val="Tahoma"/>
            <family val="2"/>
          </rPr>
          <t xml:space="preserve">
8/22/2012: </t>
        </r>
        <r>
          <rPr>
            <sz val="8"/>
            <color indexed="81"/>
            <rFont val="Tahoma"/>
            <family val="2"/>
          </rPr>
          <t>+MSD guidance</t>
        </r>
      </text>
    </comment>
    <comment ref="I172" authorId="22">
      <text>
        <r>
          <rPr>
            <b/>
            <sz val="8"/>
            <color indexed="81"/>
            <rFont val="Tahoma"/>
            <family val="2"/>
          </rPr>
          <t>casselau:</t>
        </r>
        <r>
          <rPr>
            <sz val="8"/>
            <color indexed="81"/>
            <rFont val="Tahoma"/>
            <family val="2"/>
          </rPr>
          <t xml:space="preserve">
11/28: opened 4 stores, closed 4 stores and completed 8 remodels</t>
        </r>
      </text>
    </comment>
    <comment ref="O172" authorId="23">
      <text>
        <r>
          <rPr>
            <b/>
            <sz val="8"/>
            <color indexed="81"/>
            <rFont val="Tahoma"/>
            <family val="2"/>
          </rPr>
          <t xml:space="preserve">5/23/12 pk: </t>
        </r>
        <r>
          <rPr>
            <sz val="8"/>
            <color indexed="81"/>
            <rFont val="Tahoma"/>
            <family val="2"/>
          </rPr>
          <t xml:space="preserve">changed to -75 to reflect removal of 77kids from prior year. Also closing stores likely to result in negative new store productivty as unproductive stores leave the system. </t>
        </r>
        <r>
          <rPr>
            <b/>
            <sz val="8"/>
            <color indexed="81"/>
            <rFont val="Tahoma"/>
            <family val="2"/>
          </rPr>
          <t xml:space="preserve">
5/17/12 pk: </t>
        </r>
        <r>
          <rPr>
            <sz val="8"/>
            <color indexed="81"/>
            <rFont val="Tahoma"/>
            <family val="2"/>
          </rPr>
          <t>Was at 50, but adjusted to 170 to account for 77kids disposal. Results in $10M loss of revenue in 3Q</t>
        </r>
      </text>
    </comment>
    <comment ref="R172" authorId="23">
      <text>
        <r>
          <rPr>
            <b/>
            <sz val="8"/>
            <color indexed="81"/>
            <rFont val="Tahoma"/>
            <family val="2"/>
          </rPr>
          <t>P Kahng:</t>
        </r>
        <r>
          <rPr>
            <sz val="8"/>
            <color indexed="81"/>
            <rFont val="Tahoma"/>
            <family val="2"/>
          </rPr>
          <t xml:space="preserve">
excluding 77kids: $40M in ann revenue. 
1Q: $9M
2Q: $8M
3Q: $10M
4Q: $13M
orig $744. </t>
        </r>
      </text>
    </comment>
    <comment ref="AO172" authorId="22">
      <text>
        <r>
          <rPr>
            <b/>
            <sz val="8"/>
            <color indexed="81"/>
            <rFont val="Tahoma"/>
            <family val="2"/>
          </rPr>
          <t>casselau:</t>
        </r>
        <r>
          <rPr>
            <sz val="8"/>
            <color indexed="81"/>
            <rFont val="Tahoma"/>
            <family val="2"/>
          </rPr>
          <t xml:space="preserve">
11/28: driven by increased traffic; direct profitability grew 46% due to both IMU improvements and a reduction in the markdown rate; very strong cash flow</t>
        </r>
      </text>
    </comment>
    <comment ref="C173" authorId="22">
      <text>
        <r>
          <rPr>
            <b/>
            <sz val="8"/>
            <color indexed="81"/>
            <rFont val="Tahoma"/>
            <family val="2"/>
          </rPr>
          <t>casselau:</t>
        </r>
        <r>
          <rPr>
            <sz val="8"/>
            <color indexed="81"/>
            <rFont val="Tahoma"/>
            <family val="2"/>
          </rPr>
          <t xml:space="preserve">
ADS +MSD, AUR + LSD, transactions -MSD</t>
        </r>
      </text>
    </comment>
    <comment ref="E173" authorId="23">
      <text>
        <r>
          <rPr>
            <b/>
            <sz val="8"/>
            <color indexed="81"/>
            <rFont val="Tahoma"/>
            <family val="2"/>
          </rPr>
          <t xml:space="preserve">3/6/13: </t>
        </r>
        <r>
          <rPr>
            <sz val="8"/>
            <color indexed="81"/>
            <rFont val="Tahoma"/>
            <family val="2"/>
          </rPr>
          <t>AE brand stores +1%, aerie stores -3%, AEO direct +24%; men's +3%, women's +5%</t>
        </r>
        <r>
          <rPr>
            <b/>
            <sz val="8"/>
            <color indexed="81"/>
            <rFont val="Tahoma"/>
            <family val="2"/>
          </rPr>
          <t xml:space="preserve">
8/22/2012: +</t>
        </r>
        <r>
          <rPr>
            <sz val="8"/>
            <color indexed="81"/>
            <rFont val="Tahoma"/>
            <family val="2"/>
          </rPr>
          <t>LSD</t>
        </r>
      </text>
    </comment>
    <comment ref="I173" authorId="0">
      <text>
        <r>
          <rPr>
            <b/>
            <sz val="8"/>
            <color indexed="81"/>
            <rFont val="Tahoma"/>
            <family val="2"/>
          </rPr>
          <t xml:space="preserve">5/23/12: </t>
        </r>
        <r>
          <rPr>
            <sz val="8"/>
            <color indexed="81"/>
            <rFont val="Tahoma"/>
            <family val="2"/>
          </rPr>
          <t xml:space="preserve">guidance - 1054-1064 stores at year end. open 15 AE brand and 1 77kids. Close 20-30 AE Brand and aerie stores, close 22 77kids. </t>
        </r>
        <r>
          <rPr>
            <b/>
            <sz val="8"/>
            <color indexed="81"/>
            <rFont val="Tahoma"/>
            <family val="2"/>
          </rPr>
          <t xml:space="preserve">
3/7/12: </t>
        </r>
        <r>
          <rPr>
            <sz val="8"/>
            <color indexed="81"/>
            <rFont val="Tahoma"/>
            <family val="2"/>
          </rPr>
          <t xml:space="preserve">FY guidance - </t>
        </r>
        <r>
          <rPr>
            <sz val="8"/>
            <color indexed="81"/>
            <rFont val="Tahoma"/>
            <family val="2"/>
          </rPr>
          <t>15 new stores, 100 remodels, 20-30 store closings</t>
        </r>
      </text>
    </comment>
    <comment ref="O173" authorId="21">
      <text>
        <r>
          <rPr>
            <b/>
            <sz val="8"/>
            <color indexed="81"/>
            <rFont val="Tahoma"/>
            <family val="2"/>
          </rPr>
          <t xml:space="preserve">5/21/12: </t>
        </r>
        <r>
          <rPr>
            <sz val="8"/>
            <color indexed="81"/>
            <rFont val="Tahoma"/>
            <family val="2"/>
          </rPr>
          <t xml:space="preserve">Was -375. Adjust to -141 to acct for 77kids exit. Targeting 912.4M in revs
</t>
        </r>
        <r>
          <rPr>
            <b/>
            <sz val="8"/>
            <color indexed="81"/>
            <rFont val="Tahoma"/>
            <family val="2"/>
          </rPr>
          <t xml:space="preserve">3/7/12 pk: </t>
        </r>
        <r>
          <rPr>
            <sz val="8"/>
            <color indexed="81"/>
            <rFont val="Tahoma"/>
            <family val="2"/>
          </rPr>
          <t xml:space="preserve">Productivity at -325% to target $342M in revenue for $307M for revenue assuming 19 store closures happen at end of January. Also, adding additional $36M in revenue for 53rd week. </t>
        </r>
        <r>
          <rPr>
            <b/>
            <sz val="8"/>
            <color indexed="81"/>
            <rFont val="Tahoma"/>
            <family val="2"/>
          </rPr>
          <t xml:space="preserve">
1/25/12 kg: </t>
        </r>
        <r>
          <rPr>
            <sz val="8"/>
            <color indexed="81"/>
            <rFont val="Tahoma"/>
            <family val="2"/>
          </rPr>
          <t>P</t>
        </r>
        <r>
          <rPr>
            <sz val="8"/>
            <color indexed="81"/>
            <rFont val="Tahoma"/>
            <family val="2"/>
          </rPr>
          <t>roductivity 100% excluding extra week. Boosted productivity to 2,300 to generate incremental $36M in sales for 4Q's extra week.</t>
        </r>
      </text>
    </comment>
    <comment ref="R173" authorId="21">
      <text>
        <r>
          <rPr>
            <b/>
            <sz val="8"/>
            <color indexed="81"/>
            <rFont val="Tahoma"/>
            <family val="2"/>
          </rPr>
          <t xml:space="preserve">5/21/12: </t>
        </r>
        <r>
          <rPr>
            <sz val="8"/>
            <color indexed="81"/>
            <rFont val="Tahoma"/>
            <family val="2"/>
          </rPr>
          <t xml:space="preserve">Was $925.4M; lowering by $13M to account for disposal of 77kids. 
</t>
        </r>
        <r>
          <rPr>
            <b/>
            <sz val="8"/>
            <color indexed="81"/>
            <rFont val="Tahoma"/>
            <family val="2"/>
          </rPr>
          <t>3/7/12:</t>
        </r>
        <r>
          <rPr>
            <sz val="8"/>
            <color indexed="81"/>
            <rFont val="Tahoma"/>
            <family val="2"/>
          </rPr>
          <t xml:space="preserve"> Sales w/o store closures is $906.6M. Assumes stores are closed in Jan. 4Q revenue should be $942 assuming $907M revenue with no closures and addt'l $36M for 53rd week. All assumes +2% comp </t>
        </r>
        <r>
          <rPr>
            <sz val="8"/>
            <color indexed="81"/>
            <rFont val="Tahoma"/>
            <family val="2"/>
          </rPr>
          <t xml:space="preserve">
</t>
        </r>
        <r>
          <rPr>
            <b/>
            <sz val="8"/>
            <color indexed="81"/>
            <rFont val="Tahoma"/>
            <family val="2"/>
          </rPr>
          <t xml:space="preserve">1/25/12: </t>
        </r>
        <r>
          <rPr>
            <sz val="8"/>
            <color indexed="81"/>
            <rFont val="Tahoma"/>
            <family val="2"/>
          </rPr>
          <t>we estimate extra week in January = 4% of 4Q sales w/ Jan 16% of 4Q. Base sales $904.7M. 4%=$36.2M additional sales for extra week. New adjusted 4Q sales=$940.9. assumes +2% comp</t>
        </r>
      </text>
    </comment>
    <comment ref="X173" authorId="0">
      <text>
        <r>
          <rPr>
            <b/>
            <sz val="8"/>
            <color indexed="81"/>
            <rFont val="Tahoma"/>
            <family val="2"/>
          </rPr>
          <t xml:space="preserve">3/7/12: </t>
        </r>
        <r>
          <rPr>
            <sz val="8"/>
            <color indexed="81"/>
            <rFont val="Tahoma"/>
            <family val="2"/>
          </rPr>
          <t>expect slight decline in sqft</t>
        </r>
      </text>
    </comment>
    <comment ref="AM173" authorId="0">
      <text>
        <r>
          <rPr>
            <b/>
            <sz val="8"/>
            <color indexed="81"/>
            <rFont val="Tahoma"/>
            <family val="2"/>
          </rPr>
          <t>kahng:</t>
        </r>
        <r>
          <rPr>
            <sz val="8"/>
            <color indexed="81"/>
            <rFont val="Tahoma"/>
            <family val="2"/>
          </rPr>
          <t xml:space="preserve">
additional 5% in growth due to 53rd week in 2012. Original 15% growth assumption yielded $174.7M</t>
        </r>
      </text>
    </comment>
    <comment ref="C174" authorId="22">
      <text>
        <r>
          <rPr>
            <b/>
            <sz val="8"/>
            <color indexed="81"/>
            <rFont val="Tahoma"/>
            <family val="2"/>
          </rPr>
          <t>casselau:</t>
        </r>
        <r>
          <rPr>
            <sz val="8"/>
            <color indexed="81"/>
            <rFont val="Tahoma"/>
            <family val="2"/>
          </rPr>
          <t xml:space="preserve">
ADS +MSD, AUR + LSD, transactions +LSD</t>
        </r>
      </text>
    </comment>
    <comment ref="E174" authorId="22">
      <text>
        <r>
          <rPr>
            <b/>
            <sz val="8"/>
            <color indexed="81"/>
            <rFont val="Tahoma"/>
            <family val="2"/>
          </rPr>
          <t>casselau:</t>
        </r>
        <r>
          <rPr>
            <sz val="8"/>
            <color indexed="81"/>
            <rFont val="Tahoma"/>
            <family val="2"/>
          </rPr>
          <t xml:space="preserve">
3/6/13: AE brand stores +7%, aerie stores +6%, AEO direct +25%; men's +8%, women's +11%</t>
        </r>
      </text>
    </comment>
    <comment ref="R174" authorId="23">
      <text>
        <r>
          <rPr>
            <b/>
            <sz val="8"/>
            <color indexed="81"/>
            <rFont val="Tahoma"/>
            <family val="2"/>
          </rPr>
          <t>P Kahng:</t>
        </r>
        <r>
          <rPr>
            <sz val="8"/>
            <color indexed="81"/>
            <rFont val="Tahoma"/>
            <family val="2"/>
          </rPr>
          <t xml:space="preserve">
Was $2931.9M</t>
        </r>
      </text>
    </comment>
    <comment ref="AM174" authorId="22">
      <text>
        <r>
          <rPr>
            <b/>
            <sz val="8"/>
            <color indexed="81"/>
            <rFont val="Tahoma"/>
            <family val="2"/>
          </rPr>
          <t>casselau:</t>
        </r>
        <r>
          <rPr>
            <sz val="8"/>
            <color indexed="81"/>
            <rFont val="Tahoma"/>
            <family val="2"/>
          </rPr>
          <t xml:space="preserve">
direct sales grew 25% to $467M</t>
        </r>
      </text>
    </comment>
    <comment ref="E177" authorId="22">
      <text>
        <r>
          <rPr>
            <b/>
            <sz val="8"/>
            <color indexed="81"/>
            <rFont val="Tahoma"/>
            <family val="2"/>
          </rPr>
          <t>casselau:</t>
        </r>
        <r>
          <rPr>
            <sz val="8"/>
            <color indexed="81"/>
            <rFont val="Tahoma"/>
            <family val="2"/>
          </rPr>
          <t xml:space="preserve">
5/22/13: AE -6%, aerie +4%, Direct +24% (aerie direct +38%)</t>
        </r>
      </text>
    </comment>
    <comment ref="I177" authorId="22">
      <text>
        <r>
          <rPr>
            <b/>
            <sz val="8"/>
            <color indexed="81"/>
            <rFont val="Tahoma"/>
            <family val="2"/>
          </rPr>
          <t>casselau:</t>
        </r>
        <r>
          <rPr>
            <sz val="8"/>
            <color indexed="81"/>
            <rFont val="Tahoma"/>
            <family val="2"/>
          </rPr>
          <t xml:space="preserve">
opened 7 AE stores, closed 4 AE, and closed 10 Aerie</t>
        </r>
      </text>
    </comment>
    <comment ref="E178" authorId="22">
      <text>
        <r>
          <rPr>
            <b/>
            <sz val="8"/>
            <color indexed="81"/>
            <rFont val="Tahoma"/>
            <family val="2"/>
          </rPr>
          <t>casselau:</t>
        </r>
        <r>
          <rPr>
            <sz val="8"/>
            <color indexed="81"/>
            <rFont val="Tahoma"/>
            <family val="2"/>
          </rPr>
          <t xml:space="preserve">
including direct; AE total brand -8%; aerie total brand -2%; AEO direct 11%</t>
        </r>
      </text>
    </comment>
    <comment ref="I178" authorId="22">
      <text>
        <r>
          <rPr>
            <b/>
            <sz val="8"/>
            <color indexed="81"/>
            <rFont val="Tahoma"/>
            <family val="2"/>
          </rPr>
          <t>casselau:</t>
        </r>
        <r>
          <rPr>
            <sz val="8"/>
            <color indexed="81"/>
            <rFont val="Tahoma"/>
            <family val="2"/>
          </rPr>
          <t xml:space="preserve">
8/22/13:</t>
        </r>
        <r>
          <rPr>
            <b/>
            <sz val="8"/>
            <color indexed="81"/>
            <rFont val="Tahoma"/>
            <family val="2"/>
          </rPr>
          <t xml:space="preserve"> </t>
        </r>
        <r>
          <rPr>
            <sz val="8"/>
            <color indexed="81"/>
            <rFont val="Tahoma"/>
            <family val="2"/>
          </rPr>
          <t>opened 26 stores (18 factory) and closed 7 stores (including 6 aerie); the company assumed operation of 6 existing stores in HK and China</t>
        </r>
        <r>
          <rPr>
            <sz val="8"/>
            <color indexed="81"/>
            <rFont val="Tahoma"/>
            <family val="2"/>
          </rPr>
          <t xml:space="preserve"> </t>
        </r>
      </text>
    </comment>
    <comment ref="I179" authorId="22">
      <text>
        <r>
          <rPr>
            <b/>
            <sz val="8"/>
            <color indexed="81"/>
            <rFont val="Tahoma"/>
            <family val="2"/>
          </rPr>
          <t>casselau:</t>
        </r>
        <r>
          <rPr>
            <sz val="8"/>
            <color indexed="81"/>
            <rFont val="Tahoma"/>
            <family val="2"/>
          </rPr>
          <t xml:space="preserve">
12/6/13: opened 13 AE stores, closed 2 AE stores and closed 3 aerie stores (int'l franchise not included - 61 at end of 3Q)</t>
        </r>
      </text>
    </comment>
    <comment ref="E180" authorId="22">
      <text>
        <r>
          <rPr>
            <b/>
            <sz val="8"/>
            <color indexed="81"/>
            <rFont val="Tahoma"/>
            <family val="2"/>
          </rPr>
          <t>casselau:</t>
        </r>
        <r>
          <rPr>
            <sz val="8"/>
            <color indexed="81"/>
            <rFont val="Tahoma"/>
            <family val="2"/>
          </rPr>
          <t xml:space="preserve">
3/11/14: AE -7%, aerie -4%, direct 8%</t>
        </r>
      </text>
    </comment>
    <comment ref="O180" authorId="24">
      <text>
        <r>
          <rPr>
            <b/>
            <sz val="8"/>
            <color indexed="81"/>
            <rFont val="Tahoma"/>
            <family val="2"/>
          </rPr>
          <t>solejay:</t>
        </r>
        <r>
          <rPr>
            <sz val="8"/>
            <color indexed="81"/>
            <rFont val="Tahoma"/>
            <family val="2"/>
          </rPr>
          <t xml:space="preserve">
drop this number by 170 to subrtact $30 million for the 53rd week reversal effect</t>
        </r>
      </text>
    </comment>
    <comment ref="I184" authorId="22">
      <text>
        <r>
          <rPr>
            <b/>
            <sz val="9"/>
            <color indexed="81"/>
            <rFont val="Tahoma"/>
            <family val="2"/>
          </rPr>
          <t>casselau:</t>
        </r>
        <r>
          <rPr>
            <sz val="9"/>
            <color indexed="81"/>
            <rFont val="Tahoma"/>
            <family val="2"/>
          </rPr>
          <t xml:space="preserve">
5/21/14: 11 AE brand sotres opened, 6 AE brand closed and 14 aerie closed</t>
        </r>
      </text>
    </comment>
    <comment ref="AO184" authorId="22">
      <text>
        <r>
          <rPr>
            <b/>
            <sz val="9"/>
            <color indexed="81"/>
            <rFont val="Tahoma"/>
            <family val="2"/>
          </rPr>
          <t>casselau:</t>
        </r>
        <r>
          <rPr>
            <sz val="9"/>
            <color indexed="81"/>
            <rFont val="Tahoma"/>
            <family val="2"/>
          </rPr>
          <t xml:space="preserve">
estimate
</t>
        </r>
      </text>
    </comment>
    <comment ref="I185" authorId="22">
      <text>
        <r>
          <rPr>
            <b/>
            <sz val="9"/>
            <color indexed="81"/>
            <rFont val="Tahoma"/>
            <family val="2"/>
          </rPr>
          <t>casselau:</t>
        </r>
        <r>
          <rPr>
            <sz val="9"/>
            <color indexed="81"/>
            <rFont val="Tahoma"/>
            <family val="2"/>
          </rPr>
          <t xml:space="preserve">
8/20/14: opened 5 new NA stores; 10 factory stores; 3 stores in Mexico, and 2 stores in China; closed 5 locations incl. 2 aerie stores; added 7 int'l licensed stores</t>
        </r>
      </text>
    </comment>
    <comment ref="AO185" authorId="22">
      <text>
        <r>
          <rPr>
            <b/>
            <sz val="9"/>
            <color indexed="81"/>
            <rFont val="Tahoma"/>
            <family val="2"/>
          </rPr>
          <t>casselau:</t>
        </r>
        <r>
          <rPr>
            <sz val="9"/>
            <color indexed="81"/>
            <rFont val="Tahoma"/>
            <family val="2"/>
          </rPr>
          <t xml:space="preserve">
estimate</t>
        </r>
      </text>
    </comment>
    <comment ref="I186" authorId="22">
      <text>
        <r>
          <rPr>
            <b/>
            <sz val="9"/>
            <color indexed="81"/>
            <rFont val="Tahoma"/>
            <family val="2"/>
          </rPr>
          <t>casselau:</t>
        </r>
        <r>
          <rPr>
            <sz val="9"/>
            <color indexed="81"/>
            <rFont val="Tahoma"/>
            <family val="2"/>
          </rPr>
          <t xml:space="preserve">
12/4/14: opened 2 new NA stores, 10 Factory stores, 5 Mexico, 3 Asia; closed 3 stores (2 Aerie)</t>
        </r>
      </text>
    </comment>
    <comment ref="AO186" authorId="22">
      <text>
        <r>
          <rPr>
            <b/>
            <sz val="9"/>
            <color indexed="81"/>
            <rFont val="Tahoma"/>
            <family val="2"/>
          </rPr>
          <t>casselau:</t>
        </r>
        <r>
          <rPr>
            <sz val="9"/>
            <color indexed="81"/>
            <rFont val="Tahoma"/>
            <family val="2"/>
          </rPr>
          <t xml:space="preserve">
according to Judy Meehan - slightly positive</t>
        </r>
      </text>
    </comment>
    <comment ref="I191" authorId="22">
      <text>
        <r>
          <rPr>
            <b/>
            <sz val="9"/>
            <color indexed="81"/>
            <rFont val="Tahoma"/>
            <family val="2"/>
          </rPr>
          <t>casselau:</t>
        </r>
        <r>
          <rPr>
            <sz val="9"/>
            <color indexed="81"/>
            <rFont val="Tahoma"/>
            <family val="2"/>
          </rPr>
          <t xml:space="preserve">
opened 4 AE factory stores, closed 3 AE and closed 3 aerie </t>
        </r>
      </text>
    </comment>
    <comment ref="I192" authorId="22">
      <text>
        <r>
          <rPr>
            <b/>
            <sz val="9"/>
            <color indexed="81"/>
            <rFont val="Tahoma"/>
            <family val="2"/>
          </rPr>
          <t>casselau:</t>
        </r>
        <r>
          <rPr>
            <sz val="9"/>
            <color indexed="81"/>
            <rFont val="Tahoma"/>
            <family val="2"/>
          </rPr>
          <t xml:space="preserve">
opened 6 new stores (4 factory) and closed 3 locations (2 AE, 1 Aerie)</t>
        </r>
      </text>
    </comment>
    <comment ref="I193" authorId="22">
      <text>
        <r>
          <rPr>
            <b/>
            <sz val="9"/>
            <color indexed="81"/>
            <rFont val="Tahoma"/>
            <family val="2"/>
          </rPr>
          <t>casselau:</t>
        </r>
        <r>
          <rPr>
            <sz val="9"/>
            <color indexed="81"/>
            <rFont val="Tahoma"/>
            <family val="2"/>
          </rPr>
          <t xml:space="preserve">
12/2/15: the company opened 12 new stores, including six mainline, five factory and one aerie stand alone stores, and closed one AE store </t>
        </r>
      </text>
    </comment>
    <comment ref="AO193" authorId="22">
      <text>
        <r>
          <rPr>
            <b/>
            <sz val="9"/>
            <color indexed="81"/>
            <rFont val="Tahoma"/>
            <family val="2"/>
          </rPr>
          <t>casselau:</t>
        </r>
        <r>
          <rPr>
            <sz val="9"/>
            <color indexed="81"/>
            <rFont val="Tahoma"/>
            <family val="2"/>
          </rPr>
          <t xml:space="preserve">
12/2/15: Online and mobile shopping continued to grow at a fast pace with our direct businesses, up well into the double digits, fueled by traffic and conversion.
Our digital business has been exceptionally strong representing about 23% of Aerie's total sales.</t>
        </r>
      </text>
    </comment>
    <comment ref="I194" authorId="22">
      <text>
        <r>
          <rPr>
            <b/>
            <sz val="9"/>
            <color indexed="81"/>
            <rFont val="Tahoma"/>
            <family val="2"/>
          </rPr>
          <t>casselau:</t>
        </r>
        <r>
          <rPr>
            <sz val="9"/>
            <color indexed="81"/>
            <rFont val="Tahoma"/>
            <family val="2"/>
          </rPr>
          <t xml:space="preserve">
3/2/16: closed 21 AE and 1 Aerie stand alone stores</t>
        </r>
      </text>
    </comment>
    <comment ref="AO194" authorId="22">
      <text>
        <r>
          <rPr>
            <b/>
            <sz val="9"/>
            <color indexed="81"/>
            <rFont val="Tahoma"/>
            <family val="2"/>
          </rPr>
          <t>casselau:</t>
        </r>
        <r>
          <rPr>
            <sz val="9"/>
            <color indexed="81"/>
            <rFont val="Tahoma"/>
            <family val="2"/>
          </rPr>
          <t xml:space="preserve">
3/2/16: over 20% growth: $110M in sales growth 
</t>
        </r>
      </text>
    </comment>
    <comment ref="AM195" authorId="22">
      <text>
        <r>
          <rPr>
            <b/>
            <sz val="9"/>
            <color indexed="81"/>
            <rFont val="Tahoma"/>
            <family val="2"/>
          </rPr>
          <t>casselau:</t>
        </r>
        <r>
          <rPr>
            <sz val="9"/>
            <color indexed="81"/>
            <rFont val="Tahoma"/>
            <family val="2"/>
          </rPr>
          <t xml:space="preserve">
3/2/16: the direct business increased over 20% driving more than $110 million of sales growth</t>
        </r>
      </text>
    </comment>
    <comment ref="AO195" authorId="22">
      <text>
        <r>
          <rPr>
            <b/>
            <sz val="9"/>
            <color indexed="81"/>
            <rFont val="Tahoma"/>
            <family val="2"/>
          </rPr>
          <t>casselau:</t>
        </r>
        <r>
          <rPr>
            <sz val="9"/>
            <color indexed="81"/>
            <rFont val="Tahoma"/>
            <family val="2"/>
          </rPr>
          <t xml:space="preserve">
</t>
        </r>
      </text>
    </comment>
    <comment ref="AO198" authorId="25">
      <text>
        <r>
          <rPr>
            <b/>
            <sz val="9"/>
            <color indexed="81"/>
            <rFont val="Tahoma"/>
            <family val="2"/>
          </rPr>
          <t>Cassel, Lauren (Research):</t>
        </r>
        <r>
          <rPr>
            <sz val="9"/>
            <color indexed="81"/>
            <rFont val="Tahoma"/>
            <family val="2"/>
          </rPr>
          <t xml:space="preserve">
Per Judy: eCommerce growth closer to 30%</t>
        </r>
      </text>
    </comment>
    <comment ref="AO199" authorId="25">
      <text>
        <r>
          <rPr>
            <b/>
            <sz val="9"/>
            <color indexed="81"/>
            <rFont val="Tahoma"/>
            <family val="2"/>
          </rPr>
          <t>Cassel, Lauren (Research):</t>
        </r>
        <r>
          <rPr>
            <sz val="9"/>
            <color indexed="81"/>
            <rFont val="Tahoma"/>
            <family val="2"/>
          </rPr>
          <t xml:space="preserve">
8/17/16: eCommerce a little bit better than 30% last quarter</t>
        </r>
      </text>
    </comment>
    <comment ref="I200" authorId="25">
      <text>
        <r>
          <rPr>
            <b/>
            <sz val="9"/>
            <color indexed="81"/>
            <rFont val="Tahoma"/>
            <family val="2"/>
          </rPr>
          <t>Cassel, Lauren (Research):</t>
        </r>
        <r>
          <rPr>
            <sz val="9"/>
            <color indexed="81"/>
            <rFont val="Tahoma"/>
            <family val="2"/>
          </rPr>
          <t xml:space="preserve">
97 aerie, 952 AE</t>
        </r>
      </text>
    </comment>
    <comment ref="X200" authorId="25">
      <text>
        <r>
          <rPr>
            <b/>
            <sz val="9"/>
            <color indexed="81"/>
            <rFont val="Tahoma"/>
            <family val="2"/>
          </rPr>
          <t>Cassel, Lauren (Research):</t>
        </r>
        <r>
          <rPr>
            <sz val="9"/>
            <color indexed="81"/>
            <rFont val="Tahoma"/>
            <family val="2"/>
          </rPr>
          <t xml:space="preserve">
AE 6.265099; aerie .363424 </t>
        </r>
      </text>
    </comment>
    <comment ref="AO200" authorId="25">
      <text>
        <r>
          <rPr>
            <b/>
            <sz val="9"/>
            <color indexed="81"/>
            <rFont val="Tahoma"/>
            <family val="2"/>
          </rPr>
          <t>Cassel, Lauren (Research):</t>
        </r>
        <r>
          <rPr>
            <sz val="9"/>
            <color indexed="81"/>
            <rFont val="Tahoma"/>
            <family val="2"/>
          </rPr>
          <t xml:space="preserve">
Per Judy +mid 20's</t>
        </r>
      </text>
    </comment>
    <comment ref="J201" authorId="25">
      <text>
        <r>
          <rPr>
            <b/>
            <sz val="9"/>
            <color indexed="81"/>
            <rFont val="Tahoma"/>
            <family val="2"/>
          </rPr>
          <t>Cassel, Lauren (Research):</t>
        </r>
        <r>
          <rPr>
            <sz val="9"/>
            <color indexed="81"/>
            <rFont val="Tahoma"/>
            <family val="2"/>
          </rPr>
          <t xml:space="preserve">
opened 10 and closed 12</t>
        </r>
      </text>
    </comment>
    <comment ref="AO201" authorId="25">
      <text>
        <r>
          <rPr>
            <b/>
            <sz val="9"/>
            <color indexed="81"/>
            <rFont val="Tahoma"/>
            <family val="2"/>
          </rPr>
          <t>Cassel, Lauren (Research):</t>
        </r>
        <r>
          <rPr>
            <sz val="9"/>
            <color indexed="81"/>
            <rFont val="Tahoma"/>
            <family val="2"/>
          </rPr>
          <t xml:space="preserve">
1/5/17: Per Judy mid-teens range for Nov/Dec</t>
        </r>
      </text>
    </comment>
    <comment ref="AS201" authorId="25">
      <text>
        <r>
          <rPr>
            <b/>
            <sz val="9"/>
            <color indexed="81"/>
            <rFont val="Tahoma"/>
            <family val="2"/>
          </rPr>
          <t>Cassel, Lauren (Research):</t>
        </r>
        <r>
          <rPr>
            <sz val="9"/>
            <color indexed="81"/>
            <rFont val="Tahoma"/>
            <family val="2"/>
          </rPr>
          <t xml:space="preserve">
increased to 27% of sales (aerie brand over 30%)</t>
        </r>
      </text>
    </comment>
    <comment ref="AS202" authorId="25">
      <text>
        <r>
          <rPr>
            <b/>
            <sz val="9"/>
            <color indexed="81"/>
            <rFont val="Tahoma"/>
            <family val="2"/>
          </rPr>
          <t>Cassel, Lauren (Research):</t>
        </r>
        <r>
          <rPr>
            <sz val="9"/>
            <color indexed="81"/>
            <rFont val="Tahoma"/>
            <family val="2"/>
          </rPr>
          <t xml:space="preserve">
~22% of sales for the full year per Judy (5% of digitial sales are international); 40% of aerie sales are digital</t>
        </r>
      </text>
    </comment>
    <comment ref="I205" authorId="25">
      <text>
        <r>
          <rPr>
            <b/>
            <sz val="9"/>
            <color indexed="81"/>
            <rFont val="Tahoma"/>
            <family val="2"/>
          </rPr>
          <t>Cassel, Lauren (Research):</t>
        </r>
        <r>
          <rPr>
            <sz val="9"/>
            <color indexed="81"/>
            <rFont val="Tahoma"/>
            <family val="2"/>
          </rPr>
          <t xml:space="preserve">
opened 3 AE, 2 aerie 1 Todd Snyder; closed 2 AE and 1 aerie</t>
        </r>
      </text>
    </comment>
    <comment ref="AO205" authorId="25">
      <text>
        <r>
          <rPr>
            <b/>
            <sz val="9"/>
            <color indexed="81"/>
            <rFont val="Tahoma"/>
            <family val="2"/>
          </rPr>
          <t>Cassel, Lauren (Research):</t>
        </r>
        <r>
          <rPr>
            <sz val="9"/>
            <color indexed="81"/>
            <rFont val="Tahoma"/>
            <family val="2"/>
          </rPr>
          <t xml:space="preserve">
strong double digit growth to 26% of revenue vs. 19% last year</t>
        </r>
      </text>
    </comment>
    <comment ref="AS205" authorId="25">
      <text>
        <r>
          <rPr>
            <b/>
            <sz val="9"/>
            <color indexed="81"/>
            <rFont val="Tahoma"/>
            <family val="2"/>
          </rPr>
          <t>Cassel, Lauren (Research):</t>
        </r>
        <r>
          <rPr>
            <sz val="9"/>
            <color indexed="81"/>
            <rFont val="Tahoma"/>
            <family val="2"/>
          </rPr>
          <t xml:space="preserve">
strong double digit growth to 26% of revenue vs. 19% last year; aerie 47% online penetration; AE 22%</t>
        </r>
      </text>
    </comment>
    <comment ref="I206" authorId="25">
      <text>
        <r>
          <rPr>
            <b/>
            <sz val="9"/>
            <color indexed="81"/>
            <rFont val="Tahoma"/>
            <family val="2"/>
          </rPr>
          <t>Cassel, Lauren (Research):</t>
        </r>
        <r>
          <rPr>
            <sz val="9"/>
            <color indexed="81"/>
            <rFont val="Tahoma"/>
            <family val="2"/>
          </rPr>
          <t xml:space="preserve">
opened 6 AE brand and 9 aerie, closed 8 AE brand and closed 3 aerie during the quarter</t>
        </r>
      </text>
    </comment>
    <comment ref="AO206" authorId="25">
      <text>
        <r>
          <rPr>
            <b/>
            <sz val="9"/>
            <color indexed="81"/>
            <rFont val="Tahoma"/>
            <family val="2"/>
          </rPr>
          <t>Cassel, Lauren (Research):
per Judy: 26%</t>
        </r>
        <r>
          <rPr>
            <sz val="9"/>
            <color indexed="81"/>
            <rFont val="Tahoma"/>
            <family val="2"/>
          </rPr>
          <t xml:space="preserve">
+DD sales growth </t>
        </r>
      </text>
    </comment>
    <comment ref="AS206" authorId="25">
      <text>
        <r>
          <rPr>
            <b/>
            <sz val="9"/>
            <color indexed="81"/>
            <rFont val="Tahoma"/>
            <family val="2"/>
          </rPr>
          <t>Cassel, Lauren (Research):</t>
        </r>
        <r>
          <rPr>
            <sz val="9"/>
            <color indexed="81"/>
            <rFont val="Tahoma"/>
            <family val="2"/>
          </rPr>
          <t xml:space="preserve">
23% of sales vs. 19% last year</t>
        </r>
      </text>
    </comment>
    <comment ref="AS207" authorId="25">
      <text>
        <r>
          <rPr>
            <b/>
            <sz val="9"/>
            <color indexed="81"/>
            <rFont val="Tahoma"/>
            <family val="2"/>
          </rPr>
          <t>Cassel, Lauren (Research):</t>
        </r>
        <r>
          <rPr>
            <sz val="9"/>
            <color indexed="81"/>
            <rFont val="Tahoma"/>
            <family val="2"/>
          </rPr>
          <t xml:space="preserve">
25% of sales vs. 21% last year</t>
        </r>
      </text>
    </comment>
    <comment ref="G208" authorId="25">
      <text>
        <r>
          <rPr>
            <b/>
            <sz val="9"/>
            <color indexed="81"/>
            <rFont val="Tahoma"/>
            <family val="2"/>
          </rPr>
          <t>Cassel, Lauren (Research):
3/1/17: little less than $50M in revenue for 53rd week = 4.3% benefit</t>
        </r>
        <r>
          <rPr>
            <sz val="9"/>
            <color indexed="81"/>
            <rFont val="Tahoma"/>
            <family val="2"/>
          </rPr>
          <t xml:space="preserve">
12/10/16: assume extra week $30-$35M in sales = 2.7%-3%</t>
        </r>
      </text>
    </comment>
    <comment ref="I208" authorId="25">
      <text>
        <r>
          <rPr>
            <b/>
            <sz val="9"/>
            <color indexed="81"/>
            <rFont val="Tahoma"/>
            <family val="2"/>
          </rPr>
          <t xml:space="preserve">Cassel, Lauren (Research):
3/8/18: </t>
        </r>
        <r>
          <rPr>
            <sz val="9"/>
            <color indexed="81"/>
            <rFont val="Tahoma"/>
            <family val="2"/>
          </rPr>
          <t>During the year, the company opened 15 AE stores and closed 25, ending the year with 933 AE stores, which included 116 Aerie side-by-side locations. Additionally, the company opened 15 Aerie stand alone stores and closed 8, ending the year with 109 Aerie stand alone stores. Internationally, the company ended the year with 214 licensed stores.
guidance 1042-1062</t>
        </r>
      </text>
    </comment>
    <comment ref="AS208" authorId="25">
      <text>
        <r>
          <rPr>
            <b/>
            <sz val="9"/>
            <color indexed="81"/>
            <rFont val="Tahoma"/>
            <family val="2"/>
          </rPr>
          <t>Cassel, Lauren (Research):</t>
        </r>
        <r>
          <rPr>
            <sz val="9"/>
            <color indexed="81"/>
            <rFont val="Tahoma"/>
            <family val="2"/>
          </rPr>
          <t xml:space="preserve">
3/8/18: Digital penetration increased 340 basis points, expanding to just under 31% of revenue in the fourth quarter compared to 27% a year ago.</t>
        </r>
      </text>
    </comment>
    <comment ref="I234" authorId="2">
      <text>
        <r>
          <rPr>
            <b/>
            <sz val="8"/>
            <color indexed="81"/>
            <rFont val="Tahoma"/>
            <family val="2"/>
          </rPr>
          <t>Debbie Ong:</t>
        </r>
        <r>
          <rPr>
            <sz val="8"/>
            <color indexed="81"/>
            <rFont val="Tahoma"/>
            <family val="2"/>
          </rPr>
          <t xml:space="preserve">
assume 8 Thriftys open evenly throughout yr-2 per qtr. 5/24: 1Q conf call: this is 110 T/BN and 1 AE Canada stores</t>
        </r>
      </text>
    </comment>
    <comment ref="AX234" authorId="2">
      <text>
        <r>
          <rPr>
            <b/>
            <sz val="8"/>
            <color indexed="81"/>
            <rFont val="Tahoma"/>
            <family val="2"/>
          </rPr>
          <t>Debbie Ong:</t>
        </r>
        <r>
          <rPr>
            <sz val="8"/>
            <color indexed="81"/>
            <rFont val="Tahoma"/>
            <family val="2"/>
          </rPr>
          <t xml:space="preserve">
estimated $17 mm</t>
        </r>
      </text>
    </comment>
    <comment ref="I235" authorId="2">
      <text>
        <r>
          <rPr>
            <b/>
            <sz val="8"/>
            <color indexed="81"/>
            <rFont val="Tahoma"/>
            <family val="2"/>
          </rPr>
          <t>Debbie Ong:</t>
        </r>
        <r>
          <rPr>
            <sz val="8"/>
            <color indexed="81"/>
            <rFont val="Tahoma"/>
            <family val="2"/>
          </rPr>
          <t xml:space="preserve">
AE can- open 13 in May, 13 in June, 13 in July. Qtr end: 37 AE Canada and 110 BN/T stores</t>
        </r>
      </text>
    </comment>
    <comment ref="R235" authorId="2">
      <text>
        <r>
          <rPr>
            <b/>
            <sz val="8"/>
            <color indexed="81"/>
            <rFont val="Tahoma"/>
            <family val="2"/>
          </rPr>
          <t>Debbie Ong:</t>
        </r>
        <r>
          <rPr>
            <sz val="8"/>
            <color indexed="81"/>
            <rFont val="Tahoma"/>
            <family val="2"/>
          </rPr>
          <t xml:space="preserve">
23.8</t>
        </r>
      </text>
    </comment>
    <comment ref="AM235" authorId="2">
      <text>
        <r>
          <rPr>
            <b/>
            <sz val="8"/>
            <color indexed="81"/>
            <rFont val="Tahoma"/>
            <family val="2"/>
          </rPr>
          <t>Debbie Ong:</t>
        </r>
        <r>
          <rPr>
            <sz val="8"/>
            <color indexed="81"/>
            <rFont val="Tahoma"/>
            <family val="2"/>
          </rPr>
          <t xml:space="preserve">
judy said new stores do abt $1.4 mm. being more conservative w/ 1.3. 8/20: estimated, because did not provide breakout for AE Canada</t>
        </r>
      </text>
    </comment>
    <comment ref="AX235" authorId="4">
      <text>
        <r>
          <rPr>
            <b/>
            <sz val="8"/>
            <color indexed="81"/>
            <rFont val="Tahoma"/>
            <family val="2"/>
          </rPr>
          <t>dong2:</t>
        </r>
        <r>
          <rPr>
            <sz val="8"/>
            <color indexed="81"/>
            <rFont val="Tahoma"/>
            <family val="2"/>
          </rPr>
          <t xml:space="preserve">
estimated $20 mm. 8/20: actual</t>
        </r>
      </text>
    </comment>
    <comment ref="I236" authorId="2">
      <text>
        <r>
          <rPr>
            <b/>
            <sz val="8"/>
            <color indexed="81"/>
            <rFont val="Tahoma"/>
            <family val="2"/>
          </rPr>
          <t>Debbie Ong:</t>
        </r>
        <r>
          <rPr>
            <sz val="8"/>
            <color indexed="81"/>
            <rFont val="Tahoma"/>
            <family val="2"/>
          </rPr>
          <t xml:space="preserve">
AE Can - 9 in August. ON 2Q01 conf. Call said will end yr with 46 AE Stores, so reduce to 7 AE store openings</t>
        </r>
      </text>
    </comment>
    <comment ref="AX236" authorId="4">
      <text>
        <r>
          <rPr>
            <b/>
            <sz val="8"/>
            <color indexed="81"/>
            <rFont val="Tahoma"/>
            <family val="2"/>
          </rPr>
          <t>dong2:</t>
        </r>
        <r>
          <rPr>
            <sz val="8"/>
            <color indexed="81"/>
            <rFont val="Tahoma"/>
            <family val="2"/>
          </rPr>
          <t xml:space="preserve">
estimated $24.6. Actual: 29.4 mm</t>
        </r>
      </text>
    </comment>
    <comment ref="AX237" authorId="4">
      <text>
        <r>
          <rPr>
            <b/>
            <sz val="8"/>
            <color indexed="81"/>
            <rFont val="Tahoma"/>
            <family val="2"/>
          </rPr>
          <t>dong2:</t>
        </r>
        <r>
          <rPr>
            <sz val="8"/>
            <color indexed="81"/>
            <rFont val="Tahoma"/>
            <family val="2"/>
          </rPr>
          <t xml:space="preserve">
estimated 32.2 mm</t>
        </r>
      </text>
    </comment>
    <comment ref="AX238" authorId="2">
      <text>
        <r>
          <rPr>
            <b/>
            <sz val="8"/>
            <color indexed="81"/>
            <rFont val="Tahoma"/>
            <family val="2"/>
          </rPr>
          <t>Debbie Ong:</t>
        </r>
        <r>
          <rPr>
            <sz val="8"/>
            <color indexed="81"/>
            <rFont val="Tahoma"/>
            <family val="2"/>
          </rPr>
          <t xml:space="preserve">
est from co. Added $3.4 mm b/c co. exceeded our est. by that much in 1Q01. Added $3 mm b/c co. exceeded our est. by APPROX. that much in 2Q01. 2/6: estimated $98.4 mm</t>
        </r>
      </text>
    </comment>
    <comment ref="E241" authorId="5">
      <text>
        <r>
          <rPr>
            <sz val="8"/>
            <color indexed="81"/>
            <rFont val="Tahoma"/>
            <family val="2"/>
          </rPr>
          <t>(14.4)</t>
        </r>
      </text>
    </comment>
    <comment ref="O241" authorId="4">
      <text>
        <r>
          <rPr>
            <b/>
            <sz val="8"/>
            <color indexed="81"/>
            <rFont val="Tahoma"/>
            <family val="2"/>
          </rPr>
          <t>dong2:</t>
        </r>
        <r>
          <rPr>
            <sz val="8"/>
            <color indexed="81"/>
            <rFont val="Tahoma"/>
            <family val="2"/>
          </rPr>
          <t xml:space="preserve">
assume 90% prodtvty since stores have mostly been performing ahead of expectations
2/6: bring down TO 70 b/c in 2H01 stores performed below plan. Weight oppty toward 2H02 given poor pfce 2H01</t>
        </r>
      </text>
    </comment>
    <comment ref="E243" authorId="5">
      <text>
        <r>
          <rPr>
            <sz val="8"/>
            <color indexed="81"/>
            <rFont val="Tahoma"/>
            <family val="2"/>
          </rPr>
          <t>had (8), then (20). 1q-3q numbers are all ACTUAL</t>
        </r>
      </text>
    </comment>
    <comment ref="E244" authorId="5">
      <text>
        <r>
          <rPr>
            <sz val="8"/>
            <color indexed="81"/>
            <rFont val="Tahoma"/>
            <family val="2"/>
          </rPr>
          <t>(15.0)</t>
        </r>
      </text>
    </comment>
    <comment ref="E248" authorId="6">
      <text>
        <r>
          <rPr>
            <b/>
            <sz val="8"/>
            <color indexed="81"/>
            <rFont val="Tahoma"/>
            <family val="2"/>
          </rPr>
          <t>dliu:</t>
        </r>
        <r>
          <rPr>
            <sz val="8"/>
            <color indexed="81"/>
            <rFont val="Tahoma"/>
            <family val="2"/>
          </rPr>
          <t xml:space="preserve">
(15.0), (17.0)</t>
        </r>
      </text>
    </comment>
    <comment ref="R248" authorId="6">
      <text>
        <r>
          <rPr>
            <b/>
            <sz val="8"/>
            <color indexed="81"/>
            <rFont val="Tahoma"/>
            <family val="2"/>
          </rPr>
          <t>dliu:</t>
        </r>
        <r>
          <rPr>
            <sz val="8"/>
            <color indexed="81"/>
            <rFont val="Tahoma"/>
            <family val="2"/>
          </rPr>
          <t xml:space="preserve">
14.3</t>
        </r>
      </text>
    </comment>
    <comment ref="E249" authorId="6">
      <text>
        <r>
          <rPr>
            <b/>
            <sz val="8"/>
            <color indexed="81"/>
            <rFont val="Tahoma"/>
            <family val="2"/>
          </rPr>
          <t>dliu:</t>
        </r>
        <r>
          <rPr>
            <sz val="8"/>
            <color indexed="81"/>
            <rFont val="Tahoma"/>
            <family val="2"/>
          </rPr>
          <t xml:space="preserve">
(10.0)</t>
        </r>
      </text>
    </comment>
    <comment ref="E250" authorId="6">
      <text>
        <r>
          <rPr>
            <b/>
            <sz val="8"/>
            <color indexed="81"/>
            <rFont val="Tahoma"/>
            <family val="2"/>
          </rPr>
          <t>dliu:</t>
        </r>
        <r>
          <rPr>
            <sz val="8"/>
            <color indexed="81"/>
            <rFont val="Tahoma"/>
            <family val="2"/>
          </rPr>
          <t xml:space="preserve">
(6), (8)</t>
        </r>
      </text>
    </comment>
    <comment ref="G250" authorId="26">
      <text>
        <r>
          <rPr>
            <b/>
            <sz val="10"/>
            <color indexed="81"/>
            <rFont val="Tahoma"/>
            <family val="2"/>
          </rPr>
          <t>kgreenbe:</t>
        </r>
        <r>
          <rPr>
            <sz val="10"/>
            <color indexed="81"/>
            <rFont val="Tahoma"/>
            <family val="2"/>
          </rPr>
          <t xml:space="preserve">
assumes 11% currency reflation of Canadian $ vs. US$</t>
        </r>
      </text>
    </comment>
    <comment ref="R250" authorId="5">
      <text>
        <r>
          <rPr>
            <sz val="8"/>
            <color indexed="81"/>
            <rFont val="Tahoma"/>
            <family val="2"/>
          </rPr>
          <t>22.4</t>
        </r>
      </text>
    </comment>
    <comment ref="E251" authorId="6">
      <text>
        <r>
          <rPr>
            <b/>
            <sz val="8"/>
            <color indexed="81"/>
            <rFont val="Tahoma"/>
            <family val="2"/>
          </rPr>
          <t>dliu:</t>
        </r>
        <r>
          <rPr>
            <sz val="8"/>
            <color indexed="81"/>
            <rFont val="Tahoma"/>
            <family val="2"/>
          </rPr>
          <t xml:space="preserve">
-5</t>
        </r>
      </text>
    </comment>
    <comment ref="G251" authorId="26">
      <text>
        <r>
          <rPr>
            <b/>
            <sz val="10"/>
            <color indexed="81"/>
            <rFont val="Tahoma"/>
            <family val="2"/>
          </rPr>
          <t>kgreenbe:</t>
        </r>
        <r>
          <rPr>
            <sz val="10"/>
            <color indexed="81"/>
            <rFont val="Tahoma"/>
            <family val="2"/>
          </rPr>
          <t xml:space="preserve">
assumes 11% currency reflation of Canadian $ vs. US$</t>
        </r>
      </text>
    </comment>
    <comment ref="I251" authorId="6">
      <text>
        <r>
          <rPr>
            <b/>
            <sz val="8"/>
            <color indexed="81"/>
            <rFont val="Tahoma"/>
            <family val="2"/>
          </rPr>
          <t>dliu:</t>
        </r>
        <r>
          <rPr>
            <sz val="8"/>
            <color indexed="81"/>
            <rFont val="Tahoma"/>
            <family val="2"/>
          </rPr>
          <t xml:space="preserve">
110</t>
        </r>
      </text>
    </comment>
    <comment ref="E255" authorId="6">
      <text>
        <r>
          <rPr>
            <b/>
            <sz val="8"/>
            <color indexed="81"/>
            <rFont val="Tahoma"/>
            <family val="2"/>
          </rPr>
          <t>dliu:</t>
        </r>
        <r>
          <rPr>
            <sz val="8"/>
            <color indexed="81"/>
            <rFont val="Tahoma"/>
            <family val="2"/>
          </rPr>
          <t xml:space="preserve">
7</t>
        </r>
      </text>
    </comment>
  </commentList>
</comments>
</file>

<file path=xl/comments3.xml><?xml version="1.0" encoding="utf-8"?>
<comments xmlns="http://schemas.openxmlformats.org/spreadsheetml/2006/main">
  <authors>
    <author>gargneh</author>
  </authors>
  <commentList>
    <comment ref="A1" authorId="0">
      <text>
        <r>
          <rPr>
            <b/>
            <sz val="8"/>
            <color indexed="81"/>
            <rFont val="Tahoma"/>
            <family val="2"/>
          </rPr>
          <t>卟䙄_x0001_＀＀栫䲴_x001E_䕁ⵏ单䙞彇剐䍉⡅㄰㌯⼱〲㜰Ⱜ⥄_x0018_＀＀_x0018_＀＀_x0008_＀＀_x0001_＀＀_x0001_＀＀㵱휊ィ䁀剮䲴_x001A_䕁ⵏ单坞当奆⡃⤰䍀彁奆⡃⤰_x0018_＀＀_x0018_＀＀_x0008_＀＀_x0001_＀＀_x0008_＀＀㄰㈯㄰0栫䲴_x001E_䕁ⵏ单䙞彇剐䍉⡅㄰㌯⼱〲㈰Ⱜ⥄_x0018_＀＀_x0018_＀＀_x0008_＀＀_x0001_＀＀_x0001_＀＀ₖꀣ䀠栫䲴_x001E_䕁ⵏ单䙞彇剐䍉⡅㄰㌯⼱〲㘰Ⱜ⥄_x0018_＀＀_x0018_＀＀_x0008_＀＀_x0001_＀＀_x0001_＀＀ጼ⒚ﲖ䀱刿䲴_x0015_䕁ⵏ单坞当卉彏佃䕄〨착_x0014_＀＀_x0018_＀＀_x0004_＀＀_x0001_＀＀_x0008_＀＀单D栫䲴_x001E_䕁ⵏ单䙞彇剐䍉⡅㄰㌯⼱㤱㤹Ⱜ⥄_x0018_＀＀_x0018_＀＀_x0008_＀＀_x0001_＀＀_x0001_＀＀캎⧹掎䀞栫䲴_x001E_䕁ⵏ单䙞彇剐䍉⡅㄰㌯⼱〲㄰Ⱜ⥄_x0018_＀＀_x0018_＀＀_x0008_＀＀_x0001_＀＀_x0001_＀＀玣詾룣䀩栫䲴_x001E_䕁ⵏ单䙞彇剐䍉⡅㄰㌯⼱〲〱Ⱜ⥄_x0018_＀＀_x0018_＀＀_x0008_＀＀_x0001_＀＀_x0001_＀＀ᑺ잮䀯栫䲴_x001E_䕁ⵏ单䙞彇剐䍉⡅㄰㌯⼱〲㔰Ⱜ⥄_x0018_＀＀_x0018_＀＀_x0008_＀＀_x0001_＀＀_x0001_＀＀佮_xD890_䀰栫䲴_x001E_䕁ⵏ单䙞彇剐䍉⡅㄰㌯⼱〲〰Ⱜ⥄_x0018_＀＀_x0018_＀＀_x0008_＀＀_x0001_＀＀_x0001_＀＀뷏䮇⎎䀠栫䲴_x001E_䕁ⵏ单䙞彇剐䍉⡅㄰㌯⼱〲㤰Ⱜ⥄_x0018_＀＀_x0018_＀＀_x0008_＀＀_x0001_＀＀_x0001_＀＀롑Ԟ䀢栫䲴_x001E_䕁ⵏ单䙞彇剐䍉⡅㄰㌯⼱〲㐰Ⱜ⥄_x0018_＀＀_x0018_＀＀_x0008_＀＀_x0001_＀＀_x0001_＀＀ꙕ莘펠䀘栫䲴_x001E_䕁ⵏ单䙞彇剐䍉⡅㄰㌯⼱〲㠰Ⱜ⥄_x0018_＀＀_x0018_＀＀_x0008_＀＀_x0001_＀＀_x0001_＀＀ᑻ䞮﫡䀶栫䲴_x001E_䕁ⵏ单䙞彇剐䍉⡅㄰㌯⼱〲㌰Ⱜ⥄_x0018_＀＀_x0018_＀＀_x0008_＀＀_x0001_＀＀_x0001_＀＀竡긔䀕</t>
        </r>
      </text>
    </comment>
    <comment ref="B1" authorId="0">
      <text>
        <r>
          <rPr>
            <b/>
            <sz val="8"/>
            <color indexed="81"/>
            <rFont val="Tahoma"/>
            <family val="2"/>
          </rPr>
          <t>515</t>
        </r>
      </text>
    </comment>
  </commentList>
</comments>
</file>

<file path=xl/comments4.xml><?xml version="1.0" encoding="utf-8"?>
<comments xmlns="http://schemas.openxmlformats.org/spreadsheetml/2006/main">
  <authors>
    <author>marchant</author>
    <author>Debbie Ong</author>
    <author>dong2</author>
    <author>dliu</author>
    <author>Corinna Freedman</author>
    <author>MB33100</author>
    <author>OC48540</author>
    <author>yc63845</author>
    <author>lr73192</author>
    <author>P Kahng</author>
    <author>nicholjs</author>
    <author>kahng</author>
    <author>solejay</author>
    <author>casselau</author>
    <author>Cassel, Lauren (Research)</author>
    <author>Lehman Brothers</author>
    <author>Melissa Sefl</author>
    <author>mm98285</author>
    <author>oc48540</author>
    <author>TI23070</author>
    <author>Roberts, Cynthia (Research)</author>
    <author>CREDIT SUISSE FIRST BOSTON</author>
    <author>ns66486</author>
    <author>antons</author>
    <author>kgreenbe</author>
    <author>kg51925</author>
    <author>kimberlg</author>
    <author>Morry Brown</author>
    <author>Kimberly Greenberger</author>
    <author>balskyh</author>
    <author>Margaret Marchant</author>
    <author>KG51925</author>
    <author>ti23070</author>
    <author>NS66486</author>
  </authors>
  <commentList>
    <comment ref="BH6" authorId="0">
      <text>
        <r>
          <rPr>
            <b/>
            <sz val="8"/>
            <color indexed="81"/>
            <rFont val="Tahoma"/>
            <family val="2"/>
          </rPr>
          <t>marchant:</t>
        </r>
        <r>
          <rPr>
            <sz val="8"/>
            <color indexed="81"/>
            <rFont val="Tahoma"/>
            <family val="2"/>
          </rPr>
          <t xml:space="preserve">
EPS excludes M+O (backed out after 4Q earnings call announcement of closure)</t>
        </r>
      </text>
    </comment>
    <comment ref="DH9" authorId="1">
      <text>
        <r>
          <rPr>
            <b/>
            <sz val="8"/>
            <color indexed="81"/>
            <rFont val="Tahoma"/>
            <family val="2"/>
          </rPr>
          <t>Debbie Ong:</t>
        </r>
        <r>
          <rPr>
            <sz val="8"/>
            <color indexed="81"/>
            <rFont val="Tahoma"/>
            <family val="2"/>
          </rPr>
          <t xml:space="preserve">
these were our estimates prior to 4Q00 reporting. </t>
        </r>
      </text>
    </comment>
    <comment ref="DN9" authorId="1">
      <text>
        <r>
          <rPr>
            <b/>
            <sz val="8"/>
            <color indexed="81"/>
            <rFont val="Tahoma"/>
            <family val="2"/>
          </rPr>
          <t>Debbie Ong:</t>
        </r>
        <r>
          <rPr>
            <sz val="8"/>
            <color indexed="81"/>
            <rFont val="Tahoma"/>
            <family val="2"/>
          </rPr>
          <t xml:space="preserve">
these were our estimates prior to 4Q00 reporting. </t>
        </r>
      </text>
    </comment>
    <comment ref="W10" authorId="1">
      <text>
        <r>
          <rPr>
            <b/>
            <sz val="8"/>
            <color indexed="81"/>
            <rFont val="Tahoma"/>
            <family val="2"/>
          </rPr>
          <t xml:space="preserve">Debbie Ong:
</t>
        </r>
        <r>
          <rPr>
            <sz val="8"/>
            <color indexed="81"/>
            <rFont val="Tahoma"/>
            <family val="2"/>
          </rPr>
          <t>I-net sales est at $3mm</t>
        </r>
      </text>
    </comment>
    <comment ref="AB10" authorId="1">
      <text>
        <r>
          <rPr>
            <b/>
            <sz val="8"/>
            <color indexed="81"/>
            <rFont val="Tahoma"/>
            <family val="2"/>
          </rPr>
          <t>Debbie Ong:</t>
        </r>
        <r>
          <rPr>
            <sz val="8"/>
            <color indexed="81"/>
            <rFont val="Tahoma"/>
            <family val="2"/>
          </rPr>
          <t xml:space="preserve">
had 221.4. had 224.6</t>
        </r>
      </text>
    </comment>
    <comment ref="AF10" authorId="2">
      <text>
        <r>
          <rPr>
            <b/>
            <sz val="8"/>
            <color indexed="81"/>
            <rFont val="Tahoma"/>
            <family val="2"/>
          </rPr>
          <t>dong2:</t>
        </r>
        <r>
          <rPr>
            <sz val="8"/>
            <color indexed="81"/>
            <rFont val="Tahoma"/>
            <family val="2"/>
          </rPr>
          <t xml:space="preserve">
288.7, then 276.6</t>
        </r>
      </text>
    </comment>
    <comment ref="AH10" authorId="2">
      <text>
        <r>
          <rPr>
            <b/>
            <sz val="8"/>
            <color indexed="81"/>
            <rFont val="Tahoma"/>
            <family val="2"/>
          </rPr>
          <t>dong2:</t>
        </r>
        <r>
          <rPr>
            <sz val="8"/>
            <color indexed="81"/>
            <rFont val="Tahoma"/>
            <family val="2"/>
          </rPr>
          <t xml:space="preserve">
1.5. (6.1) for consolidated, (5.0) for AEOS U.S.</t>
        </r>
      </text>
    </comment>
    <comment ref="AJ10" authorId="3">
      <text>
        <r>
          <rPr>
            <b/>
            <sz val="8"/>
            <color indexed="81"/>
            <rFont val="Tahoma"/>
            <family val="2"/>
          </rPr>
          <t>dliu:</t>
        </r>
        <r>
          <rPr>
            <sz val="8"/>
            <color indexed="81"/>
            <rFont val="Tahoma"/>
            <family val="2"/>
          </rPr>
          <t xml:space="preserve">
298.2, 296.5, 288.5</t>
        </r>
      </text>
    </comment>
    <comment ref="AR10" authorId="4">
      <text>
        <r>
          <rPr>
            <b/>
            <sz val="8"/>
            <color indexed="81"/>
            <rFont val="Tahoma"/>
            <family val="2"/>
          </rPr>
          <t>Corinna Freedman:</t>
        </r>
        <r>
          <rPr>
            <sz val="8"/>
            <color indexed="81"/>
            <rFont val="Tahoma"/>
            <family val="2"/>
          </rPr>
          <t xml:space="preserve">
447.1</t>
        </r>
      </text>
    </comment>
    <comment ref="AV10" authorId="5">
      <text>
        <r>
          <rPr>
            <b/>
            <sz val="8"/>
            <color indexed="81"/>
            <rFont val="Tahoma"/>
            <family val="2"/>
          </rPr>
          <t>MB33100:</t>
        </r>
        <r>
          <rPr>
            <sz val="8"/>
            <color indexed="81"/>
            <rFont val="Tahoma"/>
            <family val="2"/>
          </rPr>
          <t xml:space="preserve">
507.7</t>
        </r>
      </text>
    </comment>
    <comment ref="BF10" authorId="6">
      <text>
        <r>
          <rPr>
            <sz val="8"/>
            <color indexed="81"/>
            <rFont val="Tahoma"/>
            <family val="2"/>
          </rPr>
          <t>3/12/08: Expect neg. comp</t>
        </r>
      </text>
    </comment>
    <comment ref="BH10" authorId="7">
      <text>
        <r>
          <rPr>
            <b/>
            <sz val="8"/>
            <color indexed="81"/>
            <rFont val="Tahoma"/>
            <family val="2"/>
          </rPr>
          <t xml:space="preserve">lr73192:
</t>
        </r>
        <r>
          <rPr>
            <sz val="8"/>
            <color indexed="81"/>
            <rFont val="Tahoma"/>
            <family val="2"/>
          </rPr>
          <t>5/26/10: Removed M+O $10.307M</t>
        </r>
        <r>
          <rPr>
            <b/>
            <sz val="8"/>
            <color indexed="81"/>
            <rFont val="Tahoma"/>
            <family val="2"/>
          </rPr>
          <t xml:space="preserve">
yc63845:</t>
        </r>
        <r>
          <rPr>
            <sz val="8"/>
            <color indexed="81"/>
            <rFont val="Tahoma"/>
            <family val="2"/>
          </rPr>
          <t xml:space="preserve">
$601mm rev excl M+O</t>
        </r>
      </text>
    </comment>
    <comment ref="BL10" authorId="8">
      <text>
        <r>
          <rPr>
            <b/>
            <sz val="8"/>
            <color indexed="81"/>
            <rFont val="Tahoma"/>
            <family val="2"/>
          </rPr>
          <t xml:space="preserve">lr73192:
</t>
        </r>
        <r>
          <rPr>
            <sz val="8"/>
            <color indexed="81"/>
            <rFont val="Tahoma"/>
            <family val="2"/>
          </rPr>
          <t>5/26/10: excl M+O $10.991M</t>
        </r>
        <r>
          <rPr>
            <sz val="8"/>
            <color indexed="81"/>
            <rFont val="Tahoma"/>
            <family val="2"/>
          </rPr>
          <t xml:space="preserve">
5/6/10: est 651.8</t>
        </r>
      </text>
    </comment>
    <comment ref="BN10" authorId="8">
      <text>
        <r>
          <rPr>
            <b/>
            <sz val="8"/>
            <color indexed="81"/>
            <rFont val="Tahoma"/>
            <family val="2"/>
          </rPr>
          <t>lr73192:</t>
        </r>
        <r>
          <rPr>
            <sz val="8"/>
            <color indexed="81"/>
            <rFont val="Tahoma"/>
            <family val="2"/>
          </rPr>
          <t xml:space="preserve">
AE brand +5%
aerie +23%
AEO Direct (not in comp) +1%
5/10: est 7%</t>
        </r>
      </text>
    </comment>
    <comment ref="BP10" authorId="9">
      <text>
        <r>
          <rPr>
            <b/>
            <sz val="8"/>
            <color indexed="81"/>
            <rFont val="Tahoma"/>
            <family val="2"/>
          </rPr>
          <t xml:space="preserve">P Kahng: 5/23/12: </t>
        </r>
        <r>
          <rPr>
            <sz val="8"/>
            <color indexed="81"/>
            <rFont val="Tahoma"/>
            <family val="2"/>
          </rPr>
          <t>excludes 77kids. GAAP was $609.562M</t>
        </r>
        <r>
          <rPr>
            <sz val="8"/>
            <color indexed="81"/>
            <rFont val="Tahoma"/>
            <family val="2"/>
          </rPr>
          <t xml:space="preserve">
</t>
        </r>
      </text>
    </comment>
    <comment ref="BR10" authorId="10">
      <text>
        <r>
          <rPr>
            <b/>
            <sz val="8"/>
            <color indexed="81"/>
            <rFont val="Tahoma"/>
            <family val="2"/>
          </rPr>
          <t>nicholjs:</t>
        </r>
        <r>
          <rPr>
            <sz val="8"/>
            <color indexed="81"/>
            <rFont val="Tahoma"/>
            <family val="2"/>
          </rPr>
          <t xml:space="preserve">
AE brand -8%
aerie -7%
AEO Direct +3% (not in comp)
3/2011: expect (3)% to flat</t>
        </r>
      </text>
    </comment>
    <comment ref="BT10" authorId="9">
      <text>
        <r>
          <rPr>
            <b/>
            <sz val="8"/>
            <color indexed="81"/>
            <rFont val="Tahoma"/>
            <family val="2"/>
          </rPr>
          <t xml:space="preserve">5/22/12: </t>
        </r>
        <r>
          <rPr>
            <sz val="8"/>
            <color indexed="81"/>
            <rFont val="Tahoma"/>
            <family val="2"/>
          </rPr>
          <t>reflects disposal of 77kids. GAAP revs are $719.093</t>
        </r>
        <r>
          <rPr>
            <b/>
            <sz val="8"/>
            <color indexed="81"/>
            <rFont val="Tahoma"/>
            <family val="2"/>
          </rPr>
          <t xml:space="preserve">
P Kahng: </t>
        </r>
        <r>
          <rPr>
            <sz val="8"/>
            <color indexed="81"/>
            <rFont val="Tahoma"/>
            <family val="2"/>
          </rPr>
          <t>5/1/12: AEO preannc 1Q sales $719M. Prev at $661.7M</t>
        </r>
      </text>
    </comment>
    <comment ref="BV10" authorId="11">
      <text>
        <r>
          <rPr>
            <b/>
            <sz val="8"/>
            <color indexed="81"/>
            <rFont val="Tahoma"/>
            <family val="2"/>
          </rPr>
          <t>8/22/2012: +</t>
        </r>
        <r>
          <rPr>
            <sz val="8"/>
            <color indexed="81"/>
            <rFont val="Tahoma"/>
            <family val="2"/>
          </rPr>
          <t>17% comp; we estimate SSS ~+14.4% ex e-comm</t>
        </r>
        <r>
          <rPr>
            <b/>
            <sz val="8"/>
            <color indexed="81"/>
            <rFont val="Tahoma"/>
            <family val="2"/>
          </rPr>
          <t xml:space="preserve">
5/1/12: </t>
        </r>
        <r>
          <rPr>
            <sz val="8"/>
            <color indexed="81"/>
            <rFont val="Tahoma"/>
            <family val="2"/>
          </rPr>
          <t xml:space="preserve">was at 7%, AEO preannc 1Q sales with 17% comp incl e-com. Estimating 16% excl e-com with 1% spread. March was strongest with Easter and warm weather, April was second strongest and February was 3rd. All 3 months were not double digit. </t>
        </r>
        <r>
          <rPr>
            <b/>
            <sz val="8"/>
            <color indexed="81"/>
            <rFont val="Tahoma"/>
            <family val="2"/>
          </rPr>
          <t xml:space="preserve">
4/5/12: </t>
        </r>
        <r>
          <rPr>
            <sz val="8"/>
            <color indexed="81"/>
            <rFont val="Tahoma"/>
            <family val="2"/>
          </rPr>
          <t>was at 6%</t>
        </r>
        <r>
          <rPr>
            <b/>
            <sz val="8"/>
            <color indexed="81"/>
            <rFont val="Tahoma"/>
            <family val="2"/>
          </rPr>
          <t xml:space="preserve">
3/7/12 4Q: </t>
        </r>
        <r>
          <rPr>
            <sz val="8"/>
            <color indexed="81"/>
            <rFont val="Tahoma"/>
            <family val="2"/>
          </rPr>
          <t xml:space="preserve">Feb positive comps with well balanced selling of spring product and clearance. Was at 8%. Expect AURs to be down in 1Q but as they progress thru spring season, expect AUR to come back up a bit. Back half should see a little bit higher AURs as well
</t>
        </r>
      </text>
    </comment>
    <comment ref="BZ10" authorId="12">
      <text>
        <r>
          <rPr>
            <b/>
            <sz val="8"/>
            <color indexed="81"/>
            <rFont val="Tahoma"/>
            <family val="2"/>
          </rPr>
          <t xml:space="preserve">5/22/13: </t>
        </r>
        <r>
          <rPr>
            <sz val="8"/>
            <color indexed="81"/>
            <rFont val="Tahoma"/>
            <family val="2"/>
          </rPr>
          <t>AE -6%, aerie +4%, Direct +24% (aerie direct +38%)</t>
        </r>
        <r>
          <rPr>
            <b/>
            <sz val="8"/>
            <color indexed="81"/>
            <rFont val="Tahoma"/>
            <family val="2"/>
          </rPr>
          <t xml:space="preserve">
casselau:
</t>
        </r>
        <r>
          <rPr>
            <sz val="8"/>
            <color indexed="81"/>
            <rFont val="Tahoma"/>
            <family val="2"/>
          </rPr>
          <t xml:space="preserve">3/6/13: guidance -MSD; Judy: neg MSD is what we’ve seen to date.  MSD is Feb and not assuming rebound in March and April </t>
        </r>
        <r>
          <rPr>
            <b/>
            <sz val="8"/>
            <color indexed="81"/>
            <rFont val="Tahoma"/>
            <family val="2"/>
          </rPr>
          <t>solejay:</t>
        </r>
        <r>
          <rPr>
            <sz val="8"/>
            <color indexed="81"/>
            <rFont val="Tahoma"/>
            <family val="2"/>
          </rPr>
          <t xml:space="preserve">
includes stores + internet</t>
        </r>
      </text>
    </comment>
    <comment ref="CD10" authorId="13">
      <text>
        <r>
          <rPr>
            <b/>
            <sz val="8"/>
            <color indexed="81"/>
            <rFont val="Tahoma"/>
            <family val="2"/>
          </rPr>
          <t xml:space="preserve">casselau:
5/21/14: </t>
        </r>
        <r>
          <rPr>
            <sz val="8"/>
            <color indexed="81"/>
            <rFont val="Tahoma"/>
            <family val="2"/>
          </rPr>
          <t>ADS -MSD, AUR -MSD, transactions -LSD;</t>
        </r>
        <r>
          <rPr>
            <b/>
            <sz val="8"/>
            <color indexed="81"/>
            <rFont val="Tahoma"/>
            <family val="2"/>
          </rPr>
          <t xml:space="preserve"> </t>
        </r>
        <r>
          <rPr>
            <sz val="8"/>
            <color indexed="81"/>
            <rFont val="Tahoma"/>
            <family val="2"/>
          </rPr>
          <t>AE -11% (Men's -13%, women's -10%), Aerie -4%, Factory -5% 
3/11/14: guidance -HSD comp; 900 full day or partial store closures</t>
        </r>
      </text>
    </comment>
    <comment ref="CH10" authorId="13">
      <text>
        <r>
          <rPr>
            <b/>
            <sz val="9"/>
            <color indexed="81"/>
            <rFont val="Tahoma"/>
            <family val="2"/>
          </rPr>
          <t xml:space="preserve">casselau:
5/20/15: AE +7%, aerie +12%; ADS +LDD, AUR +12%, transactions -LSD (-1%) (traffic flat); women's +10%, Men's +2% </t>
        </r>
        <r>
          <rPr>
            <sz val="9"/>
            <color indexed="81"/>
            <rFont val="Tahoma"/>
            <family val="2"/>
          </rPr>
          <t xml:space="preserve">
3/2/15: guidance +MSD comp</t>
        </r>
      </text>
    </comment>
    <comment ref="CL10" authorId="13">
      <text>
        <r>
          <rPr>
            <b/>
            <sz val="9"/>
            <color indexed="81"/>
            <rFont val="Tahoma"/>
            <family val="2"/>
          </rPr>
          <t>casselau:</t>
        </r>
        <r>
          <rPr>
            <sz val="9"/>
            <color indexed="81"/>
            <rFont val="Tahoma"/>
            <family val="2"/>
          </rPr>
          <t xml:space="preserve">
5/18/16: AE +4% (Women's +9%, men's -3%); Aerie +32%; Factory +3%; </t>
        </r>
        <r>
          <rPr>
            <b/>
            <sz val="9"/>
            <color indexed="81"/>
            <rFont val="Tahoma"/>
            <family val="2"/>
          </rPr>
          <t xml:space="preserve">+MSD ADS, +MSD AUR; transactions flat, comp traffic +LSD (store traffic -2%, store transactions down slightly, mall traffic -7%); higher UPT; </t>
        </r>
        <r>
          <rPr>
            <sz val="9"/>
            <color indexed="81"/>
            <rFont val="Tahoma"/>
            <family val="2"/>
          </rPr>
          <t xml:space="preserve"> positive comps both in store and online; all months positive (Feb/March nicely positive, April slower)
3/2/16: +MSD guidance</t>
        </r>
      </text>
    </comment>
    <comment ref="CN10" authorId="14">
      <text>
        <r>
          <rPr>
            <b/>
            <sz val="9"/>
            <color indexed="81"/>
            <rFont val="Tahoma"/>
            <family val="2"/>
          </rPr>
          <t>Cassel, Lauren (Research):</t>
        </r>
        <r>
          <rPr>
            <sz val="9"/>
            <color indexed="81"/>
            <rFont val="Tahoma"/>
            <family val="2"/>
          </rPr>
          <t xml:space="preserve">
Total net revenue included approximately $5 million received from the termination of the license agreement with the third-party operator. </t>
        </r>
      </text>
    </comment>
    <comment ref="CO10" authorId="14">
      <text>
        <r>
          <rPr>
            <b/>
            <sz val="9"/>
            <color indexed="81"/>
            <rFont val="Tahoma"/>
            <family val="2"/>
          </rPr>
          <t>Cassel, Lauren (Research):</t>
        </r>
        <r>
          <rPr>
            <sz val="9"/>
            <color indexed="81"/>
            <rFont val="Tahoma"/>
            <family val="2"/>
          </rPr>
          <t xml:space="preserve">
3/1/17: per Judy zero spread in 1Q</t>
        </r>
      </text>
    </comment>
    <comment ref="CP10" authorId="14">
      <text>
        <r>
          <rPr>
            <b/>
            <sz val="9"/>
            <color indexed="81"/>
            <rFont val="Tahoma"/>
            <family val="2"/>
          </rPr>
          <t>Cassel, Lauren (Research):
5/17/17: AE -1% (Men's -6%, Women's -2%); aerie +25%; ADS -LSD, AUR -LSD, Comp transactions +MSD, comp traffic +MSD (store traffic -MSD); positive comps in AE M and W bottoms; women's apparel comps +MSD;</t>
        </r>
        <r>
          <rPr>
            <sz val="9"/>
            <color indexed="81"/>
            <rFont val="Tahoma"/>
            <family val="2"/>
          </rPr>
          <t xml:space="preserve">
3/1/17: guidance flat to -LSD comp; consistent with results thus far (expect AUR up slightly)</t>
        </r>
      </text>
    </comment>
    <comment ref="CS10" authorId="14">
      <text>
        <r>
          <rPr>
            <b/>
            <sz val="9"/>
            <color indexed="81"/>
            <rFont val="Tahoma"/>
            <family val="2"/>
          </rPr>
          <t>Cassel, Lauren (Research):</t>
        </r>
        <r>
          <rPr>
            <sz val="9"/>
            <color indexed="81"/>
            <rFont val="Tahoma"/>
            <family val="2"/>
          </rPr>
          <t xml:space="preserve">
3/8/18: per Judy 1% spread</t>
        </r>
      </text>
    </comment>
    <comment ref="CT10" authorId="14">
      <text>
        <r>
          <rPr>
            <b/>
            <sz val="9"/>
            <color indexed="81"/>
            <rFont val="Tahoma"/>
            <family val="2"/>
          </rPr>
          <t>Cassel, Lauren (Research):</t>
        </r>
        <r>
          <rPr>
            <sz val="9"/>
            <color indexed="81"/>
            <rFont val="Tahoma"/>
            <family val="2"/>
          </rPr>
          <t xml:space="preserve">
3/8/18: guidance +MSD (currently running slightly ahead of that)</t>
        </r>
      </text>
    </comment>
    <comment ref="AB11" authorId="1">
      <text>
        <r>
          <rPr>
            <b/>
            <sz val="8"/>
            <color indexed="81"/>
            <rFont val="Tahoma"/>
            <family val="2"/>
          </rPr>
          <t>Debbie Ong:</t>
        </r>
        <r>
          <rPr>
            <sz val="8"/>
            <color indexed="81"/>
            <rFont val="Tahoma"/>
            <family val="2"/>
          </rPr>
          <t xml:space="preserve">
had 279.1, then 275.9 b4 Jun comp, then 280.6 b4 Jul comp</t>
        </r>
      </text>
    </comment>
    <comment ref="AF11" authorId="15">
      <text>
        <r>
          <rPr>
            <sz val="8"/>
            <color indexed="81"/>
            <rFont val="Tahoma"/>
            <family val="2"/>
          </rPr>
          <t>329.5, then 322.6</t>
        </r>
      </text>
    </comment>
    <comment ref="AJ11" authorId="3">
      <text>
        <r>
          <rPr>
            <b/>
            <sz val="8"/>
            <color indexed="81"/>
            <rFont val="Tahoma"/>
            <family val="2"/>
          </rPr>
          <t>dliu:</t>
        </r>
        <r>
          <rPr>
            <sz val="8"/>
            <color indexed="81"/>
            <rFont val="Tahoma"/>
            <family val="2"/>
          </rPr>
          <t xml:space="preserve">
334.0, 342.8</t>
        </r>
      </text>
    </comment>
    <comment ref="AN11" authorId="16">
      <text>
        <r>
          <rPr>
            <b/>
            <sz val="8"/>
            <color indexed="81"/>
            <rFont val="Tahoma"/>
            <family val="2"/>
          </rPr>
          <t>Melissa Sefl:</t>
        </r>
        <r>
          <rPr>
            <sz val="8"/>
            <color indexed="81"/>
            <rFont val="Tahoma"/>
            <family val="2"/>
          </rPr>
          <t xml:space="preserve">
410.3</t>
        </r>
      </text>
    </comment>
    <comment ref="AP11" authorId="4">
      <text>
        <r>
          <rPr>
            <b/>
            <sz val="8"/>
            <color indexed="81"/>
            <rFont val="Tahoma"/>
            <family val="2"/>
          </rPr>
          <t>Corinna Freedman:</t>
        </r>
        <r>
          <rPr>
            <sz val="8"/>
            <color indexed="81"/>
            <rFont val="Tahoma"/>
            <family val="2"/>
          </rPr>
          <t xml:space="preserve">
excl BN comps were</t>
        </r>
      </text>
    </comment>
    <comment ref="AR11" authorId="4">
      <text>
        <r>
          <rPr>
            <b/>
            <sz val="8"/>
            <color indexed="81"/>
            <rFont val="Tahoma"/>
            <family val="2"/>
          </rPr>
          <t>Corinna Freedman:</t>
        </r>
        <r>
          <rPr>
            <sz val="8"/>
            <color indexed="81"/>
            <rFont val="Tahoma"/>
            <family val="2"/>
          </rPr>
          <t xml:space="preserve">
502.5</t>
        </r>
      </text>
    </comment>
    <comment ref="AV11" authorId="5">
      <text>
        <r>
          <rPr>
            <b/>
            <sz val="8"/>
            <color indexed="81"/>
            <rFont val="Tahoma"/>
            <family val="2"/>
          </rPr>
          <t>MB33100:</t>
        </r>
        <r>
          <rPr>
            <sz val="8"/>
            <color indexed="81"/>
            <rFont val="Tahoma"/>
            <family val="2"/>
          </rPr>
          <t xml:space="preserve">
598.5</t>
        </r>
      </text>
    </comment>
    <comment ref="AZ11" authorId="17">
      <text>
        <r>
          <rPr>
            <b/>
            <sz val="8"/>
            <color indexed="81"/>
            <rFont val="Tahoma"/>
            <family val="2"/>
          </rPr>
          <t>mm98285:</t>
        </r>
        <r>
          <rPr>
            <sz val="8"/>
            <color indexed="81"/>
            <rFont val="Tahoma"/>
            <family val="2"/>
          </rPr>
          <t xml:space="preserve">
10Q: includes $4.8mm related to gift card breakage during the current period (includes cumulative breakage revenue related to gift cards issued since the introduction of gift card program in 1998)
</t>
        </r>
      </text>
    </comment>
    <comment ref="BF11" authorId="6">
      <text>
        <r>
          <rPr>
            <b/>
            <sz val="8"/>
            <color indexed="81"/>
            <rFont val="Tahoma"/>
            <family val="2"/>
          </rPr>
          <t>OC48540:</t>
        </r>
        <r>
          <rPr>
            <sz val="8"/>
            <color indexed="81"/>
            <rFont val="Tahoma"/>
            <family val="2"/>
          </rPr>
          <t xml:space="preserve">
5/28: Assuming similar business trends will be experienced in the second quarter as we saw in the first</t>
        </r>
      </text>
    </comment>
    <comment ref="BH11" authorId="8">
      <text>
        <r>
          <rPr>
            <b/>
            <sz val="8"/>
            <color indexed="81"/>
            <rFont val="Tahoma"/>
            <family val="2"/>
          </rPr>
          <t>lr73192:</t>
        </r>
        <r>
          <rPr>
            <sz val="8"/>
            <color indexed="81"/>
            <rFont val="Tahoma"/>
            <family val="2"/>
          </rPr>
          <t xml:space="preserve">
5/26/10: Removed $10.798M for M+O</t>
        </r>
      </text>
    </comment>
    <comment ref="BJ11" authorId="18">
      <text>
        <r>
          <rPr>
            <b/>
            <sz val="8"/>
            <color indexed="81"/>
            <rFont val="Tahoma"/>
            <family val="2"/>
          </rPr>
          <t>oc48540:</t>
        </r>
        <r>
          <rPr>
            <sz val="8"/>
            <color indexed="81"/>
            <rFont val="Tahoma"/>
            <family val="2"/>
          </rPr>
          <t xml:space="preserve">
5/27: Guidance is based on current sales trends as EPS guidance at the low-end reflects current quarterly sales trend in the business (1Q09’s comp was -10%)</t>
        </r>
      </text>
    </comment>
    <comment ref="BR11" authorId="10">
      <text>
        <r>
          <rPr>
            <b/>
            <sz val="8"/>
            <color indexed="81"/>
            <rFont val="Tahoma"/>
            <family val="2"/>
          </rPr>
          <t xml:space="preserve">8/22/2012: </t>
        </r>
        <r>
          <rPr>
            <sz val="8"/>
            <color indexed="81"/>
            <rFont val="Tahoma"/>
            <family val="2"/>
          </rPr>
          <t xml:space="preserve">+1% ex 77 Kids (was flat previously)
</t>
        </r>
        <r>
          <rPr>
            <b/>
            <sz val="8"/>
            <color indexed="81"/>
            <rFont val="Tahoma"/>
            <family val="2"/>
          </rPr>
          <t xml:space="preserve">
nicholjs:</t>
        </r>
        <r>
          <rPr>
            <sz val="8"/>
            <color indexed="81"/>
            <rFont val="Tahoma"/>
            <family val="2"/>
          </rPr>
          <t xml:space="preserve">
AE brand: flat
aerie: -1%
AEO direct sales: +16% (not in comp)
5/25/2011: although early in 2Q, sales have improved from 1Q reflecting better trends in key items</t>
        </r>
      </text>
    </comment>
    <comment ref="BV11" authorId="9">
      <text>
        <r>
          <rPr>
            <b/>
            <sz val="8"/>
            <color indexed="81"/>
            <rFont val="Tahoma"/>
            <family val="2"/>
          </rPr>
          <t xml:space="preserve">8/22/2012: </t>
        </r>
        <r>
          <rPr>
            <sz val="8"/>
            <color indexed="81"/>
            <rFont val="Tahoma"/>
            <family val="2"/>
          </rPr>
          <t>Reported +9% comp, estimate ~+6% ex ecomm</t>
        </r>
        <r>
          <rPr>
            <b/>
            <sz val="8"/>
            <color indexed="81"/>
            <rFont val="Tahoma"/>
            <family val="2"/>
          </rPr>
          <t xml:space="preserve">
P Kahng:</t>
        </r>
        <r>
          <rPr>
            <sz val="8"/>
            <color indexed="81"/>
            <rFont val="Tahoma"/>
            <family val="2"/>
          </rPr>
          <t xml:space="preserve">
Assume warmer weather pulls Q2 sales into Q1. </t>
        </r>
      </text>
    </comment>
    <comment ref="BX11" authorId="13">
      <text>
        <r>
          <rPr>
            <b/>
            <sz val="8"/>
            <color indexed="81"/>
            <rFont val="Tahoma"/>
            <family val="2"/>
          </rPr>
          <t>casselau:</t>
        </r>
        <r>
          <rPr>
            <sz val="8"/>
            <color indexed="81"/>
            <rFont val="Tahoma"/>
            <family val="2"/>
          </rPr>
          <t xml:space="preserve">
8/22/13: week shift into 2Q out of 3Q was worth $30M</t>
        </r>
      </text>
    </comment>
    <comment ref="BY11" authorId="13">
      <text>
        <r>
          <rPr>
            <b/>
            <sz val="8"/>
            <color indexed="81"/>
            <rFont val="Tahoma"/>
            <family val="2"/>
          </rPr>
          <t>casselau:</t>
        </r>
        <r>
          <rPr>
            <sz val="8"/>
            <color indexed="81"/>
            <rFont val="Tahoma"/>
            <family val="2"/>
          </rPr>
          <t xml:space="preserve">
8/5/13: pre-announce -2%; revised outlook is due to weaker
than expected sales and margin results.</t>
        </r>
      </text>
    </comment>
    <comment ref="BZ11" authorId="12">
      <text>
        <r>
          <rPr>
            <b/>
            <sz val="8"/>
            <color indexed="81"/>
            <rFont val="Tahoma"/>
            <family val="2"/>
          </rPr>
          <t xml:space="preserve">8/21/13: </t>
        </r>
        <r>
          <rPr>
            <sz val="8"/>
            <color indexed="81"/>
            <rFont val="Tahoma"/>
            <family val="2"/>
          </rPr>
          <t>including direct; AE total brand -8%; aerie total brand -2%; AEO direct 11%; AUR -1, UPT -4, ADS -3; transactions -MSD</t>
        </r>
        <r>
          <rPr>
            <b/>
            <sz val="8"/>
            <color indexed="81"/>
            <rFont val="Tahoma"/>
            <family val="2"/>
          </rPr>
          <t xml:space="preserve">
8/05/13: </t>
        </r>
        <r>
          <rPr>
            <sz val="8"/>
            <color indexed="81"/>
            <rFont val="Tahoma"/>
            <family val="2"/>
          </rPr>
          <t>preannounce -7% (including direct)</t>
        </r>
        <r>
          <rPr>
            <b/>
            <sz val="8"/>
            <color indexed="81"/>
            <rFont val="Tahoma"/>
            <family val="2"/>
          </rPr>
          <t xml:space="preserve">
5/22/13: </t>
        </r>
        <r>
          <rPr>
            <sz val="8"/>
            <color indexed="81"/>
            <rFont val="Tahoma"/>
            <family val="2"/>
          </rPr>
          <t xml:space="preserve">guidance flat </t>
        </r>
        <r>
          <rPr>
            <b/>
            <sz val="8"/>
            <color indexed="81"/>
            <rFont val="Tahoma"/>
            <family val="2"/>
          </rPr>
          <t xml:space="preserve">
solejay:</t>
        </r>
        <r>
          <rPr>
            <sz val="8"/>
            <color indexed="81"/>
            <rFont val="Tahoma"/>
            <family val="2"/>
          </rPr>
          <t xml:space="preserve">
includes stores + internet</t>
        </r>
      </text>
    </comment>
    <comment ref="CD11" authorId="13">
      <text>
        <r>
          <rPr>
            <b/>
            <sz val="9"/>
            <color indexed="81"/>
            <rFont val="Tahoma"/>
            <family val="2"/>
          </rPr>
          <t xml:space="preserve">casselau:
8/20/14: </t>
        </r>
        <r>
          <rPr>
            <sz val="9"/>
            <color indexed="81"/>
            <rFont val="Tahoma"/>
            <family val="2"/>
          </rPr>
          <t xml:space="preserve">AE -8%, aerie +9%; factory -8%; ADS -LSD, AUR -MSD driven by clearance, transactions down slightly; women's -6%, men's -11%
5/21/14: guidance -HSD
</t>
        </r>
      </text>
    </comment>
    <comment ref="CH11" authorId="13">
      <text>
        <r>
          <rPr>
            <b/>
            <sz val="9"/>
            <color indexed="81"/>
            <rFont val="Tahoma"/>
            <family val="2"/>
          </rPr>
          <t xml:space="preserve">casselau:
8/19/15: </t>
        </r>
        <r>
          <rPr>
            <sz val="9"/>
            <color indexed="81"/>
            <rFont val="Tahoma"/>
            <family val="2"/>
          </rPr>
          <t>AE +10% (girls +16%, guys +1%); Aerie +18%; Factory -2%; ADS +mid-teens, AUR +mid-teens (more full-price sales and fewer promos), transactions -LSD; conversion down slightly; stores comped positively
5/20/15: guidance +HSD</t>
        </r>
      </text>
    </comment>
    <comment ref="CL11" authorId="14">
      <text>
        <r>
          <rPr>
            <b/>
            <sz val="9"/>
            <color indexed="81"/>
            <rFont val="Tahoma"/>
            <family val="2"/>
          </rPr>
          <t xml:space="preserve">Cassel, Lauren (Research):
8/17/16: </t>
        </r>
        <r>
          <rPr>
            <sz val="9"/>
            <color indexed="81"/>
            <rFont val="Tahoma"/>
            <family val="2"/>
          </rPr>
          <t xml:space="preserve">AE +1% (men's -2%, women's +3%); aerie +24%; factory -3%; </t>
        </r>
        <r>
          <rPr>
            <b/>
            <sz val="9"/>
            <color indexed="81"/>
            <rFont val="Tahoma"/>
            <family val="2"/>
          </rPr>
          <t xml:space="preserve">ADS +MSD, AUR +LSD, transactions -MSD; </t>
        </r>
        <r>
          <rPr>
            <sz val="9"/>
            <color indexed="81"/>
            <rFont val="Tahoma"/>
            <family val="2"/>
          </rPr>
          <t xml:space="preserve">May weakest month
10-Q: </t>
        </r>
        <r>
          <rPr>
            <b/>
            <sz val="9"/>
            <color indexed="81"/>
            <rFont val="Tahoma"/>
            <family val="2"/>
          </rPr>
          <t>average transaction value increased 4%, driven by a 3% increase in our AUR.</t>
        </r>
        <r>
          <rPr>
            <sz val="9"/>
            <color indexed="81"/>
            <rFont val="Tahoma"/>
            <family val="2"/>
          </rPr>
          <t xml:space="preserve">
5/18/16: guidance +LSD</t>
        </r>
      </text>
    </comment>
    <comment ref="CO11" authorId="14">
      <text>
        <r>
          <rPr>
            <b/>
            <sz val="9"/>
            <color indexed="81"/>
            <rFont val="Tahoma"/>
            <family val="2"/>
          </rPr>
          <t>Cassel, Lauren (Research):</t>
        </r>
        <r>
          <rPr>
            <sz val="9"/>
            <color indexed="81"/>
            <rFont val="Tahoma"/>
            <family val="2"/>
          </rPr>
          <t xml:space="preserve">
3/1/17: per Judy +1% spread in 2Q</t>
        </r>
      </text>
    </comment>
    <comment ref="CP11" authorId="14">
      <text>
        <r>
          <rPr>
            <b/>
            <sz val="9"/>
            <color indexed="81"/>
            <rFont val="Tahoma"/>
            <family val="2"/>
          </rPr>
          <t xml:space="preserve">Cassel, Lauren (Research):
8/23/17: +MSD AUR due to product mix; ADS -LSD (lower UPT); comp traffic +HSD (store traffic -2%, online traffic very strong); comp transactions +MSD (comp store transactions +0.3%); AE flat (women's flat, men's -2%, women's apparel +MSD); Aerie +26%
</t>
        </r>
        <r>
          <rPr>
            <sz val="9"/>
            <color indexed="81"/>
            <rFont val="Tahoma"/>
            <family val="2"/>
          </rPr>
          <t>like for like AUC -3%; May the worst month, June + July better</t>
        </r>
        <r>
          <rPr>
            <b/>
            <sz val="9"/>
            <color indexed="81"/>
            <rFont val="Tahoma"/>
            <family val="2"/>
          </rPr>
          <t xml:space="preserve">
5/17/17: guidance flat to -LSD</t>
        </r>
        <r>
          <rPr>
            <sz val="9"/>
            <color indexed="81"/>
            <rFont val="Tahoma"/>
            <family val="2"/>
          </rPr>
          <t xml:space="preserve">
3/1/17: expect AUR +MSD for spring season</t>
        </r>
      </text>
    </comment>
    <comment ref="CS11" authorId="14">
      <text>
        <r>
          <rPr>
            <b/>
            <sz val="9"/>
            <color indexed="81"/>
            <rFont val="Tahoma"/>
            <family val="2"/>
          </rPr>
          <t>Cassel, Lauren (Research):</t>
        </r>
        <r>
          <rPr>
            <sz val="9"/>
            <color indexed="81"/>
            <rFont val="Tahoma"/>
            <family val="2"/>
          </rPr>
          <t xml:space="preserve">
3/8/18: per Judy +5% spread in 2Q</t>
        </r>
      </text>
    </comment>
    <comment ref="W12" authorId="1">
      <text>
        <r>
          <rPr>
            <b/>
            <sz val="8"/>
            <color indexed="81"/>
            <rFont val="Tahoma"/>
            <family val="2"/>
          </rPr>
          <t>Debbie Ong:</t>
        </r>
        <r>
          <rPr>
            <sz val="8"/>
            <color indexed="81"/>
            <rFont val="Tahoma"/>
            <family val="2"/>
          </rPr>
          <t xml:space="preserve">
had $280.1 b4 Oct comp</t>
        </r>
      </text>
    </comment>
    <comment ref="AB12" authorId="2">
      <text>
        <r>
          <rPr>
            <b/>
            <sz val="8"/>
            <color indexed="81"/>
            <rFont val="Tahoma"/>
            <family val="2"/>
          </rPr>
          <t>dong2:</t>
        </r>
        <r>
          <rPr>
            <sz val="8"/>
            <color indexed="81"/>
            <rFont val="Tahoma"/>
            <family val="2"/>
          </rPr>
          <t xml:space="preserve">
369.9. 11/6: had 366, incl. 7 mm internet, 38 mm Canada, and 321 mm U.S.</t>
        </r>
      </text>
    </comment>
    <comment ref="AF12" authorId="15">
      <text>
        <r>
          <rPr>
            <sz val="8"/>
            <color indexed="81"/>
            <rFont val="Tahoma"/>
            <family val="2"/>
          </rPr>
          <t>377.0, then 371.1</t>
        </r>
      </text>
    </comment>
    <comment ref="AH12" authorId="15">
      <text>
        <r>
          <rPr>
            <sz val="8"/>
            <color indexed="81"/>
            <rFont val="Tahoma"/>
            <family val="2"/>
          </rPr>
          <t>-7.3</t>
        </r>
      </text>
    </comment>
    <comment ref="AJ12" authorId="3">
      <text>
        <r>
          <rPr>
            <b/>
            <sz val="8"/>
            <color indexed="81"/>
            <rFont val="Tahoma"/>
            <family val="2"/>
          </rPr>
          <t>dliu:</t>
        </r>
        <r>
          <rPr>
            <sz val="8"/>
            <color indexed="81"/>
            <rFont val="Tahoma"/>
            <family val="2"/>
          </rPr>
          <t xml:space="preserve">
389.8. Had 384.5</t>
        </r>
      </text>
    </comment>
    <comment ref="AR12" authorId="4">
      <text>
        <r>
          <rPr>
            <b/>
            <sz val="8"/>
            <color indexed="81"/>
            <rFont val="Tahoma"/>
            <family val="2"/>
          </rPr>
          <t>Corinna Freedman:</t>
        </r>
        <r>
          <rPr>
            <sz val="8"/>
            <color indexed="81"/>
            <rFont val="Tahoma"/>
            <family val="2"/>
          </rPr>
          <t xml:space="preserve">
564.8</t>
        </r>
      </text>
    </comment>
    <comment ref="AV12" authorId="5">
      <text>
        <r>
          <rPr>
            <b/>
            <sz val="8"/>
            <color indexed="81"/>
            <rFont val="Tahoma"/>
            <family val="2"/>
          </rPr>
          <t>MB33100:</t>
        </r>
        <r>
          <rPr>
            <sz val="8"/>
            <color indexed="81"/>
            <rFont val="Tahoma"/>
            <family val="2"/>
          </rPr>
          <t xml:space="preserve">
689.9</t>
        </r>
      </text>
    </comment>
    <comment ref="BF12" authorId="18">
      <text>
        <r>
          <rPr>
            <b/>
            <sz val="8"/>
            <color indexed="81"/>
            <rFont val="Tahoma"/>
            <family val="2"/>
          </rPr>
          <t>oc48540:
8/26:</t>
        </r>
        <r>
          <rPr>
            <sz val="8"/>
            <color indexed="81"/>
            <rFont val="Tahoma"/>
            <family val="2"/>
          </rPr>
          <t xml:space="preserve">
AEO’s August month-to-date comparable store sales are down -6%.</t>
        </r>
      </text>
    </comment>
    <comment ref="BH12" authorId="8">
      <text>
        <r>
          <rPr>
            <b/>
            <sz val="8"/>
            <color indexed="81"/>
            <rFont val="Tahoma"/>
            <family val="2"/>
          </rPr>
          <t>lr73192:</t>
        </r>
        <r>
          <rPr>
            <sz val="8"/>
            <color indexed="81"/>
            <rFont val="Tahoma"/>
            <family val="2"/>
          </rPr>
          <t xml:space="preserve">
5/26/10: Removed $12.951M for M+O</t>
        </r>
      </text>
    </comment>
    <comment ref="BN12" authorId="10">
      <text>
        <r>
          <rPr>
            <b/>
            <sz val="8"/>
            <color indexed="81"/>
            <rFont val="Tahoma"/>
            <family val="2"/>
          </rPr>
          <t>nicholjs:</t>
        </r>
        <r>
          <rPr>
            <sz val="8"/>
            <color indexed="81"/>
            <rFont val="Tahoma"/>
            <family val="2"/>
          </rPr>
          <t xml:space="preserve">
AE up slightly, aerie +11%
8/2010: expects flat to -LSD, MTD August comps as of 8/25 were +1%
comps (given in 3Q 11) -
AE brand = 0%
aerie = 11%
3Q YTD -
AE brand = 1% 
aerie = 10%</t>
        </r>
      </text>
    </comment>
    <comment ref="BR12" authorId="12">
      <text>
        <r>
          <rPr>
            <b/>
            <sz val="8"/>
            <color indexed="81"/>
            <rFont val="Tahoma"/>
            <family val="2"/>
          </rPr>
          <t>solejay:</t>
        </r>
        <r>
          <rPr>
            <sz val="8"/>
            <color indexed="81"/>
            <rFont val="Tahoma"/>
            <family val="2"/>
          </rPr>
          <t xml:space="preserve">
AE brand 5%
aerie +8%
Direct +21%
denim: +HSD comp
AE: +5% women's and +6% men's
txns: +9% on higher traffic and conversion
AUR: -LSD from promos, but txn value down slightly on strong unit selling. 
# of units: +LSD
3Q YTD-
AE Brand -1%
aerie flat</t>
        </r>
      </text>
    </comment>
    <comment ref="BT12" authorId="9">
      <text>
        <r>
          <rPr>
            <b/>
            <sz val="8"/>
            <color indexed="81"/>
            <rFont val="Tahoma"/>
            <family val="2"/>
          </rPr>
          <t xml:space="preserve">antons:
</t>
        </r>
        <r>
          <rPr>
            <sz val="8"/>
            <color indexed="81"/>
            <rFont val="Tahoma"/>
            <family val="2"/>
          </rPr>
          <t>From 3Q12 Conf. call - CFO, Total sales increased 11% driven by +10% comps growth. "Third quarter total consolidated sales increased 11% to $910 million compared to $819 million last year. Comparable store sales increased 10% including e-commerce"</t>
        </r>
      </text>
    </comment>
    <comment ref="BV12" authorId="9">
      <text>
        <r>
          <rPr>
            <b/>
            <sz val="8"/>
            <color indexed="81"/>
            <rFont val="Tahoma"/>
            <family val="2"/>
          </rPr>
          <t xml:space="preserve">11/28: </t>
        </r>
        <r>
          <rPr>
            <sz val="8"/>
            <color indexed="81"/>
            <rFont val="Tahoma"/>
            <family val="2"/>
          </rPr>
          <t xml:space="preserve">From 3Q12 Conf. call - CFO, </t>
        </r>
        <r>
          <rPr>
            <b/>
            <sz val="8"/>
            <color indexed="81"/>
            <rFont val="Tahoma"/>
            <family val="2"/>
          </rPr>
          <t xml:space="preserve"> </t>
        </r>
        <r>
          <rPr>
            <sz val="8"/>
            <color indexed="81"/>
            <rFont val="Tahoma"/>
            <family val="2"/>
          </rPr>
          <t xml:space="preserve">Comps increased 10% including eComm. 10% includes eComm, LY +7%; AE Brand 8%, Aerie 5%; driven by higher traffic, conversion, and ASP.
</t>
        </r>
        <r>
          <rPr>
            <b/>
            <sz val="8"/>
            <color indexed="81"/>
            <rFont val="Tahoma"/>
            <family val="2"/>
          </rPr>
          <t>11/28:</t>
        </r>
        <r>
          <rPr>
            <sz val="8"/>
            <color indexed="81"/>
            <rFont val="Tahoma"/>
            <family val="2"/>
          </rPr>
          <t xml:space="preserve"> +MSD Guidance</t>
        </r>
        <r>
          <rPr>
            <b/>
            <sz val="8"/>
            <color indexed="81"/>
            <rFont val="Tahoma"/>
            <family val="2"/>
          </rPr>
          <t xml:space="preserve">
8/22/2012: </t>
        </r>
        <r>
          <rPr>
            <sz val="8"/>
            <color indexed="81"/>
            <rFont val="Tahoma"/>
            <family val="2"/>
          </rPr>
          <t>+MSD guidanced</t>
        </r>
      </text>
    </comment>
    <comment ref="BY12" authorId="13">
      <text>
        <r>
          <rPr>
            <b/>
            <sz val="8"/>
            <color indexed="81"/>
            <rFont val="Tahoma"/>
            <family val="2"/>
          </rPr>
          <t xml:space="preserve">12/6/13: </t>
        </r>
        <r>
          <rPr>
            <sz val="8"/>
            <color indexed="81"/>
            <rFont val="Tahoma"/>
            <family val="2"/>
          </rPr>
          <t>on comparable weeks, total revenue would have decreased -LSD</t>
        </r>
        <r>
          <rPr>
            <b/>
            <sz val="8"/>
            <color indexed="81"/>
            <rFont val="Tahoma"/>
            <family val="2"/>
          </rPr>
          <t xml:space="preserve">
casselau:</t>
        </r>
        <r>
          <rPr>
            <sz val="8"/>
            <color indexed="81"/>
            <rFont val="Tahoma"/>
            <family val="2"/>
          </rPr>
          <t xml:space="preserve">
per 8/21/13 conference call: spread should be 1pt</t>
        </r>
      </text>
    </comment>
    <comment ref="BZ12" authorId="12">
      <text>
        <r>
          <rPr>
            <b/>
            <sz val="8"/>
            <color indexed="81"/>
            <rFont val="Tahoma"/>
            <family val="2"/>
          </rPr>
          <t xml:space="preserve">12/6/13: </t>
        </r>
        <r>
          <rPr>
            <sz val="8"/>
            <color indexed="81"/>
            <rFont val="Tahoma"/>
            <family val="2"/>
          </rPr>
          <t>AE brand -5%, aerie -3%, direct +17%, Factory +6%; AUR -9%, conversion +1%, +LSD transactions and unit sales per store; -HSD ADS</t>
        </r>
        <r>
          <rPr>
            <b/>
            <sz val="8"/>
            <color indexed="81"/>
            <rFont val="Tahoma"/>
            <family val="2"/>
          </rPr>
          <t xml:space="preserve">
11/6/13: </t>
        </r>
        <r>
          <rPr>
            <sz val="8"/>
            <color indexed="81"/>
            <rFont val="Tahoma"/>
            <family val="2"/>
          </rPr>
          <t xml:space="preserve">preannounced -5%
</t>
        </r>
        <r>
          <rPr>
            <b/>
            <sz val="8"/>
            <color indexed="81"/>
            <rFont val="Tahoma"/>
            <family val="2"/>
          </rPr>
          <t>11/</t>
        </r>
        <r>
          <rPr>
            <b/>
            <sz val="8"/>
            <color indexed="81"/>
            <rFont val="Tahoma"/>
            <family val="2"/>
          </rPr>
          <t xml:space="preserve">21/13: </t>
        </r>
        <r>
          <rPr>
            <sz val="8"/>
            <color indexed="81"/>
            <rFont val="Tahoma"/>
            <family val="2"/>
          </rPr>
          <t>guidance -MSD to -HSD</t>
        </r>
        <r>
          <rPr>
            <b/>
            <sz val="8"/>
            <color indexed="81"/>
            <rFont val="Tahoma"/>
            <family val="2"/>
          </rPr>
          <t xml:space="preserve">
5/22/13: </t>
        </r>
        <r>
          <rPr>
            <sz val="8"/>
            <color indexed="81"/>
            <rFont val="Tahoma"/>
            <family val="2"/>
          </rPr>
          <t>guidance +LSD</t>
        </r>
        <r>
          <rPr>
            <b/>
            <sz val="8"/>
            <color indexed="81"/>
            <rFont val="Tahoma"/>
            <family val="2"/>
          </rPr>
          <t xml:space="preserve">
solejay:</t>
        </r>
        <r>
          <rPr>
            <sz val="8"/>
            <color indexed="81"/>
            <rFont val="Tahoma"/>
            <family val="2"/>
          </rPr>
          <t xml:space="preserve">
includes stores + internet</t>
        </r>
      </text>
    </comment>
    <comment ref="CC12" authorId="13">
      <text>
        <r>
          <rPr>
            <b/>
            <sz val="9"/>
            <color indexed="81"/>
            <rFont val="Tahoma"/>
            <family val="2"/>
          </rPr>
          <t xml:space="preserve">casselau:
</t>
        </r>
        <r>
          <rPr>
            <sz val="9"/>
            <color indexed="81"/>
            <rFont val="Tahoma"/>
            <family val="2"/>
          </rPr>
          <t>11/12/14: preannounced net revenues declined slightly
8/20/14: expect slight decline in revenue</t>
        </r>
      </text>
    </comment>
    <comment ref="CD12" authorId="13">
      <text>
        <r>
          <rPr>
            <b/>
            <sz val="9"/>
            <color indexed="81"/>
            <rFont val="Tahoma"/>
            <family val="2"/>
          </rPr>
          <t xml:space="preserve">casselau:
</t>
        </r>
        <r>
          <rPr>
            <sz val="9"/>
            <color indexed="81"/>
            <rFont val="Tahoma"/>
            <family val="2"/>
          </rPr>
          <t>12/4/14: transactions -LDD, ADS +HSD, AUR +MSD; AE total -6% (girls -4%, guys -7%); aerie +3%, factory -12%; denim declined, non-denim bottoms +DD</t>
        </r>
        <r>
          <rPr>
            <b/>
            <sz val="9"/>
            <color indexed="81"/>
            <rFont val="Tahoma"/>
            <family val="2"/>
          </rPr>
          <t xml:space="preserve">
11/12/14: </t>
        </r>
        <r>
          <rPr>
            <sz val="9"/>
            <color indexed="81"/>
            <rFont val="Tahoma"/>
            <family val="2"/>
          </rPr>
          <t xml:space="preserve">preannounced -5% comp
</t>
        </r>
        <r>
          <rPr>
            <b/>
            <sz val="9"/>
            <color indexed="81"/>
            <rFont val="Tahoma"/>
            <family val="2"/>
          </rPr>
          <t>8/20/14:</t>
        </r>
        <r>
          <rPr>
            <sz val="9"/>
            <color indexed="81"/>
            <rFont val="Tahoma"/>
            <family val="2"/>
          </rPr>
          <t xml:space="preserve"> guidance -MSD; QTD women's business ahead of expectations</t>
        </r>
      </text>
    </comment>
    <comment ref="CG12" authorId="13">
      <text>
        <r>
          <rPr>
            <b/>
            <sz val="9"/>
            <color indexed="81"/>
            <rFont val="Tahoma"/>
            <family val="2"/>
          </rPr>
          <t>casselau:</t>
        </r>
        <r>
          <rPr>
            <sz val="9"/>
            <color indexed="81"/>
            <rFont val="Tahoma"/>
            <family val="2"/>
          </rPr>
          <t xml:space="preserve">
3/3/15: per Judy, very little spread in 2H</t>
        </r>
      </text>
    </comment>
    <comment ref="CH12" authorId="13">
      <text>
        <r>
          <rPr>
            <b/>
            <sz val="9"/>
            <color indexed="81"/>
            <rFont val="Tahoma"/>
            <family val="2"/>
          </rPr>
          <t xml:space="preserve">casselau:
</t>
        </r>
        <r>
          <rPr>
            <sz val="9"/>
            <color indexed="81"/>
            <rFont val="Tahoma"/>
            <family val="2"/>
          </rPr>
          <t>12/2/15: men's +2%, women's +11%, aerie +21%; Factory +1%; ADS +LDD, AUR +HSD (more full price sales and fewer promotions and favorable sales mix); transactions -LSD (consolidated traffic increased, we estimate stores -MSD); since launching Denim X and Flex jeans, our realized price on denim is up
nearly 20%
11/3/15: preannounced +9%
8/19/15: +MSD guidance ("expect" to see)</t>
        </r>
      </text>
    </comment>
    <comment ref="CK12" authorId="14">
      <text>
        <r>
          <rPr>
            <b/>
            <sz val="9"/>
            <color indexed="81"/>
            <rFont val="Tahoma"/>
            <family val="2"/>
          </rPr>
          <t>Cassel, Lauren (Research):</t>
        </r>
        <r>
          <rPr>
            <sz val="9"/>
            <color indexed="81"/>
            <rFont val="Tahoma"/>
            <family val="2"/>
          </rPr>
          <t xml:space="preserve">
8/17/16: expect about a point of spread due to lice</t>
        </r>
      </text>
    </comment>
    <comment ref="CL12" authorId="14">
      <text>
        <r>
          <rPr>
            <b/>
            <sz val="9"/>
            <color indexed="81"/>
            <rFont val="Tahoma"/>
            <family val="2"/>
          </rPr>
          <t xml:space="preserve">Cassel, Lauren (Research):
11/30/16: AE +0.4% (Men's -4%, women's +3%); aerie +21%; ADS +MSD, AUR +MSD, UPT up, transactions -MSD
</t>
        </r>
        <r>
          <rPr>
            <sz val="9"/>
            <color indexed="81"/>
            <rFont val="Tahoma"/>
            <family val="2"/>
          </rPr>
          <t>A mall transaction declines -LD, B/C -MSD to -HSD</t>
        </r>
        <r>
          <rPr>
            <sz val="9"/>
            <color indexed="81"/>
            <rFont val="Tahoma"/>
            <family val="2"/>
          </rPr>
          <t xml:space="preserve">
8/17/16: +LSD guidance</t>
        </r>
      </text>
    </comment>
    <comment ref="CO12" authorId="14">
      <text>
        <r>
          <rPr>
            <b/>
            <sz val="9"/>
            <color indexed="81"/>
            <rFont val="Tahoma"/>
            <family val="2"/>
          </rPr>
          <t>Cassel, Lauren (Research):</t>
        </r>
        <r>
          <rPr>
            <sz val="9"/>
            <color indexed="81"/>
            <rFont val="Tahoma"/>
            <family val="2"/>
          </rPr>
          <t xml:space="preserve">
3/1/17: per Judy +1% spread in 3Q</t>
        </r>
      </text>
    </comment>
    <comment ref="CP12" authorId="14">
      <text>
        <r>
          <rPr>
            <b/>
            <sz val="9"/>
            <color indexed="81"/>
            <rFont val="Tahoma"/>
            <family val="2"/>
          </rPr>
          <t>Cassel, Lauren (Research):</t>
        </r>
        <r>
          <rPr>
            <sz val="9"/>
            <color indexed="81"/>
            <rFont val="Tahoma"/>
            <family val="2"/>
          </rPr>
          <t xml:space="preserve">
12/6/17: +LSD AUR driven by product mix, ADS declined slightly on lower UPT. comp traffic +LDD, comp transactions +MSD. AE +1% ( Men's +2%, Women's +1%). Aerie +19% (Aerie apparel +60%). 
8/23/17: guidance flat to +LSD comps (in-line with performance QTD)</t>
        </r>
      </text>
    </comment>
    <comment ref="CS12" authorId="14">
      <text>
        <r>
          <rPr>
            <b/>
            <sz val="9"/>
            <color indexed="81"/>
            <rFont val="Tahoma"/>
            <family val="2"/>
          </rPr>
          <t>Cassel, Lauren (Research):</t>
        </r>
        <r>
          <rPr>
            <sz val="9"/>
            <color indexed="81"/>
            <rFont val="Tahoma"/>
            <family val="2"/>
          </rPr>
          <t xml:space="preserve">
3/8/18: per Judy, negative impact (lose BTS week and gian an early November week)</t>
        </r>
      </text>
    </comment>
    <comment ref="W13" authorId="1">
      <text>
        <r>
          <rPr>
            <b/>
            <sz val="8"/>
            <color indexed="81"/>
            <rFont val="Tahoma"/>
            <family val="2"/>
          </rPr>
          <t>Debbie Ong:</t>
        </r>
        <r>
          <rPr>
            <sz val="8"/>
            <color indexed="81"/>
            <rFont val="Tahoma"/>
            <family val="2"/>
          </rPr>
          <t xml:space="preserve">
had $343.6 mm b4 Nov. comp. had $374.3 mm b4 Jan comp. $388.7 equals U.S. sales only.
$13.6 mm in extra week sales</t>
        </r>
      </text>
    </comment>
    <comment ref="AB13" authorId="2">
      <text>
        <r>
          <rPr>
            <b/>
            <sz val="8"/>
            <color indexed="81"/>
            <rFont val="Tahoma"/>
            <family val="2"/>
          </rPr>
          <t>dong2:</t>
        </r>
        <r>
          <rPr>
            <sz val="8"/>
            <color indexed="81"/>
            <rFont val="Tahoma"/>
            <family val="2"/>
          </rPr>
          <t xml:space="preserve">
make sure to check the hardcoded # in the formula and adjust when each month gets reported!!
2/6: had $466.5</t>
        </r>
      </text>
    </comment>
    <comment ref="AF13" authorId="15">
      <text>
        <r>
          <rPr>
            <sz val="8"/>
            <color indexed="81"/>
            <rFont val="Tahoma"/>
            <family val="2"/>
          </rPr>
          <t>491.6, 483.2. 8% of sales were gift card sales, of which 70% were redeemed by the end of the quarter. 44% of total issuance is redeemed by the end of December</t>
        </r>
      </text>
    </comment>
    <comment ref="AJ13" authorId="3">
      <text>
        <r>
          <rPr>
            <b/>
            <sz val="8"/>
            <color indexed="81"/>
            <rFont val="Tahoma"/>
            <family val="2"/>
          </rPr>
          <t>dliu:</t>
        </r>
        <r>
          <rPr>
            <sz val="8"/>
            <color indexed="81"/>
            <rFont val="Tahoma"/>
            <family val="2"/>
          </rPr>
          <t xml:space="preserve">
505.2
3/2 517.255 with bluenotes</t>
        </r>
      </text>
    </comment>
    <comment ref="AR13" authorId="5">
      <text>
        <r>
          <rPr>
            <b/>
            <sz val="8"/>
            <color indexed="81"/>
            <rFont val="Tahoma"/>
            <family val="2"/>
          </rPr>
          <t>MB33100:</t>
        </r>
        <r>
          <rPr>
            <sz val="8"/>
            <color indexed="81"/>
            <rFont val="Tahoma"/>
            <family val="2"/>
          </rPr>
          <t xml:space="preserve">
756.9</t>
        </r>
      </text>
    </comment>
    <comment ref="AV13" authorId="5">
      <text>
        <r>
          <rPr>
            <sz val="8"/>
            <color indexed="81"/>
            <rFont val="Tahoma"/>
            <family val="2"/>
          </rPr>
          <t>3/08: GAAP number is $973.4mm but rev. in week of Oct29-Nov4th was ~$49mm and we est $45mm of retail sales</t>
        </r>
      </text>
    </comment>
    <comment ref="BF13" authorId="19">
      <text>
        <r>
          <rPr>
            <b/>
            <sz val="8"/>
            <color indexed="81"/>
            <rFont val="Tahoma"/>
            <family val="2"/>
          </rPr>
          <t>TI23070:</t>
        </r>
        <r>
          <rPr>
            <sz val="8"/>
            <color indexed="81"/>
            <rFont val="Tahoma"/>
            <family val="2"/>
          </rPr>
          <t xml:space="preserve">
12/4/08: Increased promo activity throughout the month = down merch marg.</t>
        </r>
      </text>
    </comment>
    <comment ref="BH13" authorId="8">
      <text>
        <r>
          <rPr>
            <b/>
            <sz val="8"/>
            <color indexed="81"/>
            <rFont val="Tahoma"/>
            <family val="2"/>
          </rPr>
          <t>lr73192:</t>
        </r>
        <r>
          <rPr>
            <sz val="8"/>
            <color indexed="81"/>
            <rFont val="Tahoma"/>
            <family val="2"/>
          </rPr>
          <t xml:space="preserve">
5/26/10: Removed $16.195M for M+O</t>
        </r>
      </text>
    </comment>
    <comment ref="BL13" authorId="11">
      <text>
        <r>
          <rPr>
            <b/>
            <sz val="8"/>
            <color indexed="81"/>
            <rFont val="Tahoma"/>
            <family val="2"/>
          </rPr>
          <t>kahng:</t>
        </r>
        <r>
          <rPr>
            <sz val="8"/>
            <color indexed="81"/>
            <rFont val="Tahoma"/>
            <family val="2"/>
          </rPr>
          <t xml:space="preserve">
ae DTC $335M</t>
        </r>
      </text>
    </comment>
    <comment ref="BN13" authorId="10">
      <text>
        <r>
          <rPr>
            <b/>
            <sz val="8"/>
            <color indexed="81"/>
            <rFont val="Tahoma"/>
            <family val="2"/>
          </rPr>
          <t>nicholjs:</t>
        </r>
        <r>
          <rPr>
            <sz val="8"/>
            <color indexed="81"/>
            <rFont val="Tahoma"/>
            <family val="2"/>
          </rPr>
          <t xml:space="preserve">
AE -7%
aerie -6%
Direct +4%
transactions -MSD (conversion flat, traffic down)
average $ value +slightly (AUR -LSD from lower ticket items within accessories, UPT up)</t>
        </r>
      </text>
    </comment>
    <comment ref="BQ13" authorId="12">
      <text>
        <r>
          <rPr>
            <b/>
            <sz val="8"/>
            <color indexed="81"/>
            <rFont val="Tahoma"/>
            <family val="2"/>
          </rPr>
          <t>solejay:</t>
        </r>
        <r>
          <rPr>
            <sz val="8"/>
            <color indexed="81"/>
            <rFont val="Tahoma"/>
            <family val="2"/>
          </rPr>
          <t xml:space="preserve">
1/5/12 - 2 month sales/comp spread was 3%</t>
        </r>
      </text>
    </comment>
    <comment ref="BR13" authorId="10">
      <text>
        <r>
          <rPr>
            <sz val="8"/>
            <color indexed="81"/>
            <rFont val="Tahoma"/>
            <family val="2"/>
          </rPr>
          <t>3/7/12: +11% incl ecom. Nov (Black Fri) +20%, Nov/Dec +12%, Jan est 0%. ADS -MSD
1/5/12: Comp +12% for first 2 months of 4Q (more detail on qtrSales tab)
11/30/11: we think Nov +Hteens comp
8/2011: positive comp still baked into guidance, but sounds like it could be less than +MSD now</t>
        </r>
      </text>
    </comment>
    <comment ref="BT13" authorId="9">
      <text>
        <r>
          <rPr>
            <b/>
            <sz val="8"/>
            <color indexed="81"/>
            <rFont val="Tahoma"/>
            <family val="2"/>
          </rPr>
          <t>3/6/13:</t>
        </r>
        <r>
          <rPr>
            <sz val="8"/>
            <color indexed="81"/>
            <rFont val="Tahoma"/>
            <family val="2"/>
          </rPr>
          <t xml:space="preserve"> direct sales +24%; ADS +MSD, AUR +LSD, transactions -MSD; extra week $40M
1/10/13: holiday sales +5% to $904M
11/28: Judy said $1.12-$1.3; $1.14 a little higher; extra week $30-$35M in sales
5/21/12: Was 1097.2. Lowered by 13M for 77kids exit</t>
        </r>
      </text>
    </comment>
    <comment ref="BV13" authorId="9">
      <text>
        <r>
          <rPr>
            <b/>
            <sz val="8"/>
            <color indexed="81"/>
            <rFont val="Tahoma"/>
            <family val="2"/>
          </rPr>
          <t xml:space="preserve">3/6/13: </t>
        </r>
        <r>
          <rPr>
            <sz val="8"/>
            <color indexed="81"/>
            <rFont val="Tahoma"/>
            <family val="2"/>
          </rPr>
          <t>AE brand +1%, aerie -3%; men's +3%, women's +5%</t>
        </r>
        <r>
          <rPr>
            <b/>
            <sz val="8"/>
            <color indexed="81"/>
            <rFont val="Tahoma"/>
            <family val="2"/>
          </rPr>
          <t xml:space="preserve">
1/10/13: </t>
        </r>
        <r>
          <rPr>
            <sz val="8"/>
            <color indexed="81"/>
            <rFont val="Tahoma"/>
            <family val="2"/>
          </rPr>
          <t>holiday comp +5% (incl ecomm); +1% store only; reit +MSD guidance</t>
        </r>
        <r>
          <rPr>
            <b/>
            <sz val="8"/>
            <color indexed="81"/>
            <rFont val="Tahoma"/>
            <family val="2"/>
          </rPr>
          <t xml:space="preserve">
11/28: </t>
        </r>
        <r>
          <rPr>
            <sz val="8"/>
            <color indexed="81"/>
            <rFont val="Tahoma"/>
            <family val="2"/>
          </rPr>
          <t>guidance +MSD</t>
        </r>
        <r>
          <rPr>
            <b/>
            <sz val="8"/>
            <color indexed="81"/>
            <rFont val="Tahoma"/>
            <family val="2"/>
          </rPr>
          <t xml:space="preserve">
8/22/2012: +</t>
        </r>
        <r>
          <rPr>
            <sz val="8"/>
            <color indexed="81"/>
            <rFont val="Tahoma"/>
            <family val="2"/>
          </rPr>
          <t>LSD</t>
        </r>
      </text>
    </comment>
    <comment ref="BX13" authorId="13">
      <text>
        <r>
          <rPr>
            <b/>
            <sz val="8"/>
            <color indexed="81"/>
            <rFont val="Tahoma"/>
            <family val="2"/>
          </rPr>
          <t xml:space="preserve">casselau:
</t>
        </r>
        <r>
          <rPr>
            <sz val="8"/>
            <color indexed="81"/>
            <rFont val="Tahoma"/>
            <family val="2"/>
          </rPr>
          <t>1/9/14: Holiday sales -2% to $882M  vs. $904LY</t>
        </r>
        <r>
          <rPr>
            <sz val="8"/>
            <color indexed="81"/>
            <rFont val="Tahoma"/>
            <family val="2"/>
          </rPr>
          <t xml:space="preserve">
3/6/13: extra week $40M
</t>
        </r>
      </text>
    </comment>
    <comment ref="BZ13" authorId="12">
      <text>
        <r>
          <rPr>
            <b/>
            <sz val="8"/>
            <color indexed="81"/>
            <rFont val="Tahoma"/>
            <family val="2"/>
          </rPr>
          <t xml:space="preserve">3/1/14: </t>
        </r>
        <r>
          <rPr>
            <sz val="8"/>
            <color indexed="81"/>
            <rFont val="Tahoma"/>
            <family val="2"/>
          </rPr>
          <t>AE -7%, aerie -4%, direct +8%; ADS -MSD, AUR -MSD, transactions -LSD</t>
        </r>
        <r>
          <rPr>
            <b/>
            <sz val="8"/>
            <color indexed="81"/>
            <rFont val="Tahoma"/>
            <family val="2"/>
          </rPr>
          <t xml:space="preserve">
1/9/14: </t>
        </r>
        <r>
          <rPr>
            <sz val="8"/>
            <color indexed="81"/>
            <rFont val="Tahoma"/>
            <family val="2"/>
          </rPr>
          <t>Nov/Dec comp -7%</t>
        </r>
        <r>
          <rPr>
            <b/>
            <sz val="8"/>
            <color indexed="81"/>
            <rFont val="Tahoma"/>
            <family val="2"/>
          </rPr>
          <t xml:space="preserve">
12/6/13: </t>
        </r>
        <r>
          <rPr>
            <sz val="8"/>
            <color indexed="81"/>
            <rFont val="Tahoma"/>
            <family val="2"/>
          </rPr>
          <t>guidance -MSD; QTD -MSD despite postiive comps over Thxgiving weekend</t>
        </r>
        <r>
          <rPr>
            <b/>
            <sz val="8"/>
            <color indexed="81"/>
            <rFont val="Tahoma"/>
            <family val="2"/>
          </rPr>
          <t xml:space="preserve">
5/22/13: </t>
        </r>
        <r>
          <rPr>
            <sz val="8"/>
            <color indexed="81"/>
            <rFont val="Tahoma"/>
            <family val="2"/>
          </rPr>
          <t>guidance +LSD</t>
        </r>
        <r>
          <rPr>
            <b/>
            <sz val="8"/>
            <color indexed="81"/>
            <rFont val="Tahoma"/>
            <family val="2"/>
          </rPr>
          <t xml:space="preserve">
solejay:</t>
        </r>
        <r>
          <rPr>
            <sz val="8"/>
            <color indexed="81"/>
            <rFont val="Tahoma"/>
            <family val="2"/>
          </rPr>
          <t xml:space="preserve">
includes stores + internet</t>
        </r>
      </text>
    </comment>
    <comment ref="CB13" authorId="13">
      <text>
        <r>
          <rPr>
            <b/>
            <sz val="9"/>
            <color indexed="81"/>
            <rFont val="Tahoma"/>
            <family val="2"/>
          </rPr>
          <t>casselau:</t>
        </r>
        <r>
          <rPr>
            <sz val="9"/>
            <color indexed="81"/>
            <rFont val="Tahoma"/>
            <family val="2"/>
          </rPr>
          <t xml:space="preserve">
1/8/15: Nov/Dec revenue $893M (+1% y/y)</t>
        </r>
      </text>
    </comment>
    <comment ref="CC13" authorId="13">
      <text>
        <r>
          <rPr>
            <b/>
            <sz val="9"/>
            <color indexed="81"/>
            <rFont val="Tahoma"/>
            <family val="2"/>
          </rPr>
          <t>casselau:</t>
        </r>
        <r>
          <rPr>
            <sz val="9"/>
            <color indexed="81"/>
            <rFont val="Tahoma"/>
            <family val="2"/>
          </rPr>
          <t xml:space="preserve">
12/4/14: expect slight decline in revenue</t>
        </r>
      </text>
    </comment>
    <comment ref="CD13" authorId="13">
      <text>
        <r>
          <rPr>
            <b/>
            <sz val="9"/>
            <color indexed="81"/>
            <rFont val="Tahoma"/>
            <family val="2"/>
          </rPr>
          <t xml:space="preserve">casselau:
3/3/15: transactions -HDD, ADS +HSD (AUR +MSD, +LSD UPT); AE brand -1% (Men's -3%, women's +3%); aerie +13%, Factory -9%
</t>
        </r>
        <r>
          <rPr>
            <sz val="9"/>
            <color indexed="81"/>
            <rFont val="Tahoma"/>
            <family val="2"/>
          </rPr>
          <t xml:space="preserve">
1/8/15: Holiday comp -2%; December comp positive
12/4/14: guidance -MSD comp; November comp in-line with 3Q (-5%)</t>
        </r>
      </text>
    </comment>
    <comment ref="CH13" authorId="13">
      <text>
        <r>
          <rPr>
            <b/>
            <sz val="9"/>
            <color indexed="81"/>
            <rFont val="Tahoma"/>
            <family val="2"/>
          </rPr>
          <t>casselau:
3/2/16: AE +3% (girls +4%, men's +1%); aerie +26% (transactions -LSD/traffic -LSD, AUR +LSD, ADS +MSD); AUR driven by less markdowns and a favorable sales mix; Factory flat
1/8/16: Holiday comp +4%</t>
        </r>
        <r>
          <rPr>
            <sz val="9"/>
            <color indexed="81"/>
            <rFont val="Tahoma"/>
            <family val="2"/>
          </rPr>
          <t xml:space="preserve">
12/2/15: +MSD comp guidance (Black Friday store comps "up slightly")</t>
        </r>
      </text>
    </comment>
    <comment ref="CL13" authorId="14">
      <text>
        <r>
          <rPr>
            <b/>
            <sz val="9"/>
            <color indexed="81"/>
            <rFont val="Tahoma"/>
            <family val="2"/>
          </rPr>
          <t xml:space="preserve">Cassel, Lauren (Research):
3/1/17: AE -1% (men's -7%, women's +4), aerie +17%; transactions -MSD, traffic -LSD, AUR +MSD (due to favorable sales mix of higher ticket items, controlled markdowns, and improved IMUs), ADS +MSD
</t>
        </r>
        <r>
          <rPr>
            <sz val="9"/>
            <color indexed="81"/>
            <rFont val="Tahoma"/>
            <family val="2"/>
          </rPr>
          <t>Re ARO closings; It had about a 4 comp point impact on us in November, as an example. When you look at where there was an Aero across our entire portfolio consisting of both stores that were closing for good and 300 plus stores that they were just liquidating inventory and repositioning, we saw an
approximate 1 comp point negative impact. Post holiday and looking at Q1, we've seen roughly in those locations that they closed permanently, about a 1 comp point positive impact to us thus far.</t>
        </r>
        <r>
          <rPr>
            <b/>
            <sz val="9"/>
            <color indexed="81"/>
            <rFont val="Tahoma"/>
            <family val="2"/>
          </rPr>
          <t xml:space="preserve">
1/5/17: 4QTD comp ~flat</t>
        </r>
        <r>
          <rPr>
            <sz val="9"/>
            <color indexed="81"/>
            <rFont val="Tahoma"/>
            <family val="2"/>
          </rPr>
          <t xml:space="preserve">
11/30/16: guidance flat to +LSD comp (expect AUR up)</t>
        </r>
      </text>
    </comment>
    <comment ref="CN13" authorId="14">
      <text>
        <r>
          <rPr>
            <b/>
            <sz val="9"/>
            <color indexed="81"/>
            <rFont val="Tahoma"/>
            <family val="2"/>
          </rPr>
          <t xml:space="preserve">Cassel, Lauren (Research):
3/8/18: 53rd week added $43M
12/6/17: 53rd week $45M, 3c to EPS
3/1/17: little less than $50M in revenue for 53rd week = 4.3% benefit
</t>
        </r>
        <r>
          <rPr>
            <sz val="9"/>
            <color indexed="81"/>
            <rFont val="Tahoma"/>
            <family val="2"/>
          </rPr>
          <t xml:space="preserve">
12/10/16: assume extra week $30-$35M in sales = ~3%</t>
        </r>
      </text>
    </comment>
    <comment ref="CP13" authorId="20">
      <text>
        <r>
          <rPr>
            <b/>
            <sz val="9"/>
            <color indexed="81"/>
            <rFont val="Tahoma"/>
            <family val="2"/>
          </rPr>
          <t xml:space="preserve">3/8/18: AE +5% (men's +8%, women's +3%); aerie +34%; transactions +HSD, traffic +mid-teens; AUR +LSD, ADS up slightly; aerie AURs at all time highs; positive store sales at both AE and aerie (+LSD)
</t>
        </r>
        <r>
          <rPr>
            <sz val="9"/>
            <color indexed="81"/>
            <rFont val="Tahoma"/>
            <family val="2"/>
          </rPr>
          <t xml:space="preserve">
1/8/18: Holiday comp +8%
12/6/17: Guidance +MSD, QTD running above that (Black Friday - Cyber Monday week running in low teens)</t>
        </r>
      </text>
    </comment>
    <comment ref="CS13" authorId="14">
      <text>
        <r>
          <rPr>
            <b/>
            <sz val="9"/>
            <color indexed="81"/>
            <rFont val="Tahoma"/>
            <family val="2"/>
          </rPr>
          <t>Cassel, Lauren (Research):</t>
        </r>
        <r>
          <rPr>
            <sz val="9"/>
            <color indexed="81"/>
            <rFont val="Tahoma"/>
            <family val="2"/>
          </rPr>
          <t xml:space="preserve">
3/8/18: lose 53rd week = -3.5%</t>
        </r>
      </text>
    </comment>
    <comment ref="C14" authorId="21">
      <text>
        <r>
          <rPr>
            <b/>
            <sz val="8"/>
            <color indexed="81"/>
            <rFont val="Tahoma"/>
            <family val="2"/>
          </rPr>
          <t>CREDIT SUISSE FIRST BOSTON:</t>
        </r>
        <r>
          <rPr>
            <sz val="8"/>
            <color indexed="81"/>
            <rFont val="Tahoma"/>
            <family val="2"/>
          </rPr>
          <t xml:space="preserve">
incl. Outlet sales of $21.5 mm</t>
        </r>
      </text>
    </comment>
    <comment ref="W14" authorId="21">
      <text>
        <r>
          <rPr>
            <sz val="8"/>
            <color indexed="81"/>
            <rFont val="Tahoma"/>
            <family val="2"/>
          </rPr>
          <t>includes $15 mm of internet sales split 3-3-3-6 by qtr</t>
        </r>
      </text>
    </comment>
    <comment ref="AB14" authorId="2">
      <text>
        <r>
          <rPr>
            <b/>
            <sz val="8"/>
            <color indexed="81"/>
            <rFont val="Tahoma"/>
            <family val="2"/>
          </rPr>
          <t>dong2:</t>
        </r>
        <r>
          <rPr>
            <sz val="8"/>
            <color indexed="81"/>
            <rFont val="Tahoma"/>
            <family val="2"/>
          </rPr>
          <t xml:space="preserve">
1419.4 b4 Jul comp</t>
        </r>
      </text>
    </comment>
    <comment ref="AV14" authorId="10">
      <text>
        <r>
          <rPr>
            <b/>
            <sz val="8"/>
            <color indexed="81"/>
            <rFont val="Tahoma"/>
            <family val="2"/>
          </rPr>
          <t>nicholjs:</t>
        </r>
        <r>
          <rPr>
            <sz val="8"/>
            <color indexed="81"/>
            <rFont val="Tahoma"/>
            <family val="2"/>
          </rPr>
          <t xml:space="preserve">
2010 10K: $2,790,976 excluding M+O</t>
        </r>
      </text>
    </comment>
    <comment ref="AZ14" authorId="10">
      <text>
        <r>
          <rPr>
            <b/>
            <sz val="8"/>
            <color indexed="81"/>
            <rFont val="Tahoma"/>
            <family val="2"/>
          </rPr>
          <t>nicholjs:</t>
        </r>
        <r>
          <rPr>
            <sz val="8"/>
            <color indexed="81"/>
            <rFont val="Tahoma"/>
            <family val="2"/>
          </rPr>
          <t xml:space="preserve">
2010 10K: $3,041,158 excluding M+O</t>
        </r>
      </text>
    </comment>
    <comment ref="BD14" authorId="10">
      <text>
        <r>
          <rPr>
            <b/>
            <sz val="8"/>
            <color indexed="81"/>
            <rFont val="Tahoma"/>
            <family val="2"/>
          </rPr>
          <t>nicholjs:</t>
        </r>
        <r>
          <rPr>
            <sz val="8"/>
            <color indexed="81"/>
            <rFont val="Tahoma"/>
            <family val="2"/>
          </rPr>
          <t xml:space="preserve">
2010 10K: $2,948,679 excluding M+O</t>
        </r>
      </text>
    </comment>
    <comment ref="BL14" authorId="10">
      <text>
        <r>
          <rPr>
            <b/>
            <sz val="8"/>
            <color indexed="81"/>
            <rFont val="Tahoma"/>
            <family val="2"/>
          </rPr>
          <t>nicholjs:</t>
        </r>
        <r>
          <rPr>
            <sz val="8"/>
            <color indexed="81"/>
            <rFont val="Tahoma"/>
            <family val="2"/>
          </rPr>
          <t xml:space="preserve">
$2,675,992 US
$291,567 Canada and AEO Direct shipped to int'l countries</t>
        </r>
      </text>
    </comment>
    <comment ref="BN14" authorId="22">
      <text>
        <r>
          <rPr>
            <b/>
            <sz val="8"/>
            <color indexed="81"/>
            <rFont val="Tahoma"/>
            <family val="2"/>
          </rPr>
          <t>ns66486:</t>
        </r>
        <r>
          <rPr>
            <sz val="8"/>
            <color indexed="81"/>
            <rFont val="Tahoma"/>
            <family val="2"/>
          </rPr>
          <t xml:space="preserve">
3/10: planning inventory buys on a MSD comp for the yr</t>
        </r>
      </text>
    </comment>
    <comment ref="BR14" authorId="10">
      <text>
        <r>
          <rPr>
            <b/>
            <sz val="8"/>
            <color indexed="81"/>
            <rFont val="Tahoma"/>
            <family val="2"/>
          </rPr>
          <t xml:space="preserve">3/21/12: </t>
        </r>
        <r>
          <rPr>
            <sz val="8"/>
            <color indexed="81"/>
            <rFont val="Tahoma"/>
            <family val="2"/>
          </rPr>
          <t>txns +MSD and AUR +LSD offset by -LSD in UPT</t>
        </r>
        <r>
          <rPr>
            <sz val="8"/>
            <color indexed="81"/>
            <rFont val="Tahoma"/>
            <family val="2"/>
          </rPr>
          <t xml:space="preserve">
8/2011: not updating this
5/2011: still targeting +LSD for the year. Puts more pressure on 4Q, but based on traction seeing today, they are comfortable w/ that.
3/2011: targeting +LSD</t>
        </r>
      </text>
    </comment>
    <comment ref="BT14" authorId="11">
      <text>
        <r>
          <rPr>
            <b/>
            <sz val="8"/>
            <color indexed="81"/>
            <rFont val="Tahoma"/>
            <family val="2"/>
          </rPr>
          <t xml:space="preserve">3/6/13: </t>
        </r>
        <r>
          <rPr>
            <sz val="8"/>
            <color indexed="81"/>
            <rFont val="Tahoma"/>
            <family val="2"/>
          </rPr>
          <t>direct sales +25% to $467M; ADS +MSD, AUR +LSD, transactions +LSD</t>
        </r>
        <r>
          <rPr>
            <b/>
            <sz val="8"/>
            <color indexed="81"/>
            <rFont val="Tahoma"/>
            <family val="2"/>
          </rPr>
          <t xml:space="preserve">
5/21/12: Was $3,361M
3/7/12 4Q:</t>
        </r>
        <r>
          <rPr>
            <sz val="8"/>
            <color indexed="81"/>
            <rFont val="Tahoma"/>
            <family val="2"/>
          </rPr>
          <t xml:space="preserve"> For the year, the company is planning a modest sales increase, and margin improvement. Increased product costs will continue to pressure margins int eh first half of the yaer and lower product costs should benefit margins in the second half. The cmopany is also targeting lower markdowns driven by improved inventory productivity. The company expects to provide annual EPS guidance along with the first quarter earnings annc in May.</t>
        </r>
      </text>
    </comment>
    <comment ref="BV14" authorId="9">
      <text>
        <r>
          <rPr>
            <b/>
            <sz val="8"/>
            <color indexed="81"/>
            <rFont val="Tahoma"/>
            <family val="2"/>
          </rPr>
          <t xml:space="preserve">5/23/12: </t>
        </r>
        <r>
          <rPr>
            <sz val="8"/>
            <color indexed="81"/>
            <rFont val="Tahoma"/>
            <family val="2"/>
          </rPr>
          <t>FY guidance +L-MSD</t>
        </r>
        <r>
          <rPr>
            <b/>
            <sz val="8"/>
            <color indexed="81"/>
            <rFont val="Tahoma"/>
            <family val="2"/>
          </rPr>
          <t xml:space="preserve">
</t>
        </r>
        <r>
          <rPr>
            <sz val="8"/>
            <color indexed="81"/>
            <rFont val="Tahoma"/>
            <family val="2"/>
          </rPr>
          <t>5/1/12: FY2012 guidance +L-MSD</t>
        </r>
      </text>
    </comment>
    <comment ref="BX14" authorId="23">
      <text>
        <r>
          <rPr>
            <b/>
            <sz val="8"/>
            <color indexed="81"/>
            <rFont val="Tahoma"/>
            <family val="2"/>
          </rPr>
          <t>antons:</t>
        </r>
        <r>
          <rPr>
            <sz val="8"/>
            <color indexed="81"/>
            <rFont val="Tahoma"/>
            <family val="2"/>
          </rPr>
          <t xml:space="preserve">
From 4Q12 Conf. Call - CEO, Expect Sq. footage growth of ~3% y/y, 7-10 new mainline stores in US and Canada, and 6 new stores in Mexico. "Our plans include 7 to 10 new mainline stores in the US and Canada, 50 or more store remodels, 40 new factory stores, and 6 new stores in Mexico..."</t>
        </r>
      </text>
    </comment>
    <comment ref="BZ14" authorId="12">
      <text>
        <r>
          <rPr>
            <b/>
            <sz val="8"/>
            <color indexed="81"/>
            <rFont val="Tahoma"/>
            <family val="2"/>
          </rPr>
          <t xml:space="preserve">3/11/14: </t>
        </r>
        <r>
          <rPr>
            <sz val="8"/>
            <color indexed="81"/>
            <rFont val="Tahoma"/>
            <family val="2"/>
          </rPr>
          <t>AE -7%, aerie -2%, direct 13%; -MSD ADS, -MSD AUR, -MSD transactions</t>
        </r>
        <r>
          <rPr>
            <b/>
            <sz val="8"/>
            <color indexed="81"/>
            <rFont val="Tahoma"/>
            <family val="2"/>
          </rPr>
          <t xml:space="preserve">
solejay:</t>
        </r>
        <r>
          <rPr>
            <sz val="8"/>
            <color indexed="81"/>
            <rFont val="Tahoma"/>
            <family val="2"/>
          </rPr>
          <t xml:space="preserve">
includes stores + internet</t>
        </r>
      </text>
    </comment>
    <comment ref="CD14" authorId="13">
      <text>
        <r>
          <rPr>
            <b/>
            <sz val="9"/>
            <color indexed="81"/>
            <rFont val="Tahoma"/>
            <family val="2"/>
          </rPr>
          <t>casselau:
3/3/15: transactions -MSD, ADS +LDD, AUR flat (AE -6%, Aerie +6%)</t>
        </r>
        <r>
          <rPr>
            <sz val="9"/>
            <color indexed="81"/>
            <rFont val="Tahoma"/>
            <family val="2"/>
          </rPr>
          <t xml:space="preserve">
3/11/14: planning AUR flat for the year</t>
        </r>
      </text>
    </comment>
    <comment ref="CH14" authorId="13">
      <text>
        <r>
          <rPr>
            <b/>
            <sz val="9"/>
            <color indexed="81"/>
            <rFont val="Tahoma"/>
            <family val="2"/>
          </rPr>
          <t>casselau:</t>
        </r>
        <r>
          <rPr>
            <sz val="9"/>
            <color indexed="81"/>
            <rFont val="Tahoma"/>
            <family val="2"/>
          </rPr>
          <t xml:space="preserve">
3/2/16: AE +7% (men's +1%, women's +9%); Aerie +20% (transactions -LSD/traffic +MSD; ADS +LDD, AUR +HSD);; Factory -2%</t>
        </r>
      </text>
    </comment>
    <comment ref="CJ14" authorId="14">
      <text>
        <r>
          <rPr>
            <b/>
            <sz val="9"/>
            <color indexed="81"/>
            <rFont val="Tahoma"/>
            <family val="2"/>
          </rPr>
          <t>Cassel, Lauren (Research):</t>
        </r>
        <r>
          <rPr>
            <sz val="9"/>
            <color indexed="81"/>
            <rFont val="Tahoma"/>
            <family val="2"/>
          </rPr>
          <t xml:space="preserve">
5/18/16: Per Judy - aerie is 10% of sales including aerie merchandise sold  in AE stores (that is about 5% of AE assortment)</t>
        </r>
      </text>
    </comment>
    <comment ref="CK14" authorId="13">
      <text>
        <r>
          <rPr>
            <b/>
            <sz val="9"/>
            <color indexed="81"/>
            <rFont val="Tahoma"/>
            <family val="2"/>
          </rPr>
          <t>casselau:
3/2/16: expect 1% positive spread between sales and comp each quarter</t>
        </r>
        <r>
          <rPr>
            <sz val="9"/>
            <color indexed="81"/>
            <rFont val="Tahoma"/>
            <family val="2"/>
          </rPr>
          <t xml:space="preserve">
12/2/15: expect no spread between comp and sales</t>
        </r>
      </text>
    </comment>
    <comment ref="CL14" authorId="13">
      <text>
        <r>
          <rPr>
            <b/>
            <sz val="9"/>
            <color indexed="81"/>
            <rFont val="Tahoma"/>
            <family val="2"/>
          </rPr>
          <t xml:space="preserve">casselau:
3/1/17: AE +1% (men's -4%, women's +4%), aerie +23%; transactions -LSD, traffic flat, ADS +MSD, AUR +MSD
</t>
        </r>
        <r>
          <rPr>
            <sz val="9"/>
            <color indexed="81"/>
            <rFont val="Tahoma"/>
            <family val="2"/>
          </rPr>
          <t xml:space="preserve">
3/2/16: guidance +LSD; expect  AUR to be up  +LSD primarily due to mix and product innovation</t>
        </r>
      </text>
    </comment>
    <comment ref="CN14" authorId="14">
      <text>
        <r>
          <rPr>
            <b/>
            <sz val="9"/>
            <color indexed="81"/>
            <rFont val="Tahoma"/>
            <family val="2"/>
          </rPr>
          <t>Cassel, Lauren (Research):</t>
        </r>
        <r>
          <rPr>
            <sz val="9"/>
            <color indexed="81"/>
            <rFont val="Tahoma"/>
            <family val="2"/>
          </rPr>
          <t xml:space="preserve">
3/8/18: aerie achieved $500M in sales</t>
        </r>
      </text>
    </comment>
    <comment ref="CP14" authorId="14">
      <text>
        <r>
          <rPr>
            <b/>
            <sz val="9"/>
            <color indexed="81"/>
            <rFont val="Tahoma"/>
            <family val="2"/>
          </rPr>
          <t>Cassel, Lauren (Research):</t>
        </r>
        <r>
          <rPr>
            <sz val="9"/>
            <color indexed="81"/>
            <rFont val="Tahoma"/>
            <family val="2"/>
          </rPr>
          <t xml:space="preserve">
3/8/18: AE +2% (M +2%, W +2%); aerie +27%; transactions +MSD, traffic +LDD, AUR +LSD, ADS -LSD</t>
        </r>
      </text>
    </comment>
    <comment ref="DJ19" authorId="1">
      <text>
        <r>
          <rPr>
            <b/>
            <sz val="8"/>
            <color indexed="81"/>
            <rFont val="Tahoma"/>
            <family val="2"/>
          </rPr>
          <t>Debbie Ong:</t>
        </r>
        <r>
          <rPr>
            <sz val="8"/>
            <color indexed="81"/>
            <rFont val="Tahoma"/>
            <family val="2"/>
          </rPr>
          <t xml:space="preserve">
on 4Q conf. call, Laura indicated mgns are few hundred bps less than U.S.</t>
        </r>
      </text>
    </comment>
    <comment ref="X20" authorId="21">
      <text>
        <r>
          <rPr>
            <sz val="8"/>
            <color indexed="81"/>
            <rFont val="Tahoma"/>
            <family val="2"/>
          </rPr>
          <t>est at 40.6 or $105.7m</t>
        </r>
      </text>
    </comment>
    <comment ref="AB20" authorId="1">
      <text>
        <r>
          <rPr>
            <b/>
            <sz val="8"/>
            <color indexed="81"/>
            <rFont val="Tahoma"/>
            <family val="2"/>
          </rPr>
          <t>Debbie Ong:</t>
        </r>
        <r>
          <rPr>
            <sz val="8"/>
            <color indexed="81"/>
            <rFont val="Tahoma"/>
            <family val="2"/>
          </rPr>
          <t xml:space="preserve">
had 140.5</t>
        </r>
      </text>
    </comment>
    <comment ref="AC20" authorId="1">
      <text>
        <r>
          <rPr>
            <b/>
            <sz val="8"/>
            <color indexed="81"/>
            <rFont val="Tahoma"/>
            <family val="2"/>
          </rPr>
          <t>Debbie Ong:</t>
        </r>
        <r>
          <rPr>
            <sz val="8"/>
            <color indexed="81"/>
            <rFont val="Tahoma"/>
            <family val="2"/>
          </rPr>
          <t xml:space="preserve">
had 39.2% AEOS U.S. ($129.5). 3/8/01: had 38.6; increased to 38.7 as co. indicated on feb sales call that U.S. mgns ahead of LY. Also said Canada had strong mth.
5/9: had 38.8% but given strong full price selling w. full price selling in April increased to flat</t>
        </r>
      </text>
    </comment>
    <comment ref="AF20" authorId="2">
      <text>
        <r>
          <rPr>
            <b/>
            <sz val="8"/>
            <color indexed="81"/>
            <rFont val="Tahoma"/>
            <family val="2"/>
          </rPr>
          <t>dong2:</t>
        </r>
        <r>
          <rPr>
            <sz val="8"/>
            <color indexed="81"/>
            <rFont val="Tahoma"/>
            <family val="2"/>
          </rPr>
          <t xml:space="preserve">
174.6</t>
        </r>
      </text>
    </comment>
    <comment ref="AG20" authorId="2">
      <text>
        <r>
          <rPr>
            <b/>
            <sz val="8"/>
            <color indexed="81"/>
            <rFont val="Tahoma"/>
            <family val="2"/>
          </rPr>
          <t>dong2:</t>
        </r>
        <r>
          <rPr>
            <sz val="8"/>
            <color indexed="81"/>
            <rFont val="Tahoma"/>
            <family val="2"/>
          </rPr>
          <t xml:space="preserve">
1/21/02: had 39.5
4/5: had 39.6% and $172.0. 5/6: had 38.8% and $169.2</t>
        </r>
      </text>
    </comment>
    <comment ref="AJ20" authorId="3">
      <text>
        <r>
          <rPr>
            <b/>
            <sz val="8"/>
            <color indexed="81"/>
            <rFont val="Tahoma"/>
            <family val="2"/>
          </rPr>
          <t>dliu:</t>
        </r>
        <r>
          <rPr>
            <sz val="8"/>
            <color indexed="81"/>
            <rFont val="Tahoma"/>
            <family val="2"/>
          </rPr>
          <t xml:space="preserve">
183.9</t>
        </r>
      </text>
    </comment>
    <comment ref="AK20" authorId="24">
      <text>
        <r>
          <rPr>
            <b/>
            <sz val="10"/>
            <color indexed="81"/>
            <rFont val="Tahoma"/>
            <family val="2"/>
          </rPr>
          <t>kgreenbe:</t>
        </r>
        <r>
          <rPr>
            <sz val="10"/>
            <color indexed="81"/>
            <rFont val="Tahoma"/>
            <family val="2"/>
          </rPr>
          <t xml:space="preserve">
50% mdse margin drop
50% delvg rent
</t>
        </r>
      </text>
    </comment>
    <comment ref="AO20" authorId="24">
      <text>
        <r>
          <rPr>
            <b/>
            <sz val="10"/>
            <color indexed="81"/>
            <rFont val="Tahoma"/>
            <family val="2"/>
          </rPr>
          <t>kgreenbe:</t>
        </r>
        <r>
          <rPr>
            <sz val="10"/>
            <color indexed="81"/>
            <rFont val="Tahoma"/>
            <family val="2"/>
          </rPr>
          <t xml:space="preserve">
50% mdse margin drop
50% delvg rent
</t>
        </r>
      </text>
    </comment>
    <comment ref="AW20" authorId="17">
      <text>
        <r>
          <rPr>
            <b/>
            <sz val="8"/>
            <color indexed="81"/>
            <rFont val="Tahoma"/>
            <family val="2"/>
          </rPr>
          <t>mm98285:</t>
        </r>
        <r>
          <rPr>
            <sz val="8"/>
            <color indexed="81"/>
            <rFont val="Tahoma"/>
            <family val="2"/>
          </rPr>
          <t xml:space="preserve">
-60 bps merch margin (increase in MDs partially offset by higher IMU)
+50 bps leverage on buying, occupancy and warehousing exps
</t>
        </r>
      </text>
    </comment>
    <comment ref="AX20" authorId="25">
      <text>
        <r>
          <rPr>
            <b/>
            <sz val="8"/>
            <color indexed="81"/>
            <rFont val="Tahoma"/>
            <family val="2"/>
          </rPr>
          <t>kg51925:</t>
        </r>
        <r>
          <rPr>
            <sz val="8"/>
            <color indexed="81"/>
            <rFont val="Tahoma"/>
            <family val="2"/>
          </rPr>
          <t xml:space="preserve">
1Q06 GM down 10 bps
-60 bps mdse marg (+IMU, ++MD's), part offset by 50 bps leverage B,O,DC (mostly rent lvg)
1Q actual down 35 bps before 1Q05 restatement, model 2Q06 after this decline</t>
        </r>
      </text>
    </comment>
    <comment ref="BA20" authorId="17">
      <text>
        <r>
          <rPr>
            <b/>
            <sz val="8"/>
            <color indexed="81"/>
            <rFont val="Tahoma"/>
            <family val="2"/>
          </rPr>
          <t>mm98285:</t>
        </r>
        <r>
          <rPr>
            <sz val="8"/>
            <color indexed="81"/>
            <rFont val="Tahoma"/>
            <family val="2"/>
          </rPr>
          <t xml:space="preserve">
+20 bps incrse in merch margin (IMU +sig, offset by higher MDs)
-20 bps incrse in buying, occ'cy &amp; warehousing costs (rent was flat, offset by as AE.com fulfillment function was moved in-house from a 3rd party vendor)</t>
        </r>
      </text>
    </comment>
    <comment ref="BE20" authorId="25">
      <text>
        <r>
          <rPr>
            <sz val="8"/>
            <color indexed="81"/>
            <rFont val="Tahoma"/>
            <family val="2"/>
          </rPr>
          <t>Declined -756 bps: Primary cause of
reduced margin was increased MDs as a result of lower than expected sales/denim markdowns. Rent increased (-140bps)  due to new store openings and the first quarter comp decline. AEO experienced higher delivery costs related to fuel surcharges. AEO also benefited from a modest increase in IMU this quarter due to a reduction in shipment in air versus ocean (not anticipating this to
happen again in 2Q08).
3/06/08: Feb "Down"
4/10/08: Mar we est. down significantly
5/8/08: Apr we est. "Down"</t>
        </r>
        <r>
          <rPr>
            <b/>
            <sz val="8"/>
            <color indexed="81"/>
            <rFont val="Tahoma"/>
            <family val="2"/>
          </rPr>
          <t xml:space="preserve">
kg51925:</t>
        </r>
        <r>
          <rPr>
            <sz val="8"/>
            <color indexed="81"/>
            <rFont val="Tahoma"/>
            <family val="2"/>
          </rPr>
          <t xml:space="preserve">
11/27/07: assume similar ~100 bps neg occup leverage as 3Q07 plus ~50 bps mdse marg erosion</t>
        </r>
      </text>
    </comment>
    <comment ref="BH20" authorId="8">
      <text>
        <r>
          <rPr>
            <b/>
            <sz val="8"/>
            <color indexed="81"/>
            <rFont val="Tahoma"/>
            <family val="2"/>
          </rPr>
          <t>lr73192:</t>
        </r>
        <r>
          <rPr>
            <sz val="8"/>
            <color indexed="81"/>
            <rFont val="Tahoma"/>
            <family val="2"/>
          </rPr>
          <t xml:space="preserve">
5/26/10: Removed M+O's $12.985M</t>
        </r>
      </text>
    </comment>
    <comment ref="BI20" authorId="19">
      <text>
        <r>
          <rPr>
            <b/>
            <sz val="8"/>
            <color indexed="81"/>
            <rFont val="Tahoma"/>
            <family val="2"/>
          </rPr>
          <t>TI23070:</t>
        </r>
        <r>
          <rPr>
            <sz val="8"/>
            <color indexed="81"/>
            <rFont val="Tahoma"/>
            <family val="2"/>
          </rPr>
          <t xml:space="preserve">
February MM down
March MM likely flattish
MM down for 1Q on higher MDs</t>
        </r>
      </text>
    </comment>
    <comment ref="BJ20" authorId="18">
      <text>
        <r>
          <rPr>
            <b/>
            <u/>
            <sz val="8"/>
            <color indexed="81"/>
            <rFont val="Tahoma"/>
            <family val="2"/>
          </rPr>
          <t xml:space="preserve">Gross margin declined -508bps </t>
        </r>
        <r>
          <rPr>
            <sz val="8"/>
            <color indexed="81"/>
            <rFont val="Tahoma"/>
            <family val="2"/>
          </rPr>
          <t xml:space="preserve">
Merchandise margin declining 260bps
due to a lower initial markup (product cost inflation) and higher markdowns.
Buying, occupancy and warehousing costs increased by an unfavorable 250bps due to the de-leveraging of rent related to new stores and the -10% comp decline
There was $2.3 million of share-based payment expense included in gross profit for the period compared to $1.5 million last year.</t>
        </r>
      </text>
    </comment>
    <comment ref="BL20" authorId="8">
      <text>
        <r>
          <rPr>
            <b/>
            <sz val="8"/>
            <color indexed="81"/>
            <rFont val="Tahoma"/>
            <family val="2"/>
          </rPr>
          <t xml:space="preserve">5/23/12: </t>
        </r>
        <r>
          <rPr>
            <sz val="8"/>
            <color indexed="81"/>
            <rFont val="Tahoma"/>
            <family val="2"/>
          </rPr>
          <t>excludes 77kids COGS. GAAP GM Rate was 39.7%</t>
        </r>
        <r>
          <rPr>
            <b/>
            <sz val="8"/>
            <color indexed="81"/>
            <rFont val="Tahoma"/>
            <family val="2"/>
          </rPr>
          <t xml:space="preserve">
lr73192:</t>
        </r>
        <r>
          <rPr>
            <sz val="8"/>
            <color indexed="81"/>
            <rFont val="Tahoma"/>
            <family val="2"/>
          </rPr>
          <t xml:space="preserve">
5/26/10: excl M+O $20.253M</t>
        </r>
      </text>
    </comment>
    <comment ref="BM20" authorId="19">
      <text>
        <r>
          <rPr>
            <b/>
            <sz val="8"/>
            <color indexed="81"/>
            <rFont val="Tahoma"/>
            <family val="2"/>
          </rPr>
          <t>TI23070:</t>
        </r>
        <r>
          <rPr>
            <sz val="8"/>
            <color indexed="81"/>
            <rFont val="Tahoma"/>
            <family val="2"/>
          </rPr>
          <t xml:space="preserve">
Merch Margin: +210 bps for 1Q
February: up slightly
March: Up
April: Up
3/10:  expect "couple hundred bps" of merch margin improvement in 1Q, most will be merch margin, slight occupancy leverage (lower rents)
</t>
        </r>
        <r>
          <rPr>
            <b/>
            <sz val="8"/>
            <color indexed="81"/>
            <rFont val="Tahoma"/>
            <family val="2"/>
          </rPr>
          <t>37.2% GM LY excl M+O</t>
        </r>
      </text>
    </comment>
    <comment ref="BP20" authorId="9">
      <text>
        <r>
          <rPr>
            <b/>
            <sz val="8"/>
            <color indexed="81"/>
            <rFont val="Tahoma"/>
            <family val="2"/>
          </rPr>
          <t>P Kahng:</t>
        </r>
        <r>
          <rPr>
            <sz val="8"/>
            <color indexed="81"/>
            <rFont val="Tahoma"/>
            <family val="2"/>
          </rPr>
          <t xml:space="preserve">
5/23/12: excludes 77kids. GAAP was 377.801M and 38.0% GM Rate</t>
        </r>
      </text>
    </comment>
    <comment ref="BQ20" authorId="10">
      <text>
        <r>
          <rPr>
            <b/>
            <sz val="8"/>
            <color indexed="81"/>
            <rFont val="Tahoma"/>
            <family val="2"/>
          </rPr>
          <t>nicholjs:</t>
        </r>
        <r>
          <rPr>
            <sz val="8"/>
            <color indexed="81"/>
            <rFont val="Tahoma"/>
            <family val="2"/>
          </rPr>
          <t xml:space="preserve">
1Q11: Improved merchandise margin, reflecting strong inventory discipline and cost saving.
merchandise margin +70 bps (primarily due to
favorable product costs, improved markdowns and decreased promotional activity)
B+O -240 bps deleverage primarily due to rent, reflecting the impact of new store openings and negative comps
There was $1.2 million of share-based payment expense for the 13 weeks ended April 30, 2011, consisting of time-based
awards, included in gross profit for the period compared to $3.9 million for the 13 weeks ended May 1, 2010.
11/2010: spring '11 costs ~flat; sounds like still oppty here but less so than 2Q</t>
        </r>
      </text>
    </comment>
    <comment ref="BT20" authorId="9">
      <text>
        <r>
          <rPr>
            <b/>
            <sz val="8"/>
            <color indexed="81"/>
            <rFont val="Tahoma"/>
            <family val="2"/>
          </rPr>
          <t>P Kahng:</t>
        </r>
        <r>
          <rPr>
            <sz val="8"/>
            <color indexed="81"/>
            <rFont val="Tahoma"/>
            <family val="2"/>
          </rPr>
          <t xml:space="preserve">
5/23/12: reflects disopal of 77kids&gt; GAAP is 446.430. GM rate is 37.9%</t>
        </r>
      </text>
    </comment>
    <comment ref="BU20" authorId="12">
      <text>
        <r>
          <rPr>
            <b/>
            <sz val="8"/>
            <color indexed="81"/>
            <rFont val="Tahoma"/>
            <family val="2"/>
          </rPr>
          <t xml:space="preserve">5/23/12: </t>
        </r>
        <r>
          <rPr>
            <sz val="8"/>
            <color indexed="81"/>
            <rFont val="Tahoma"/>
            <family val="2"/>
          </rPr>
          <t xml:space="preserve">rent and non-merch costs leveraged 220bps on strong comps. merch marg fell 220bps reflecting higher prod costs primarily related to cotton. Cotton pressure was less than 4Q. Less promo activity resulted in a 50bps improvement in markdown rate. </t>
        </r>
        <r>
          <rPr>
            <b/>
            <sz val="8"/>
            <color indexed="81"/>
            <rFont val="Tahoma"/>
            <family val="2"/>
          </rPr>
          <t xml:space="preserve">
5/12/12: </t>
        </r>
        <r>
          <rPr>
            <sz val="8"/>
            <color indexed="81"/>
            <rFont val="Tahoma"/>
            <family val="2"/>
          </rPr>
          <t xml:space="preserve">was at 35.2%. Flat to down slightly GM overall assuming BOW leverage fully offsets product cost inflation and promos from heavy inventory. </t>
        </r>
        <r>
          <rPr>
            <b/>
            <sz val="8"/>
            <color indexed="81"/>
            <rFont val="Tahoma"/>
            <family val="2"/>
          </rPr>
          <t xml:space="preserve">
3/7/12 4Q: </t>
        </r>
        <r>
          <rPr>
            <sz val="8"/>
            <color indexed="81"/>
            <rFont val="Tahoma"/>
            <family val="2"/>
          </rPr>
          <t xml:space="preserve">$0.08 - $0.10 assumes continued margin pressure from product costs, higher markdowns and potential for increased promotions. Assume 210bps in mdse margin pressure. 
</t>
        </r>
        <r>
          <rPr>
            <b/>
            <sz val="8"/>
            <color indexed="81"/>
            <rFont val="Tahoma"/>
            <family val="2"/>
          </rPr>
          <t>1/25/12:</t>
        </r>
        <r>
          <rPr>
            <sz val="8"/>
            <color indexed="81"/>
            <rFont val="Tahoma"/>
            <family val="2"/>
          </rPr>
          <t xml:space="preserve"> we est 10% product cost inflation = 160bps mdse margin pressure. Plus giving away the store on sale = 300bps est mdse margin pressure. offset by 200 bps B&amp;O lvg. 
</t>
        </r>
        <r>
          <rPr>
            <b/>
            <sz val="8"/>
            <color indexed="81"/>
            <rFont val="Tahoma"/>
            <family val="2"/>
          </rPr>
          <t>11/2011:</t>
        </r>
        <r>
          <rPr>
            <sz val="8"/>
            <color indexed="81"/>
            <rFont val="Tahoma"/>
            <family val="2"/>
          </rPr>
          <t xml:space="preserve">  +DD COGS inflation in 1Q12. product cost pressures will not abate until 2H.  Plan on keeping promotional levels high in order to be able to leverage SG&amp;A.  Can leverage rents on a +LSD com</t>
        </r>
      </text>
    </comment>
    <comment ref="BY20" authorId="13">
      <text>
        <r>
          <rPr>
            <sz val="8"/>
            <color indexed="81"/>
            <rFont val="Tahoma"/>
            <family val="2"/>
          </rPr>
          <t>5/22/13: IMU +200 bps, large majority due to cotton
3/6/13: Judy: flat to up slightly; benefit of IMU offset by rent deleverage and higher MD</t>
        </r>
        <r>
          <rPr>
            <b/>
            <sz val="8"/>
            <color indexed="81"/>
            <rFont val="Tahoma"/>
            <family val="2"/>
          </rPr>
          <t xml:space="preserve">
casselau:</t>
        </r>
        <r>
          <rPr>
            <sz val="8"/>
            <color indexed="81"/>
            <rFont val="Tahoma"/>
            <family val="2"/>
          </rPr>
          <t xml:space="preserve">
expect AUC +LSD all year (product cost improvement offset by mix shift to higher cost fashion)</t>
        </r>
      </text>
    </comment>
    <comment ref="CC20" authorId="13">
      <text>
        <r>
          <rPr>
            <sz val="8"/>
            <color indexed="81"/>
            <rFont val="Tahoma"/>
            <family val="2"/>
          </rPr>
          <t>5/22/13: IMU +200 bps, large majority due to cotton
3/6/13: Judy: flat to up slightly; benefit of IMU offset by rent deleverage and higher MD</t>
        </r>
        <r>
          <rPr>
            <b/>
            <sz val="8"/>
            <color indexed="81"/>
            <rFont val="Tahoma"/>
            <family val="2"/>
          </rPr>
          <t xml:space="preserve">
casselau:</t>
        </r>
        <r>
          <rPr>
            <sz val="8"/>
            <color indexed="81"/>
            <rFont val="Tahoma"/>
            <family val="2"/>
          </rPr>
          <t xml:space="preserve">
expect AUC +LSD all year (product cost improvement offset by mix shift to higher cost fashion)</t>
        </r>
      </text>
    </comment>
    <comment ref="CD20" authorId="13">
      <text>
        <r>
          <rPr>
            <b/>
            <sz val="9"/>
            <color indexed="81"/>
            <rFont val="Tahoma"/>
            <family val="2"/>
          </rPr>
          <t>casselau:</t>
        </r>
        <r>
          <rPr>
            <sz val="9"/>
            <color indexed="81"/>
            <rFont val="Tahoma"/>
            <family val="2"/>
          </rPr>
          <t xml:space="preserve">
5/21/14: reflects rent deleverage (220 bps) and increased markdowns, partially offset by favorability in merchandise and design costs (merch margin -200 bps)</t>
        </r>
      </text>
    </comment>
    <comment ref="CH20" authorId="13">
      <text>
        <r>
          <rPr>
            <b/>
            <sz val="9"/>
            <color indexed="81"/>
            <rFont val="Tahoma"/>
            <family val="2"/>
          </rPr>
          <t>casselau:</t>
        </r>
        <r>
          <rPr>
            <sz val="9"/>
            <color indexed="81"/>
            <rFont val="Tahoma"/>
            <family val="2"/>
          </rPr>
          <t xml:space="preserve">
5/20/15: 290 bps of merchandise margin expansion, partially offset by 30bps of BOW deleverage; AUC +6% y/y driven by mix and product investment
- rent slightly leveraged; deleverage primarily driven by higher delivery costs from an increase in direct orders, including orders filled through buy online, ship from store</t>
        </r>
      </text>
    </comment>
    <comment ref="CL20" authorId="13">
      <text>
        <r>
          <rPr>
            <b/>
            <sz val="9"/>
            <color indexed="81"/>
            <rFont val="Tahoma"/>
            <family val="2"/>
          </rPr>
          <t xml:space="preserve">casselau:
5/18/16: BOW leveraged 110 bps, due primarily to occupancy cost leverage. The remaining 60 bps improvement was the result of favorable product costs and higher IMUs (~100 bps), offset by an increase in markdowns (~30-40 bps). 
</t>
        </r>
        <r>
          <rPr>
            <sz val="9"/>
            <color indexed="81"/>
            <rFont val="Tahoma"/>
            <family val="2"/>
          </rPr>
          <t xml:space="preserve">
3/2/16: expect 100-150 bps of GM improvement; expect 100-150 bps IMU improvement</t>
        </r>
      </text>
    </comment>
    <comment ref="CP20" authorId="14">
      <text>
        <r>
          <rPr>
            <b/>
            <sz val="9"/>
            <color indexed="81"/>
            <rFont val="Tahoma"/>
            <family val="2"/>
          </rPr>
          <t xml:space="preserve">Cassel, Lauren (Research):
5/17/17: margin declined primarily due to increased promotional activity (200 bps), B&amp;O deleverage (70 bps) due to higher shipping costs related to a strong digital business;  +10 bps rent leverage
3/1/17: merchandise margin expected to be lower due to increase in promotional activity (tops and bottom strategies) (includes improvement in IMU)
</t>
        </r>
        <r>
          <rPr>
            <sz val="9"/>
            <color indexed="81"/>
            <rFont val="Tahoma"/>
            <family val="2"/>
          </rPr>
          <t xml:space="preserve">
11/30/16: per Judy: think 1H IMU's should be +50 bps due to lower AUC; estimate offset by 30 bps B&amp;O deleverage on flat comp and 20 bps markdowns</t>
        </r>
      </text>
    </comment>
    <comment ref="CT20" authorId="14">
      <text>
        <r>
          <rPr>
            <b/>
            <sz val="9"/>
            <color indexed="81"/>
            <rFont val="Tahoma"/>
            <family val="2"/>
          </rPr>
          <t>Cassel, Lauren (Research):</t>
        </r>
        <r>
          <rPr>
            <sz val="9"/>
            <color indexed="81"/>
            <rFont val="Tahoma"/>
            <family val="2"/>
          </rPr>
          <t xml:space="preserve">
3/8/18: Expect GM to be up y/y; continued sequential improvement vs. 4Q ; higher IMUs, better BOW management, and less promotions; expect -LSD declines in AUC but seeing some pressure in materials and labor</t>
        </r>
      </text>
    </comment>
    <comment ref="DJ20" authorId="1">
      <text>
        <r>
          <rPr>
            <b/>
            <sz val="8"/>
            <color indexed="81"/>
            <rFont val="Tahoma"/>
            <family val="2"/>
          </rPr>
          <t>Debbie Ong:</t>
        </r>
        <r>
          <rPr>
            <sz val="8"/>
            <color indexed="81"/>
            <rFont val="Tahoma"/>
            <family val="2"/>
          </rPr>
          <t xml:space="preserve">
T/BN exceeded exp. in 1Q01, which is why total-co GM came in better than our estimates.</t>
        </r>
      </text>
    </comment>
    <comment ref="X21" authorId="1">
      <text>
        <r>
          <rPr>
            <b/>
            <sz val="8"/>
            <color indexed="81"/>
            <rFont val="Tahoma"/>
            <family val="2"/>
          </rPr>
          <t xml:space="preserve">Debbie Ong: 
</t>
        </r>
        <r>
          <rPr>
            <sz val="8"/>
            <color indexed="81"/>
            <rFont val="Tahoma"/>
            <family val="2"/>
          </rPr>
          <t xml:space="preserve"> we took down a little due to incr. promos; Judy confirmed it s/b flat to LY (4/28).
1Q call: neg 275 lvg in 2Q
after May sales, take down little more given cont'd tough promo environ
June store check revealed lots of promos 6/19 - probably pressure GM.  Est -660 bps GM lvg.
Neg comps cont in June = neg lvg. should increase. Est -750 bps lvg. based on $60mm excess inv to clear.
8/17: had 30.1% and $146 mm b4 2Q rpt</t>
        </r>
      </text>
    </comment>
    <comment ref="AB21" authorId="2">
      <text>
        <r>
          <rPr>
            <b/>
            <sz val="8"/>
            <color indexed="81"/>
            <rFont val="Tahoma"/>
            <family val="2"/>
          </rPr>
          <t>dong2:</t>
        </r>
        <r>
          <rPr>
            <sz val="8"/>
            <color indexed="81"/>
            <rFont val="Tahoma"/>
            <family val="2"/>
          </rPr>
          <t xml:space="preserve">
172.4</t>
        </r>
      </text>
    </comment>
    <comment ref="AC21" authorId="1">
      <text>
        <r>
          <rPr>
            <b/>
            <sz val="8"/>
            <color indexed="81"/>
            <rFont val="Tahoma"/>
            <family val="2"/>
          </rPr>
          <t>Debbie Ong:</t>
        </r>
        <r>
          <rPr>
            <sz val="8"/>
            <color indexed="81"/>
            <rFont val="Tahoma"/>
            <family val="2"/>
          </rPr>
          <t xml:space="preserve">
had 38.9 AEOS U.S. ($154.8). 5/24: had 38.6 total. 7/10: had 39.5, then 38.6</t>
        </r>
      </text>
    </comment>
    <comment ref="AG21" authorId="2">
      <text>
        <r>
          <rPr>
            <b/>
            <sz val="8"/>
            <color indexed="81"/>
            <rFont val="Tahoma"/>
            <family val="2"/>
          </rPr>
          <t>dong2:</t>
        </r>
        <r>
          <rPr>
            <sz val="8"/>
            <color indexed="81"/>
            <rFont val="Tahoma"/>
            <family val="2"/>
          </rPr>
          <t xml:space="preserve">
1/21/02: had 38.2</t>
        </r>
      </text>
    </comment>
    <comment ref="AJ21" authorId="3">
      <text>
        <r>
          <rPr>
            <b/>
            <sz val="8"/>
            <color indexed="81"/>
            <rFont val="Tahoma"/>
            <family val="2"/>
          </rPr>
          <t>dliu:</t>
        </r>
        <r>
          <rPr>
            <sz val="8"/>
            <color indexed="81"/>
            <rFont val="Tahoma"/>
            <family val="2"/>
          </rPr>
          <t xml:space="preserve">
231.7</t>
        </r>
      </text>
    </comment>
    <comment ref="AV21" authorId="5">
      <text>
        <r>
          <rPr>
            <b/>
            <sz val="8"/>
            <color indexed="81"/>
            <rFont val="Tahoma"/>
            <family val="2"/>
          </rPr>
          <t>MB33100:</t>
        </r>
        <r>
          <rPr>
            <sz val="8"/>
            <color indexed="81"/>
            <rFont val="Tahoma"/>
            <family val="2"/>
          </rPr>
          <t xml:space="preserve">
+70 bps merch margin, 70 bps of leverage on rent expense
restated from $327.792</t>
        </r>
      </text>
    </comment>
    <comment ref="AW21" authorId="17">
      <text>
        <r>
          <rPr>
            <b/>
            <sz val="8"/>
            <color indexed="81"/>
            <rFont val="Tahoma"/>
            <family val="2"/>
          </rPr>
          <t>mm98285:</t>
        </r>
        <r>
          <rPr>
            <sz val="8"/>
            <color indexed="81"/>
            <rFont val="Tahoma"/>
            <family val="2"/>
          </rPr>
          <t xml:space="preserve">
8/06: +70 bps merch margin (Lower MDs &amp; higher IMU)
+70 bps leveraging on rent</t>
        </r>
      </text>
    </comment>
    <comment ref="AX21" authorId="25">
      <text>
        <r>
          <rPr>
            <b/>
            <sz val="8"/>
            <color indexed="81"/>
            <rFont val="Tahoma"/>
            <family val="2"/>
          </rPr>
          <t>kg51925:</t>
        </r>
        <r>
          <rPr>
            <sz val="8"/>
            <color indexed="81"/>
            <rFont val="Tahoma"/>
            <family val="2"/>
          </rPr>
          <t xml:space="preserve">
5/16/06 after 1Q06 beat with GM down only 35 bps, increase 2Q GM expectation 
3/1/06 assume mdse margin down -140 bps, -30 bps M&amp;O incremental impact, offset by +20 bps rent lvg = -150 bps</t>
        </r>
      </text>
    </comment>
    <comment ref="BA21" authorId="18">
      <text>
        <r>
          <rPr>
            <b/>
            <sz val="8"/>
            <color indexed="81"/>
            <rFont val="Tahoma"/>
            <family val="2"/>
          </rPr>
          <t>oc48540:</t>
        </r>
        <r>
          <rPr>
            <sz val="8"/>
            <color indexed="81"/>
            <rFont val="Tahoma"/>
            <family val="2"/>
          </rPr>
          <t xml:space="preserve">
-50 bps (higher MDs, partially offset by a strong mark-up)
-20 bps increased buying, occupancy &amp; warehousing costs (rent expense relating to upcoming aerie store openings, &amp; start up costs associated w/transitioning e-commerce fulfillment in-house)
May: We est down on higher promos
June: We est down
July: We est down
</t>
        </r>
      </text>
    </comment>
    <comment ref="BE21" authorId="25">
      <text>
        <r>
          <rPr>
            <sz val="8"/>
            <color indexed="81"/>
            <rFont val="Tahoma"/>
            <family val="2"/>
          </rPr>
          <t xml:space="preserve">Declined -299 bps: Merchandise margin declined by 80 bps (markdowns were lower than LY and AEO experienced a slight improvement in IMU offset by higher promotional costs associated with denim try-on event). Buying, occupancy and warehousing costs increased by 220 bps largely due to: de-leveraging in rent (~180bps) related to new store openings (~90 bps) at lower productivity (we calculate ~46%) and the second quarter comparable store sales decline (~90bps).
May = We est down
June = "MDs not as deep as LY"
2Q: "Down Slightly"
</t>
        </r>
        <r>
          <rPr>
            <b/>
            <sz val="8"/>
            <color indexed="81"/>
            <rFont val="Tahoma"/>
            <family val="2"/>
          </rPr>
          <t xml:space="preserve">
kg51925:</t>
        </r>
        <r>
          <rPr>
            <sz val="8"/>
            <color indexed="81"/>
            <rFont val="Tahoma"/>
            <family val="2"/>
          </rPr>
          <t xml:space="preserve">
11/27/07: assume similar ~100 bps neg occup leverage as 3Q07 plus ~30 bps mdse marg erosion on top of -50 LY</t>
        </r>
      </text>
    </comment>
    <comment ref="BH21" authorId="8">
      <text>
        <r>
          <rPr>
            <b/>
            <sz val="8"/>
            <color indexed="81"/>
            <rFont val="Tahoma"/>
            <family val="2"/>
          </rPr>
          <t>lr73192:</t>
        </r>
        <r>
          <rPr>
            <sz val="8"/>
            <color indexed="81"/>
            <rFont val="Tahoma"/>
            <family val="2"/>
          </rPr>
          <t xml:space="preserve">
5/26/10: Removed $15.863M for M+O</t>
        </r>
      </text>
    </comment>
    <comment ref="BI21" authorId="18">
      <text>
        <r>
          <rPr>
            <b/>
            <sz val="8"/>
            <color indexed="81"/>
            <rFont val="Tahoma"/>
            <family val="2"/>
          </rPr>
          <t>oc48540:</t>
        </r>
        <r>
          <rPr>
            <sz val="8"/>
            <color indexed="81"/>
            <rFont val="Tahoma"/>
            <family val="2"/>
          </rPr>
          <t xml:space="preserve">
8/09: Gross margin declined -417bps vs. LY to 37.8% (vs. our 38.2% estimate driving -1c of EPS impact) based on merchandise margin declining 190bps (primarily due to higher markdowns, promotional costs, and product cost inflation) and buying, occupancy and warehousing costs increasing 230bps (on de-leveraging of rent related to new stores and the decline comps). There was $2.0 million of share-based payment expense included in gross profit for the period compared to $1.3 million last year.
May MM: we est. down on cost inflation (not markdowns)
June MM: we est down (MDs up a bit, IMU pressure)
July MM: down
5/27: AEO expects less IMU pressure in 2Q09 (vs. previous guidance of flattish IMU in 2Q09), and continues to expect IMU improvement to start in 2H09 with positive impact (based on favorable product costs and transportation costs) in 3Q09 and 4Q09.  We calculate that COGS deflation has the potential to benefit AEO’s 2H09 margins through a ~125 bps or greater increase to gross margin/operating margin (based on ~50% merchandise margin with 2-3% cost deflation.</t>
        </r>
      </text>
    </comment>
    <comment ref="BL21" authorId="9">
      <text>
        <r>
          <rPr>
            <b/>
            <sz val="8"/>
            <color indexed="81"/>
            <rFont val="Tahoma"/>
            <family val="2"/>
          </rPr>
          <t xml:space="preserve">P Kahng: 5/23/12: </t>
        </r>
        <r>
          <rPr>
            <sz val="8"/>
            <color indexed="81"/>
            <rFont val="Tahoma"/>
            <family val="2"/>
          </rPr>
          <t>GAAP SGA rate was 36.8%</t>
        </r>
        <r>
          <rPr>
            <sz val="8"/>
            <color indexed="81"/>
            <rFont val="Tahoma"/>
            <family val="2"/>
          </rPr>
          <t xml:space="preserve">
</t>
        </r>
      </text>
    </comment>
    <comment ref="BM21" authorId="19">
      <text>
        <r>
          <rPr>
            <sz val="8"/>
            <color indexed="81"/>
            <rFont val="Tahoma"/>
            <family val="2"/>
          </rPr>
          <t>2Q: MM declined -210 bps due to higher markdowns as a result of weaker sales performance within key categories of summer assortment, B+O deleveraged 40 bps due to new stores and neg. comps
MM: May: down</t>
        </r>
      </text>
    </comment>
    <comment ref="BP21" authorId="9">
      <text>
        <r>
          <rPr>
            <b/>
            <sz val="8"/>
            <color indexed="81"/>
            <rFont val="Tahoma"/>
            <family val="2"/>
          </rPr>
          <t>P Kahng:</t>
        </r>
        <r>
          <rPr>
            <sz val="8"/>
            <color indexed="81"/>
            <rFont val="Tahoma"/>
            <family val="2"/>
          </rPr>
          <t xml:space="preserve">
5/23/12: GAAP $443.6M, GM rate 34.3%</t>
        </r>
      </text>
    </comment>
    <comment ref="BQ21" authorId="10">
      <text>
        <r>
          <rPr>
            <b/>
            <sz val="8"/>
            <color indexed="81"/>
            <rFont val="Tahoma"/>
            <family val="2"/>
          </rPr>
          <t>nicholjs:</t>
        </r>
        <r>
          <rPr>
            <sz val="8"/>
            <color indexed="81"/>
            <rFont val="Tahoma"/>
            <family val="2"/>
          </rPr>
          <t xml:space="preserve">
merchandise profit dollars increased slightly vs. LY due to lower markdowns.  higher product costs drove 150 bps decline in merch margin.  buying, occupancy, warehousing deleveraged 100 bps due to rent related to new store openings, lease renewals, and flat comps.
avg 270 bps below 1Q GM rate. on -2% comp assume could be 120 bps occupancy hit alone.
5/2011: expect merch margin pressure but have opportunity in lower markdowns and also testing price increases. product costs +HSD
11/2010: expect modest cost pressure for Summer product, beyond June too early to forecast; sounds like more markdown oppty here than 1Q</t>
        </r>
      </text>
    </comment>
    <comment ref="BU21" authorId="26">
      <text>
        <r>
          <rPr>
            <b/>
            <sz val="8"/>
            <color indexed="81"/>
            <rFont val="Tahoma"/>
            <family val="2"/>
          </rPr>
          <t>8/22/2012:</t>
        </r>
        <r>
          <rPr>
            <sz val="8"/>
            <color indexed="81"/>
            <rFont val="Tahoma"/>
            <family val="2"/>
          </rPr>
          <t xml:space="preserve"> mdse +120 bps (1/2 due to lower markdowns / 1/2 due to favorable product costs); leverage on B&amp;O&amp;warehousing +90 bps</t>
        </r>
        <r>
          <rPr>
            <b/>
            <sz val="8"/>
            <color indexed="81"/>
            <rFont val="Tahoma"/>
            <family val="2"/>
          </rPr>
          <t xml:space="preserve">
8/1/12 pk: Was 35.3%
5/23/12 pk: </t>
        </r>
        <r>
          <rPr>
            <sz val="8"/>
            <color indexed="81"/>
            <rFont val="Tahoma"/>
            <family val="2"/>
          </rPr>
          <t xml:space="preserve">Was at 34.2% prior to excluding 77kids. Expect AUCs to be flat. </t>
        </r>
        <r>
          <rPr>
            <b/>
            <sz val="8"/>
            <color indexed="81"/>
            <rFont val="Tahoma"/>
            <family val="2"/>
          </rPr>
          <t xml:space="preserve">
kimberlg:
5/1/12: </t>
        </r>
        <r>
          <rPr>
            <sz val="8"/>
            <color indexed="81"/>
            <rFont val="Tahoma"/>
            <family val="2"/>
          </rPr>
          <t xml:space="preserve">commented that 1Q should be the end of COGS inflation. GM was at 33.3% and now back to 34%. Assume no B&amp;O leverage and margins roughly in line with last year. </t>
        </r>
        <r>
          <rPr>
            <sz val="8"/>
            <color indexed="81"/>
            <rFont val="Tahoma"/>
            <family val="2"/>
          </rPr>
          <t xml:space="preserve">
1/25/12: we est 50bps COGS inflation hit. won't lvg B&amp;O until hit 3% comp (our est) = 30bps lvg on our 5% comp. plus we est 150bps mdse margin pressure on promos.
11/30/11: co still expects COGS pressure in 2Q12</t>
        </r>
      </text>
    </comment>
    <comment ref="BY21" authorId="13">
      <text>
        <r>
          <rPr>
            <b/>
            <sz val="8"/>
            <color indexed="81"/>
            <rFont val="Tahoma"/>
            <family val="2"/>
          </rPr>
          <t xml:space="preserve">8/21/13: </t>
        </r>
        <r>
          <rPr>
            <sz val="8"/>
            <color indexed="81"/>
            <rFont val="Tahoma"/>
            <family val="2"/>
          </rPr>
          <t xml:space="preserve">decline is primiarly the result of higher markdowns offset by higher IMU (250 bps) and rent deleverage (110 bps) on negative comp; </t>
        </r>
        <r>
          <rPr>
            <b/>
            <sz val="8"/>
            <color indexed="81"/>
            <rFont val="Tahoma"/>
            <family val="2"/>
          </rPr>
          <t xml:space="preserve">
5/22/13: </t>
        </r>
        <r>
          <rPr>
            <sz val="8"/>
            <color indexed="81"/>
            <rFont val="Tahoma"/>
            <family val="2"/>
          </rPr>
          <t>expect IMU +150 bps (down from +200 in 1Q)</t>
        </r>
        <r>
          <rPr>
            <b/>
            <sz val="8"/>
            <color indexed="81"/>
            <rFont val="Tahoma"/>
            <family val="2"/>
          </rPr>
          <t xml:space="preserve">
casselau:</t>
        </r>
        <r>
          <rPr>
            <sz val="8"/>
            <color indexed="81"/>
            <rFont val="Tahoma"/>
            <family val="2"/>
          </rPr>
          <t xml:space="preserve">
expect AUC +LSD all year (product cost improvement offset by mix shift to higher cost fashion)</t>
        </r>
      </text>
    </comment>
    <comment ref="CC21" authorId="13">
      <text>
        <r>
          <rPr>
            <b/>
            <sz val="9"/>
            <color indexed="81"/>
            <rFont val="Tahoma"/>
            <family val="2"/>
          </rPr>
          <t>casselau:</t>
        </r>
        <r>
          <rPr>
            <sz val="9"/>
            <color indexed="81"/>
            <rFont val="Tahoma"/>
            <family val="2"/>
          </rPr>
          <t xml:space="preserve">
8/20/14: delivered higher merch margin; reflects de-leverage of BOW costs on negative comp, which was largely offset by favoribility in merchandise and design costs and a slight improvement in the markdown rate (+40 bps y/y) (merch margin flat y/y)</t>
        </r>
      </text>
    </comment>
    <comment ref="CD21" authorId="26">
      <text>
        <r>
          <rPr>
            <b/>
            <sz val="8"/>
            <color indexed="81"/>
            <rFont val="Tahoma"/>
            <family val="2"/>
          </rPr>
          <t>kimberlg:</t>
        </r>
        <r>
          <rPr>
            <sz val="8"/>
            <color indexed="81"/>
            <rFont val="Tahoma"/>
            <family val="2"/>
          </rPr>
          <t xml:space="preserve">
assumes negative leverage on rent since below breakeven 4-5% comp, offset by mdse margin recovery </t>
        </r>
      </text>
    </comment>
    <comment ref="CH21" authorId="13">
      <text>
        <r>
          <rPr>
            <b/>
            <sz val="9"/>
            <color indexed="81"/>
            <rFont val="Tahoma"/>
            <family val="2"/>
          </rPr>
          <t xml:space="preserve">casselau:
8/19/15: </t>
        </r>
        <r>
          <rPr>
            <sz val="9"/>
            <color indexed="81"/>
            <rFont val="Tahoma"/>
            <family val="2"/>
          </rPr>
          <t>BOW leveraged 130 bps primarily due to strong sales, combined with rent leverage driven by fleet rationalization. Reduced markdowns drove another 100 bps of margin expansion; AUC +3% y/y
5/20/15: expect expansion  primarily due to reduced markdowns and higher full-price selling; expect more BOW leverage given store closures</t>
        </r>
      </text>
    </comment>
    <comment ref="CL21" authorId="13">
      <text>
        <r>
          <rPr>
            <b/>
            <sz val="9"/>
            <color indexed="81"/>
            <rFont val="Tahoma"/>
            <family val="2"/>
          </rPr>
          <t>casselau:
8/17/16:</t>
        </r>
        <r>
          <rPr>
            <sz val="9"/>
            <color indexed="81"/>
            <rFont val="Tahoma"/>
            <family val="2"/>
          </rPr>
          <t xml:space="preserve"> increase was driven by improved merchandise margin due to lower cost and higher realized selling prices; partially offset by increased delivery expense related to growth in digital sales; </t>
        </r>
        <r>
          <rPr>
            <b/>
            <sz val="9"/>
            <color indexed="81"/>
            <rFont val="Tahoma"/>
            <family val="2"/>
          </rPr>
          <t>markdowns had no impact on the quarter - even y/y</t>
        </r>
        <r>
          <rPr>
            <sz val="9"/>
            <color indexed="81"/>
            <rFont val="Tahoma"/>
            <family val="2"/>
          </rPr>
          <t xml:space="preserve"> </t>
        </r>
        <r>
          <rPr>
            <b/>
            <sz val="9"/>
            <color indexed="81"/>
            <rFont val="Tahoma"/>
            <family val="2"/>
          </rPr>
          <t xml:space="preserve">
5/18/16: We expect continued gross margin expansion due primarily to favorable product costs and sourcing efficiencies; </t>
        </r>
        <r>
          <rPr>
            <sz val="9"/>
            <color indexed="81"/>
            <rFont val="Tahoma"/>
            <family val="2"/>
          </rPr>
          <t>need a +3% comp to leverage BOW per Judy - every point above that is ~20-30 bps leverage</t>
        </r>
        <r>
          <rPr>
            <b/>
            <sz val="9"/>
            <color indexed="81"/>
            <rFont val="Tahoma"/>
            <family val="2"/>
          </rPr>
          <t xml:space="preserve">
</t>
        </r>
        <r>
          <rPr>
            <sz val="9"/>
            <color indexed="81"/>
            <rFont val="Tahoma"/>
            <family val="2"/>
          </rPr>
          <t xml:space="preserve">
3/2/16: expect 100-150 bps IMU improvement</t>
        </r>
      </text>
    </comment>
    <comment ref="CN21" authorId="14">
      <text>
        <r>
          <rPr>
            <b/>
            <sz val="9"/>
            <color indexed="81"/>
            <rFont val="Tahoma"/>
            <family val="2"/>
          </rPr>
          <t>Cassel, Lauren (Research):</t>
        </r>
        <r>
          <rPr>
            <sz val="9"/>
            <color indexed="81"/>
            <rFont val="Tahoma"/>
            <family val="2"/>
          </rPr>
          <t xml:space="preserve">
8/23/17: excludes restructuing related charges due to UK, HK, China store closures/transfer to licensing agreement</t>
        </r>
      </text>
    </comment>
    <comment ref="CP21" authorId="14">
      <text>
        <r>
          <rPr>
            <b/>
            <sz val="9"/>
            <color indexed="81"/>
            <rFont val="Tahoma"/>
            <family val="2"/>
          </rPr>
          <t>Cassel, Lauren (Research):
8/23/17: due to increased promotional activity; BOW delevered -30 bps including shipping costs (-20 bps of rent delvg, -30 bps of higher shipping costs, offset by +20 bps of other favorability); merch margin -210 bps (very slight AUR favorability)</t>
        </r>
        <r>
          <rPr>
            <sz val="9"/>
            <color indexed="81"/>
            <rFont val="Tahoma"/>
            <family val="2"/>
          </rPr>
          <t xml:space="preserve">
5/17/17: The guidance assumes lower merchandise margin due to increased promotions (consistent with 1Q, anticipate slight IMU improvement through cost reductions on LFL product) </t>
        </r>
      </text>
    </comment>
    <comment ref="DH21" authorId="1">
      <text>
        <r>
          <rPr>
            <b/>
            <sz val="8"/>
            <color indexed="81"/>
            <rFont val="Tahoma"/>
            <family val="2"/>
          </rPr>
          <t>Debbie Ong:</t>
        </r>
        <r>
          <rPr>
            <sz val="8"/>
            <color indexed="81"/>
            <rFont val="Tahoma"/>
            <family val="2"/>
          </rPr>
          <t xml:space="preserve">
had 39.0, then 39.9. 7/10: reduced 100 bps b/c co. had to take higher MDs in June after below plan sales in May</t>
        </r>
      </text>
    </comment>
    <comment ref="DJ21" authorId="1">
      <text>
        <r>
          <rPr>
            <b/>
            <sz val="8"/>
            <color indexed="81"/>
            <rFont val="Tahoma"/>
            <family val="2"/>
          </rPr>
          <t>Debbie Ong:</t>
        </r>
        <r>
          <rPr>
            <sz val="8"/>
            <color indexed="81"/>
            <rFont val="Tahoma"/>
            <family val="2"/>
          </rPr>
          <t xml:space="preserve">
had 34.0, then 35.5</t>
        </r>
      </text>
    </comment>
    <comment ref="DN21" authorId="2">
      <text>
        <r>
          <rPr>
            <b/>
            <sz val="8"/>
            <color indexed="81"/>
            <rFont val="Tahoma"/>
            <family val="2"/>
          </rPr>
          <t>dong2:</t>
        </r>
        <r>
          <rPr>
            <sz val="8"/>
            <color indexed="81"/>
            <rFont val="Tahoma"/>
            <family val="2"/>
          </rPr>
          <t xml:space="preserve">
s/be more oppty in mgn from impv. MD rate</t>
        </r>
      </text>
    </comment>
    <comment ref="W22" authorId="1">
      <text>
        <r>
          <rPr>
            <b/>
            <sz val="8"/>
            <color indexed="81"/>
            <rFont val="Tahoma"/>
            <family val="2"/>
          </rPr>
          <t>Debbie Ong:</t>
        </r>
        <r>
          <rPr>
            <sz val="8"/>
            <color indexed="81"/>
            <rFont val="Tahoma"/>
            <family val="2"/>
          </rPr>
          <t xml:space="preserve">
had $166.8 mm COGS b4 Oct comp, then had 168.8 b/f 3Q eps rptd.</t>
        </r>
      </text>
    </comment>
    <comment ref="X22" authorId="21">
      <text>
        <r>
          <rPr>
            <sz val="8"/>
            <color indexed="81"/>
            <rFont val="Tahoma"/>
            <family val="2"/>
          </rPr>
          <t>3Q s/b better, but probably not totally back on track.  GM @ '98 level (6/19).  Had 40.3% b/f 3Q rptd.</t>
        </r>
      </text>
    </comment>
    <comment ref="AB22" authorId="2">
      <text>
        <r>
          <rPr>
            <b/>
            <sz val="8"/>
            <color indexed="81"/>
            <rFont val="Tahoma"/>
            <family val="2"/>
          </rPr>
          <t>dong2:</t>
        </r>
        <r>
          <rPr>
            <sz val="8"/>
            <color indexed="81"/>
            <rFont val="Tahoma"/>
            <family val="2"/>
          </rPr>
          <t xml:space="preserve">
$216.9 mm before Sept 11.
11/7: 218.1</t>
        </r>
      </text>
    </comment>
    <comment ref="AC22" authorId="1">
      <text>
        <r>
          <rPr>
            <b/>
            <sz val="8"/>
            <color indexed="81"/>
            <rFont val="Tahoma"/>
            <family val="2"/>
          </rPr>
          <t>Debbie Ong:</t>
        </r>
        <r>
          <rPr>
            <sz val="8"/>
            <color indexed="81"/>
            <rFont val="Tahoma"/>
            <family val="2"/>
          </rPr>
          <t xml:space="preserve">
had 42.0 AEOS U.S. ($193.8). 5/24: had 41.3 total. Adj.'d US GM upward slightly to compensate for increase in share count</t>
        </r>
      </text>
    </comment>
    <comment ref="AG22" authorId="2">
      <text>
        <r>
          <rPr>
            <b/>
            <sz val="8"/>
            <color indexed="81"/>
            <rFont val="Tahoma"/>
            <family val="2"/>
          </rPr>
          <t>dong2:</t>
        </r>
        <r>
          <rPr>
            <sz val="8"/>
            <color indexed="81"/>
            <rFont val="Tahoma"/>
            <family val="2"/>
          </rPr>
          <t xml:space="preserve">
1/21/02: had 40.9
11/7: had 38.2</t>
        </r>
      </text>
    </comment>
    <comment ref="AK22" authorId="15">
      <text>
        <r>
          <rPr>
            <sz val="8"/>
            <color indexed="81"/>
            <rFont val="Tahoma"/>
            <family val="2"/>
          </rPr>
          <t>had 38.5, raise to 40.0 based on 75 bps increase ($3mm) from dock dispute LY and the rest mdse mgns. 11/4: had 37.5%</t>
        </r>
      </text>
    </comment>
    <comment ref="AO22" authorId="4">
      <text>
        <r>
          <rPr>
            <b/>
            <sz val="8"/>
            <color indexed="81"/>
            <rFont val="Tahoma"/>
            <family val="2"/>
          </rPr>
          <t>Corinna Freedman:</t>
        </r>
        <r>
          <rPr>
            <sz val="8"/>
            <color indexed="81"/>
            <rFont val="Tahoma"/>
            <family val="2"/>
          </rPr>
          <t xml:space="preserve">
had 44.7 prev to increased 3Q guidance</t>
        </r>
      </text>
    </comment>
    <comment ref="AT22" authorId="25">
      <text>
        <r>
          <rPr>
            <b/>
            <sz val="8"/>
            <color indexed="81"/>
            <rFont val="Tahoma"/>
            <family val="2"/>
          </rPr>
          <t>kg51925:</t>
        </r>
        <r>
          <rPr>
            <sz val="8"/>
            <color indexed="81"/>
            <rFont val="Tahoma"/>
            <family val="2"/>
          </rPr>
          <t xml:space="preserve">
GM -220 bps
-280 bps mdse margin
+60 bps lvg Occup</t>
        </r>
      </text>
    </comment>
    <comment ref="AW22" authorId="25">
      <text>
        <r>
          <rPr>
            <sz val="8"/>
            <color indexed="81"/>
            <rFont val="Tahoma"/>
            <family val="2"/>
          </rPr>
          <t>was 353.803 before 3Q07</t>
        </r>
        <r>
          <rPr>
            <b/>
            <sz val="8"/>
            <color indexed="81"/>
            <rFont val="Tahoma"/>
            <family val="2"/>
          </rPr>
          <t xml:space="preserve">
kg51925:</t>
        </r>
        <r>
          <rPr>
            <sz val="8"/>
            <color indexed="81"/>
            <rFont val="Tahoma"/>
            <family val="2"/>
          </rPr>
          <t xml:space="preserve">
11/06: +250 bps merch margin (lower MDs &amp; higher IMU)
+30 bps of leverage on buying, occ. &amp; warehousing costs 
3/1/06 assume 30 bps incremental drag M&amp;O</t>
        </r>
      </text>
    </comment>
    <comment ref="AX22" authorId="25">
      <text>
        <r>
          <rPr>
            <b/>
            <sz val="8"/>
            <color indexed="81"/>
            <rFont val="Tahoma"/>
            <family val="2"/>
          </rPr>
          <t>kg51925:</t>
        </r>
        <r>
          <rPr>
            <sz val="8"/>
            <color indexed="81"/>
            <rFont val="Tahoma"/>
            <family val="2"/>
          </rPr>
          <t xml:space="preserve">
3/1/06 assume 30 bps incremental drag M&amp;O, other 30 bps decline mdse margin</t>
        </r>
      </text>
    </comment>
    <comment ref="BA22" authorId="17">
      <text>
        <r>
          <rPr>
            <b/>
            <sz val="8"/>
            <color indexed="81"/>
            <rFont val="Tahoma"/>
            <family val="2"/>
          </rPr>
          <t>mm98285:</t>
        </r>
        <r>
          <rPr>
            <sz val="8"/>
            <color indexed="81"/>
            <rFont val="Tahoma"/>
            <family val="2"/>
          </rPr>
          <t xml:space="preserve">
-110 bps buying, occup. &amp; warehouse delvg (~half due to higher pre-opening rent given more store openings in 2H07 vs. LY &amp; half due to rent exp delvg on 2% comp)
-100 bps merch margin (increased markdowns partially offset by higher IMU from sourcing initiatives that resulted in lower product and transportation costs)
Merch margin: Aug. "relatively flat"</t>
        </r>
      </text>
    </comment>
    <comment ref="BE22" authorId="18">
      <text>
        <r>
          <rPr>
            <sz val="8"/>
            <color indexed="81"/>
            <rFont val="Tahoma"/>
            <family val="2"/>
          </rPr>
          <t>Gross margin declined -640 bps to 41.0% (better than our -740 bps estimate contribution to a +3c EPS difference). Merchandise margin declined by                -470bps, primarily due to higher markdowns, and an increase in the cost of merchandise (or IMU pressure). Buying, occupancy and warehousing costs unfavorably increased by 170 bps due to rent deleverage related to new store openings and the 3Q08 -7% comparable store sales decline.</t>
        </r>
        <r>
          <rPr>
            <b/>
            <sz val="8"/>
            <color indexed="81"/>
            <rFont val="Tahoma"/>
            <family val="2"/>
          </rPr>
          <t xml:space="preserve">
oc48540:
</t>
        </r>
        <r>
          <rPr>
            <sz val="8"/>
            <color indexed="81"/>
            <rFont val="Tahoma"/>
            <family val="2"/>
          </rPr>
          <t>11/08: Merch marg: we est. down</t>
        </r>
        <r>
          <rPr>
            <b/>
            <sz val="8"/>
            <color indexed="81"/>
            <rFont val="Tahoma"/>
            <family val="2"/>
          </rPr>
          <t xml:space="preserve">
</t>
        </r>
        <r>
          <rPr>
            <sz val="8"/>
            <color indexed="81"/>
            <rFont val="Tahoma"/>
            <family val="2"/>
          </rPr>
          <t>10/08: Merch. Marg. Down vs. LY</t>
        </r>
        <r>
          <rPr>
            <b/>
            <sz val="8"/>
            <color indexed="81"/>
            <rFont val="Tahoma"/>
            <family val="2"/>
          </rPr>
          <t xml:space="preserve">
</t>
        </r>
        <r>
          <rPr>
            <sz val="8"/>
            <color indexed="81"/>
            <rFont val="Tahoma"/>
            <family val="2"/>
          </rPr>
          <t>9/4/08: We est. down (Aug promos/MD's above LY)</t>
        </r>
        <r>
          <rPr>
            <b/>
            <sz val="8"/>
            <color indexed="81"/>
            <rFont val="Tahoma"/>
            <family val="2"/>
          </rPr>
          <t xml:space="preserve">
</t>
        </r>
        <r>
          <rPr>
            <sz val="8"/>
            <color indexed="81"/>
            <rFont val="Tahoma"/>
            <family val="2"/>
          </rPr>
          <t>8/26:</t>
        </r>
        <r>
          <rPr>
            <sz val="8"/>
            <color indexed="81"/>
            <rFont val="Tahoma"/>
            <family val="2"/>
          </rPr>
          <t xml:space="preserve">
3Q08 markdowns to be higher and IMU to be weaker on elevated product costs.</t>
        </r>
      </text>
    </comment>
    <comment ref="BH22" authorId="18">
      <text>
        <r>
          <rPr>
            <b/>
            <sz val="8"/>
            <color indexed="81"/>
            <rFont val="Tahoma"/>
            <family val="2"/>
          </rPr>
          <t xml:space="preserve">lr73192:
</t>
        </r>
        <r>
          <rPr>
            <sz val="8"/>
            <color indexed="81"/>
            <rFont val="Tahoma"/>
            <family val="2"/>
          </rPr>
          <t xml:space="preserve">5/26/10: Removed $16.998M for M+O
</t>
        </r>
        <r>
          <rPr>
            <b/>
            <sz val="8"/>
            <color indexed="81"/>
            <rFont val="Tahoma"/>
            <family val="2"/>
          </rPr>
          <t>oc48540:</t>
        </r>
        <r>
          <rPr>
            <sz val="8"/>
            <color indexed="81"/>
            <rFont val="Tahoma"/>
            <family val="2"/>
          </rPr>
          <t xml:space="preserve">
Savings… IMU (imu improvement less than 50bs)</t>
        </r>
      </text>
    </comment>
    <comment ref="BI22" authorId="18">
      <text>
        <r>
          <rPr>
            <sz val="8"/>
            <color indexed="81"/>
            <rFont val="Tahoma"/>
            <family val="2"/>
          </rPr>
          <t>Gross margin declined -100bps vs. LY to 40.1% 
Controlled markdown activity=higher merchandise margin
(+20 bps) 
Occupancy deleverage on new store growth and negative comparable store sales (we estimate buying and occupancy =~-110bps). 
Management commented that occupancy leverage would require a ~MSD comp in 2009. We view the much improved ~LSD comp leverage point in 2010 as very encouraging. We think the ~MSD occupancy breakpoint in 2009 seems very high relative to a sector average ~LSD (and note in 3Q09 GPS achieved favorable occupancy leverage of ~+20bps on a flat comp).</t>
        </r>
        <r>
          <rPr>
            <b/>
            <sz val="8"/>
            <color indexed="81"/>
            <rFont val="Tahoma"/>
            <family val="2"/>
          </rPr>
          <t xml:space="preserve">
oc48540:</t>
        </r>
        <r>
          <rPr>
            <sz val="8"/>
            <color indexed="81"/>
            <rFont val="Tahoma"/>
            <family val="2"/>
          </rPr>
          <t xml:space="preserve">
MM:
August: we est down slightly
September: down slightly
October: we est up slightly
8/09:  SG&amp;A Guidance — AEO is guiding to a full year SG&amp;A of down low single digits based on slightly up in 3Q and slightly down in 4Q.  We estimate that SG&amp;A could grow ~+1% in 3Q and contract ~-1% in 4Q
3/08: Expect IMU improvement in 3Q, started making in 4Q08 and take hold in BTS of 2009
need +MSD comp to leverage rent expense</t>
        </r>
      </text>
    </comment>
    <comment ref="BL22" authorId="10">
      <text>
        <r>
          <rPr>
            <b/>
            <sz val="8"/>
            <color indexed="81"/>
            <rFont val="Tahoma"/>
            <family val="2"/>
          </rPr>
          <t xml:space="preserve">5/23/12: </t>
        </r>
        <r>
          <rPr>
            <sz val="8"/>
            <color indexed="81"/>
            <rFont val="Tahoma"/>
            <family val="2"/>
          </rPr>
          <t>GAAP GM rate was 41.6%</t>
        </r>
        <r>
          <rPr>
            <b/>
            <sz val="8"/>
            <color indexed="81"/>
            <rFont val="Tahoma"/>
            <family val="2"/>
          </rPr>
          <t xml:space="preserve">
nicholjs:</t>
        </r>
        <r>
          <rPr>
            <sz val="8"/>
            <color indexed="81"/>
            <rFont val="Tahoma"/>
            <family val="2"/>
          </rPr>
          <t xml:space="preserve">
There was $1.1 million of share-based payment expense for the 13 weeks ended October 30, 2010 included in gross profit compared to $2.3 million for the 13 weeks ended October 31, 2009. 
</t>
        </r>
      </text>
    </comment>
    <comment ref="BM22" authorId="10">
      <text>
        <r>
          <rPr>
            <b/>
            <sz val="8"/>
            <color indexed="81"/>
            <rFont val="Tahoma"/>
            <family val="2"/>
          </rPr>
          <t>nicholjs:</t>
        </r>
        <r>
          <rPr>
            <sz val="8"/>
            <color indexed="81"/>
            <rFont val="Tahoma"/>
            <family val="2"/>
          </rPr>
          <t xml:space="preserve">
merchandise margin +90 bps due to less promotional activity and stronger sales performance during the peak BTS period
B+O deleveraged 60 basis points primarily due the timing of new store openings (including SoHo); new store openings accounted for 20-30 bps of the increase as a % of sales
Aug, Sept, Oct merch margin up.  Oct sales and margins were slightly ahead of expectations.
8/2010: on "high end" of guidance expect MM to improve, "low end" expect ~flat; but B+O is a drag, need +MSD comps for leverage</t>
        </r>
      </text>
    </comment>
    <comment ref="BQ22" authorId="10">
      <text>
        <r>
          <rPr>
            <sz val="8"/>
            <color indexed="81"/>
            <rFont val="Tahoma"/>
            <family val="2"/>
          </rPr>
          <t>11/30/2011: While merchandise profit dollars increased slightly due to stronger sales, higher cotton costs and markdowns pressured the merchandise margin, which decreased 480 basis points. Buying, occupancy and warehousing costs improved 30 basis points as a rate to sales, primarily due to top line growth driven by a 5% comparable store sales increase.  Of the 480, 1/2 was merch margin, the other half was product costs.
7/21/2011: cons. modeling 40.2%
5/2011: expect merchandise margin pressure, but believe they have oppt'y on markdown line to offset some of that cost pressure, as well as testing selective price increase to offset some of higher costs. Product cost +mid teen</t>
        </r>
      </text>
    </comment>
    <comment ref="BR22" authorId="26">
      <text>
        <r>
          <rPr>
            <b/>
            <sz val="8"/>
            <color indexed="81"/>
            <rFont val="Tahoma"/>
            <family val="2"/>
          </rPr>
          <t xml:space="preserve">kimberlg: </t>
        </r>
        <r>
          <rPr>
            <sz val="8"/>
            <color indexed="81"/>
            <rFont val="Tahoma"/>
            <family val="2"/>
          </rPr>
          <t xml:space="preserve">CC: BOW leveraged 30bps
3Q = peak product costs +mid-teens%
</t>
        </r>
      </text>
    </comment>
    <comment ref="BT22" authorId="9">
      <text>
        <r>
          <rPr>
            <b/>
            <sz val="8"/>
            <color indexed="81"/>
            <rFont val="Tahoma"/>
            <family val="2"/>
          </rPr>
          <t>P Kahng:</t>
        </r>
        <r>
          <rPr>
            <sz val="8"/>
            <color indexed="81"/>
            <rFont val="Tahoma"/>
            <family val="2"/>
          </rPr>
          <t xml:space="preserve">
5/21/12: Was 503.7 reduced by 9M to account for 77kids disposal. $9M in revenue from 77kids in 3Q est, offset by 100% COGS</t>
        </r>
      </text>
    </comment>
    <comment ref="BU22" authorId="9">
      <text>
        <r>
          <rPr>
            <b/>
            <sz val="8"/>
            <color indexed="81"/>
            <rFont val="Tahoma"/>
            <family val="2"/>
          </rPr>
          <t xml:space="preserve">11/28: </t>
        </r>
        <r>
          <rPr>
            <sz val="8"/>
            <color indexed="81"/>
            <rFont val="Tahoma"/>
            <family val="2"/>
          </rPr>
          <t>From 3Q12 Conf. call - CFO, GM improves 350 bps on Merch margins &amp; Rent costs. Merchandise margin improved 290 bps primarily as a result of improved product costs and lower markdowns. BOW costs leveraged 60 bps</t>
        </r>
        <r>
          <rPr>
            <b/>
            <sz val="8"/>
            <color indexed="81"/>
            <rFont val="Tahoma"/>
            <family val="2"/>
          </rPr>
          <t xml:space="preserve">
8/22/2012: </t>
        </r>
        <r>
          <rPr>
            <sz val="8"/>
            <color indexed="81"/>
            <rFont val="Tahoma"/>
            <family val="2"/>
          </rPr>
          <t>Expect 2H GM improvement - 2/3 due to lower cotton costs &amp; 1/3 due to lower markdowns (esp in 4Q where cotton costs and markdowns peaked)</t>
        </r>
        <r>
          <rPr>
            <b/>
            <sz val="8"/>
            <color indexed="81"/>
            <rFont val="Tahoma"/>
            <family val="2"/>
          </rPr>
          <t xml:space="preserve">
5/25/12:</t>
        </r>
        <r>
          <rPr>
            <sz val="8"/>
            <color indexed="81"/>
            <rFont val="Tahoma"/>
            <family val="2"/>
          </rPr>
          <t xml:space="preserve">
5/21/12: was 503.7 and 40.8% marg. Lower cogs by $3M after tax ($4.7 pre tax) to acct for disposal of 77kids. Expect AUC's down M-HSD
5/1/12: was 39.4%</t>
        </r>
      </text>
    </comment>
    <comment ref="BV22" authorId="26">
      <text>
        <r>
          <rPr>
            <b/>
            <sz val="8"/>
            <color indexed="81"/>
            <rFont val="Tahoma"/>
            <family val="2"/>
          </rPr>
          <t xml:space="preserve">5/25/12: </t>
        </r>
        <r>
          <rPr>
            <sz val="8"/>
            <color indexed="81"/>
            <rFont val="Tahoma"/>
            <family val="2"/>
          </rPr>
          <t xml:space="preserve">factoring 200 bps merch marg recovery vs 450 merch marg delev on cotton costs last year. BOW lev 30bps. </t>
        </r>
        <r>
          <rPr>
            <b/>
            <sz val="8"/>
            <color indexed="81"/>
            <rFont val="Tahoma"/>
            <family val="2"/>
          </rPr>
          <t xml:space="preserve">
kimberlg:</t>
        </r>
        <r>
          <rPr>
            <sz val="8"/>
            <color indexed="81"/>
            <rFont val="Tahoma"/>
            <family val="2"/>
          </rPr>
          <t xml:space="preserve">
11/30/11: expect to recover much of the 240 bps hit to LY GM from higher sourcing costs. 
Should see unit position inventory position come down about half and the cost of product costs increases will not moderate until the back half of the year. </t>
        </r>
      </text>
    </comment>
    <comment ref="BY22" authorId="13">
      <text>
        <r>
          <rPr>
            <b/>
            <sz val="8"/>
            <color indexed="81"/>
            <rFont val="Tahoma"/>
            <family val="2"/>
          </rPr>
          <t xml:space="preserve">12/6/13: </t>
        </r>
        <r>
          <rPr>
            <sz val="8"/>
            <color indexed="81"/>
            <rFont val="Tahoma"/>
            <family val="2"/>
          </rPr>
          <t>decline primarily the result of higher promotional activity and rent deleverage on negative comp</t>
        </r>
        <r>
          <rPr>
            <b/>
            <sz val="8"/>
            <color indexed="81"/>
            <rFont val="Tahoma"/>
            <family val="2"/>
          </rPr>
          <t xml:space="preserve">
11/6/13: </t>
        </r>
        <r>
          <rPr>
            <sz val="8"/>
            <color indexed="81"/>
            <rFont val="Tahoma"/>
            <family val="2"/>
          </rPr>
          <t>revised outlook reflects slightly better than expected margin results</t>
        </r>
        <r>
          <rPr>
            <b/>
            <sz val="8"/>
            <color indexed="81"/>
            <rFont val="Tahoma"/>
            <family val="2"/>
          </rPr>
          <t xml:space="preserve">
8/21/13: </t>
        </r>
        <r>
          <rPr>
            <sz val="8"/>
            <color indexed="81"/>
            <rFont val="Tahoma"/>
            <family val="2"/>
          </rPr>
          <t>expect marign pressure from increased promotions</t>
        </r>
        <r>
          <rPr>
            <b/>
            <sz val="8"/>
            <color indexed="81"/>
            <rFont val="Tahoma"/>
            <family val="2"/>
          </rPr>
          <t xml:space="preserve">
casselau:</t>
        </r>
        <r>
          <rPr>
            <sz val="8"/>
            <color indexed="81"/>
            <rFont val="Tahoma"/>
            <family val="2"/>
          </rPr>
          <t xml:space="preserve">
5/22/13: supply chain efficiencies will probably reflect an IMU improvement of +50 bps</t>
        </r>
      </text>
    </comment>
    <comment ref="BZ22" authorId="13">
      <text>
        <r>
          <rPr>
            <b/>
            <sz val="8"/>
            <color indexed="81"/>
            <rFont val="Tahoma"/>
            <family val="2"/>
          </rPr>
          <t>casselau:</t>
        </r>
        <r>
          <rPr>
            <sz val="8"/>
            <color indexed="81"/>
            <rFont val="Tahoma"/>
            <family val="2"/>
          </rPr>
          <t xml:space="preserve">
12/6/13: -590 bps due to markdowns, -150 bps B&amp;O deleverage, offset by +70 bps non-merchandise cost savings</t>
        </r>
      </text>
    </comment>
    <comment ref="CC22" authorId="13">
      <text>
        <r>
          <rPr>
            <b/>
            <sz val="9"/>
            <color indexed="81"/>
            <rFont val="Tahoma"/>
            <family val="2"/>
          </rPr>
          <t xml:space="preserve">casselau:
</t>
        </r>
        <r>
          <rPr>
            <sz val="9"/>
            <color indexed="81"/>
            <rFont val="Tahoma"/>
            <family val="2"/>
          </rPr>
          <t>12/4/14: 320 bps of merch margin improvement was partially offset by 120 bps of B&amp;O deleverage; AUC -1% y/y
8/20/14: per Mary: 37-38% GM in the back half; per Judy: 36-37%</t>
        </r>
      </text>
    </comment>
    <comment ref="CD22" authorId="26">
      <text>
        <r>
          <rPr>
            <b/>
            <sz val="8"/>
            <color indexed="81"/>
            <rFont val="Tahoma"/>
            <family val="2"/>
          </rPr>
          <t xml:space="preserve">kimberlg:
</t>
        </r>
        <r>
          <rPr>
            <sz val="8"/>
            <color indexed="81"/>
            <rFont val="Tahoma"/>
            <family val="2"/>
          </rPr>
          <t>8/20/14: expect markdowns to decline
assumes negative leverage on rent since below breakeven 4-5% comp, offset by mdse margin recovery</t>
        </r>
      </text>
    </comment>
    <comment ref="CH22" authorId="13">
      <text>
        <r>
          <rPr>
            <b/>
            <sz val="9"/>
            <color indexed="81"/>
            <rFont val="Tahoma"/>
            <family val="2"/>
          </rPr>
          <t xml:space="preserve">casselau:
12/2/15: +250 bps due to lower markdowns as the company continued to reduce promotional activity; BOW leveraged +60 bps reflecting rent leverage, partially offset by higher incentive costs
</t>
        </r>
        <r>
          <rPr>
            <sz val="9"/>
            <color indexed="81"/>
            <rFont val="Tahoma"/>
            <family val="2"/>
          </rPr>
          <t>8/19/15: we assume 60 bps BOW leverage and 70 bps merch margin expansion 
3/3/15: 3-7% AUC savings, flowing some through and reinvesting some in the product</t>
        </r>
      </text>
    </comment>
    <comment ref="CL22" authorId="13">
      <text>
        <r>
          <rPr>
            <b/>
            <sz val="9"/>
            <color indexed="81"/>
            <rFont val="Tahoma"/>
            <family val="2"/>
          </rPr>
          <t xml:space="preserve">casselau:
11/30/16: due to an improved IMU (lower AUC), partially offset by a slight increase in markdowns (less than 50 bps). BOW was flat as a rate to sales. 
8/17/16: expect 100-150 bps of IMU improvement in 2H and into 1Q17
</t>
        </r>
        <r>
          <rPr>
            <sz val="9"/>
            <color indexed="81"/>
            <rFont val="Tahoma"/>
            <family val="2"/>
          </rPr>
          <t xml:space="preserve">
3/2/16: 100 bps of IMU opportunity in 2H
May 2016: need a +3% comp to leverage BOW per Judy - every point above that is ~20-30 bps leverage</t>
        </r>
      </text>
    </comment>
    <comment ref="CN22" authorId="20">
      <text>
        <r>
          <rPr>
            <b/>
            <sz val="9"/>
            <color indexed="81"/>
            <rFont val="Tahoma"/>
            <family val="2"/>
          </rPr>
          <t>Roberts, Cynthia (Research):</t>
        </r>
        <r>
          <rPr>
            <sz val="9"/>
            <color indexed="81"/>
            <rFont val="Tahoma"/>
            <family val="2"/>
          </rPr>
          <t xml:space="preserve">
12/6/17: Excludes ~$4M in restructuring charges</t>
        </r>
      </text>
    </comment>
    <comment ref="CP22" authorId="14">
      <text>
        <r>
          <rPr>
            <b/>
            <sz val="9"/>
            <color indexed="81"/>
            <rFont val="Tahoma"/>
            <family val="2"/>
          </rPr>
          <t>Cassel, Lauren (Research):</t>
        </r>
        <r>
          <rPr>
            <sz val="9"/>
            <color indexed="81"/>
            <rFont val="Tahoma"/>
            <family val="2"/>
          </rPr>
          <t xml:space="preserve">
12/6/7: Decline due to lower merch margin on higher promotions  (~1/2 of decrease) and increases shipping costs associated with eComm business.
8/23/17: guidance: lower merchandise margin due to increased promotions (improving IMU); up against very promotional compares LY (ARO liquidation)</t>
        </r>
      </text>
    </comment>
    <comment ref="DH22" authorId="1">
      <text>
        <r>
          <rPr>
            <b/>
            <sz val="8"/>
            <color indexed="81"/>
            <rFont val="Tahoma"/>
            <family val="2"/>
          </rPr>
          <t>Debbie Ong:</t>
        </r>
        <r>
          <rPr>
            <sz val="8"/>
            <color indexed="81"/>
            <rFont val="Tahoma"/>
            <family val="2"/>
          </rPr>
          <t xml:space="preserve">
5/24: had 41.9. 10/10: had 41.6. 10/31: had 41, reduce to 40.8 to keep EPS at $0.41.
11/16: co. reported US GM was flat to LY at 42.5%, so decline came from Canada</t>
        </r>
      </text>
    </comment>
    <comment ref="DJ22" authorId="1">
      <text>
        <r>
          <rPr>
            <b/>
            <sz val="8"/>
            <color indexed="81"/>
            <rFont val="Tahoma"/>
            <family val="2"/>
          </rPr>
          <t>Debbie Ong:</t>
        </r>
        <r>
          <rPr>
            <sz val="8"/>
            <color indexed="81"/>
            <rFont val="Tahoma"/>
            <family val="2"/>
          </rPr>
          <t xml:space="preserve">
5/24: had 37.0. 10/10: had 37.1</t>
        </r>
      </text>
    </comment>
    <comment ref="DN22" authorId="2">
      <text>
        <r>
          <rPr>
            <b/>
            <sz val="8"/>
            <color indexed="81"/>
            <rFont val="Tahoma"/>
            <family val="2"/>
          </rPr>
          <t>dong2:</t>
        </r>
        <r>
          <rPr>
            <sz val="8"/>
            <color indexed="81"/>
            <rFont val="Tahoma"/>
            <family val="2"/>
          </rPr>
          <t xml:space="preserve">
s/ have oppty on the MD rate as well as impv. Canadian biz. 12/3: but reduce to be more conservative overall on F02E- this no. should then clearly be conservative</t>
        </r>
      </text>
    </comment>
    <comment ref="W23" authorId="1">
      <text>
        <r>
          <rPr>
            <b/>
            <sz val="8"/>
            <color indexed="81"/>
            <rFont val="Tahoma"/>
            <family val="2"/>
          </rPr>
          <t>Debbie Ong:</t>
        </r>
        <r>
          <rPr>
            <sz val="8"/>
            <color indexed="81"/>
            <rFont val="Tahoma"/>
            <family val="2"/>
          </rPr>
          <t xml:space="preserve">
had $190.8 mm b4 Nov comp rptd</t>
        </r>
      </text>
    </comment>
    <comment ref="X23" authorId="21">
      <text>
        <r>
          <rPr>
            <sz val="8"/>
            <color indexed="81"/>
            <rFont val="Tahoma"/>
            <family val="2"/>
          </rPr>
          <t>6/19 s/b approx b/t '99 &amp; '98 levels to be conservative. Holiday s/b on track, but prob not a teen comp.
8/17: adj. GM based on -ve SGA lvg. of 40 bps.
11/29: had GM at 44.5 b4 Nov comp rptd. had 44.2 b4 Jan comp rptd, lower to 44.0 to bring EPS back in line</t>
        </r>
      </text>
    </comment>
    <comment ref="AB23" authorId="2">
      <text>
        <r>
          <rPr>
            <b/>
            <sz val="8"/>
            <color indexed="81"/>
            <rFont val="Tahoma"/>
            <family val="2"/>
          </rPr>
          <t>dong2:</t>
        </r>
        <r>
          <rPr>
            <sz val="8"/>
            <color indexed="81"/>
            <rFont val="Tahoma"/>
            <family val="2"/>
          </rPr>
          <t xml:space="preserve">
12/2: $287.2 and 42.1%
then $276.4 and 41.1%
then $277.9 and 40.4%</t>
        </r>
      </text>
    </comment>
    <comment ref="AC23" authorId="1">
      <text>
        <r>
          <rPr>
            <b/>
            <sz val="8"/>
            <color indexed="81"/>
            <rFont val="Tahoma"/>
            <family val="2"/>
          </rPr>
          <t>Debbie Ong:</t>
        </r>
        <r>
          <rPr>
            <sz val="8"/>
            <color indexed="81"/>
            <rFont val="Tahoma"/>
            <family val="2"/>
          </rPr>
          <t xml:space="preserve">
had 44.0 AEOS U.S. ($251.3). S/get 100 bp of neg. Mdse mgn back since no more liquidatn of e-commerce inv.
12/4: had 41.0%, then 41.1%
Sell-throughs LY in sweaters were extremely strong so didn’t really have to promote them at all</t>
        </r>
      </text>
    </comment>
    <comment ref="AG23" authorId="2">
      <text>
        <r>
          <rPr>
            <b/>
            <sz val="8"/>
            <color indexed="81"/>
            <rFont val="Tahoma"/>
            <family val="2"/>
          </rPr>
          <t>dong2:</t>
        </r>
        <r>
          <rPr>
            <sz val="8"/>
            <color indexed="81"/>
            <rFont val="Tahoma"/>
            <family val="2"/>
          </rPr>
          <t xml:space="preserve">
1/21/02: had 42.2. 2/5/03: 38.3</t>
        </r>
      </text>
    </comment>
    <comment ref="AJ23" authorId="27">
      <text>
        <r>
          <rPr>
            <b/>
            <sz val="8"/>
            <color indexed="81"/>
            <rFont val="Tahoma"/>
            <family val="2"/>
          </rPr>
          <t>Morry Brown:</t>
        </r>
        <r>
          <rPr>
            <sz val="8"/>
            <color indexed="81"/>
            <rFont val="Tahoma"/>
            <family val="2"/>
          </rPr>
          <t xml:space="preserve">
322.449 with blue notes</t>
        </r>
      </text>
    </comment>
    <comment ref="AK23" authorId="15">
      <text>
        <r>
          <rPr>
            <sz val="8"/>
            <color indexed="81"/>
            <rFont val="Tahoma"/>
            <family val="2"/>
          </rPr>
          <t>had 37.2. Raise to 39.7 based on 35.9 + 250 mdse mgns + 125 bps dock dispute (375 bps). LY mgns down 460 bps, comprising 100 bps B+O and 360 mdse mgns.</t>
        </r>
      </text>
    </comment>
    <comment ref="AT23" authorId="25">
      <text>
        <r>
          <rPr>
            <b/>
            <sz val="8"/>
            <color indexed="81"/>
            <rFont val="Tahoma"/>
            <family val="2"/>
          </rPr>
          <t>kg51925: 3/1/06</t>
        </r>
        <r>
          <rPr>
            <sz val="8"/>
            <color indexed="81"/>
            <rFont val="Tahoma"/>
            <family val="2"/>
          </rPr>
          <t xml:space="preserve">
GM -300 bps
-210 bps mdse margin (incr IMU offset by higher MDs)
-90 bps B,O, DC (really -130 bps offset by +40 bps Rent lvg) of which 30 bps one time Canada DC w/o &amp; op loss, shrink less favorable b/c took some favorability into 3Q05, and higher Buying incent comp b/c were fully accrued by 3Q04, so no accrual in 4Q04, but did have in 4Q05
</t>
        </r>
      </text>
    </comment>
    <comment ref="AW23" authorId="25">
      <text>
        <r>
          <rPr>
            <b/>
            <sz val="8"/>
            <color indexed="81"/>
            <rFont val="Tahoma"/>
            <family val="2"/>
          </rPr>
          <t>kg51925:</t>
        </r>
        <r>
          <rPr>
            <sz val="8"/>
            <color indexed="81"/>
            <rFont val="Tahoma"/>
            <family val="2"/>
          </rPr>
          <t xml:space="preserve">
3/1/06 assume 30 bps incremental drag M&amp;O</t>
        </r>
      </text>
    </comment>
    <comment ref="AX23" authorId="25">
      <text>
        <r>
          <rPr>
            <b/>
            <sz val="8"/>
            <color indexed="81"/>
            <rFont val="Tahoma"/>
            <family val="2"/>
          </rPr>
          <t>kg51925:</t>
        </r>
        <r>
          <rPr>
            <sz val="8"/>
            <color indexed="81"/>
            <rFont val="Tahoma"/>
            <family val="2"/>
          </rPr>
          <t xml:space="preserve">
3/07: +140 merch margin (lower MDs &amp; higher IMU)
+20 bps of rent leverage
3/1/06 assume -80 bps mdse margin, -30 bps M&amp;O incremental drag, offset by 30 bps Canada DC exp LY not TY</t>
        </r>
      </text>
    </comment>
    <comment ref="BA23" authorId="6">
      <text>
        <r>
          <rPr>
            <sz val="8"/>
            <color indexed="81"/>
            <rFont val="Tahoma"/>
            <family val="2"/>
          </rPr>
          <t>~-90bps: Merchandise margin declined as a result of higher markdowns, partially offset by lower product costs (higher IMU). 
~-140bps: Buying, occupancy and warehousing costs increased primarily driven by rent expense and higher delivery costs related to fulfillment of AEO’s direct business. Unfavorable rent deleverage was due to the decline in comparable store sales, new store openings, and the extra week in 4Q06.</t>
        </r>
      </text>
    </comment>
    <comment ref="BE23" authorId="19">
      <text>
        <r>
          <rPr>
            <sz val="8"/>
            <color indexed="81"/>
            <rFont val="Tahoma"/>
            <family val="2"/>
          </rPr>
          <t>Gross margin declined -1133bps vs. LY to 34.4% based on merchandise margin declining 990 bps primarily due to higher markdowns as a result of too high inventory levels and lower-than-expected sales but also due to declines in the initial mark-up as a result of increased merchandise costs. Buying, occupancy and warehousing costs also increased by 140 bps, due primarily to de-leveraging of rent related to the -16% comp.</t>
        </r>
        <r>
          <rPr>
            <b/>
            <sz val="8"/>
            <color indexed="81"/>
            <rFont val="Tahoma"/>
            <family val="2"/>
          </rPr>
          <t xml:space="preserve">
TI23070:</t>
        </r>
        <r>
          <rPr>
            <sz val="8"/>
            <color indexed="81"/>
            <rFont val="Tahoma"/>
            <family val="2"/>
          </rPr>
          <t xml:space="preserve">
January MM down
December Mdse Mgn down significantly</t>
        </r>
      </text>
    </comment>
    <comment ref="BH23" authorId="8">
      <text>
        <r>
          <rPr>
            <b/>
            <sz val="8"/>
            <color indexed="81"/>
            <rFont val="Tahoma"/>
            <family val="2"/>
          </rPr>
          <t>lr73192:</t>
        </r>
        <r>
          <rPr>
            <sz val="8"/>
            <color indexed="81"/>
            <rFont val="Tahoma"/>
            <family val="2"/>
          </rPr>
          <t xml:space="preserve">
5/26/10: Removed $19.786M for M+O</t>
        </r>
      </text>
    </comment>
    <comment ref="BI23" authorId="19">
      <text>
        <r>
          <rPr>
            <b/>
            <sz val="8"/>
            <color indexed="81"/>
            <rFont val="Tahoma"/>
            <family val="2"/>
          </rPr>
          <t>TI23070:</t>
        </r>
        <r>
          <rPr>
            <sz val="8"/>
            <color indexed="81"/>
            <rFont val="Tahoma"/>
            <family val="2"/>
          </rPr>
          <t xml:space="preserve">
MM:
Nov: increase
Dec: Up
Jan: up</t>
        </r>
      </text>
    </comment>
    <comment ref="BJ23" authorId="18">
      <text>
        <r>
          <rPr>
            <b/>
            <sz val="8"/>
            <color indexed="81"/>
            <rFont val="Tahoma"/>
            <family val="2"/>
          </rPr>
          <t>oc48540:</t>
        </r>
        <r>
          <rPr>
            <sz val="8"/>
            <color indexed="81"/>
            <rFont val="Tahoma"/>
            <family val="2"/>
          </rPr>
          <t xml:space="preserve">
11/24: positively impacted by
better merchandise margins due to average unit cost improvements and
lower markdowns on pre-planned promotions.
+450 merchandise margin
-50 Occupancy deleverage</t>
        </r>
      </text>
    </comment>
    <comment ref="BL23" authorId="9">
      <text>
        <r>
          <rPr>
            <b/>
            <sz val="8"/>
            <color indexed="81"/>
            <rFont val="Tahoma"/>
            <family val="2"/>
          </rPr>
          <t>P Kahng:</t>
        </r>
        <r>
          <rPr>
            <sz val="8"/>
            <color indexed="81"/>
            <rFont val="Tahoma"/>
            <family val="2"/>
          </rPr>
          <t xml:space="preserve">
5/23/12: GAAP GM Rate was 39.4%</t>
        </r>
      </text>
    </comment>
    <comment ref="BM23" authorId="22">
      <text>
        <r>
          <rPr>
            <sz val="8"/>
            <color indexed="81"/>
            <rFont val="Tahoma"/>
            <family val="2"/>
          </rPr>
          <t>merch margin -60 bps
buying/occupancy +100 bps deleverage
Nov: promotional activity was below LY
Dec: "able to control markdowns," merchandise margin was down
Jan: Up slightly. Less promotional activity vs. LY
should still see deleverage on B+O and given inventory better should see some improvement in MM</t>
        </r>
        <r>
          <rPr>
            <b/>
            <sz val="8"/>
            <color indexed="81"/>
            <rFont val="Tahoma"/>
            <family val="2"/>
          </rPr>
          <t xml:space="preserve">
ns66486:</t>
        </r>
        <r>
          <rPr>
            <sz val="8"/>
            <color indexed="81"/>
            <rFont val="Tahoma"/>
            <family val="2"/>
          </rPr>
          <t xml:space="preserve">
anniversarying LY 250 bps hit from M+O, assume core biz up 100 bps</t>
        </r>
      </text>
    </comment>
    <comment ref="BQ23" authorId="10">
      <text>
        <r>
          <rPr>
            <sz val="8"/>
            <color indexed="81"/>
            <rFont val="Tahoma"/>
            <family val="2"/>
          </rPr>
          <t>11/30/2011: expects margin pressure related to higher cotton costs and its planned promotional strategy.
7/21/2011: cons modeling 38.7%
5/2011: product costs +mid-teen</t>
        </r>
      </text>
    </comment>
    <comment ref="BR23" authorId="26">
      <text>
        <r>
          <rPr>
            <b/>
            <sz val="8"/>
            <color indexed="81"/>
            <rFont val="Tahoma"/>
            <family val="2"/>
          </rPr>
          <t xml:space="preserve">3/7/12: </t>
        </r>
        <r>
          <rPr>
            <sz val="8"/>
            <color indexed="81"/>
            <rFont val="Tahoma"/>
            <family val="2"/>
          </rPr>
          <t>MM down 610bps due to cost increases. ~300bps higher AUC
~300bps higher MD's
BO&amp;DC improved 80bps driven by 10% comps sales</t>
        </r>
        <r>
          <rPr>
            <b/>
            <sz val="8"/>
            <color indexed="81"/>
            <rFont val="Tahoma"/>
            <family val="2"/>
          </rPr>
          <t xml:space="preserve">
kimberlg:</t>
        </r>
        <r>
          <rPr>
            <sz val="8"/>
            <color indexed="81"/>
            <rFont val="Tahoma"/>
            <family val="2"/>
          </rPr>
          <t xml:space="preserve">
4Qe product costs +13%
1/5/12: expect GM down 450-500bps</t>
        </r>
      </text>
    </comment>
    <comment ref="BT23" authorId="9">
      <text>
        <r>
          <rPr>
            <b/>
            <sz val="8"/>
            <color indexed="81"/>
            <rFont val="Tahoma"/>
            <family val="2"/>
          </rPr>
          <t>P Kahng:</t>
        </r>
        <r>
          <rPr>
            <sz val="8"/>
            <color indexed="81"/>
            <rFont val="Tahoma"/>
            <family val="2"/>
          </rPr>
          <t xml:space="preserve">
5/21/12: Was 679.7 lowered to 666.7 on 77kids dispoal. $13M in lost revenue offset by 100% COGS</t>
        </r>
      </text>
    </comment>
    <comment ref="BU23" authorId="9">
      <text>
        <r>
          <rPr>
            <b/>
            <sz val="8"/>
            <color indexed="81"/>
            <rFont val="Tahoma"/>
            <family val="2"/>
          </rPr>
          <t xml:space="preserve">3/6/13: </t>
        </r>
        <r>
          <rPr>
            <sz val="8"/>
            <color indexed="81"/>
            <rFont val="Tahoma"/>
            <family val="2"/>
          </rPr>
          <t>increase driven by lower product costs, markdown improvements, and rent leverage</t>
        </r>
        <r>
          <rPr>
            <b/>
            <sz val="8"/>
            <color indexed="81"/>
            <rFont val="Tahoma"/>
            <family val="2"/>
          </rPr>
          <t xml:space="preserve">
8/22/2012: </t>
        </r>
        <r>
          <rPr>
            <sz val="8"/>
            <color indexed="81"/>
            <rFont val="Tahoma"/>
            <family val="2"/>
          </rPr>
          <t>Expect 2H GM improvement - 2/3 due to lower cotton costs &amp; 1/3 due to lower markdowns (esp in 4Q where cotton costs and markdowns peaked)</t>
        </r>
        <r>
          <rPr>
            <b/>
            <sz val="8"/>
            <color indexed="81"/>
            <rFont val="Tahoma"/>
            <family val="2"/>
          </rPr>
          <t xml:space="preserve">
5/25/12: </t>
        </r>
        <r>
          <rPr>
            <sz val="8"/>
            <color indexed="81"/>
            <rFont val="Tahoma"/>
            <family val="2"/>
          </rPr>
          <t>recover 350bps vs 610 merch marg decline ly on cotton cost. -10 BOW deleverage on neg comp</t>
        </r>
        <r>
          <rPr>
            <sz val="8"/>
            <color indexed="81"/>
            <rFont val="Tahoma"/>
            <family val="2"/>
          </rPr>
          <t xml:space="preserve">
5/1/12: was 37.8%.  Expect AUC's down M-HSD</t>
        </r>
      </text>
    </comment>
    <comment ref="BY23" authorId="13">
      <text>
        <r>
          <rPr>
            <b/>
            <sz val="8"/>
            <color indexed="81"/>
            <rFont val="Tahoma"/>
            <family val="2"/>
          </rPr>
          <t>casselau:</t>
        </r>
        <r>
          <rPr>
            <sz val="8"/>
            <color indexed="81"/>
            <rFont val="Tahoma"/>
            <family val="2"/>
          </rPr>
          <t xml:space="preserve">
5/22/13: supply chain efficiencies will probably reflect an IMU improvement of +50 bps</t>
        </r>
      </text>
    </comment>
    <comment ref="BZ23" authorId="13">
      <text>
        <r>
          <rPr>
            <b/>
            <sz val="8"/>
            <color indexed="81"/>
            <rFont val="Tahoma"/>
            <family val="2"/>
          </rPr>
          <t xml:space="preserve">casselau:
3/11/14: </t>
        </r>
        <r>
          <rPr>
            <sz val="8"/>
            <color indexed="81"/>
            <rFont val="Tahoma"/>
            <family val="2"/>
          </rPr>
          <t>increased markdowns drove 810 bps of the decline offset by 60 basis of cost improvement; BOW costs increased 180 bps due to the deleverage of rent on negative comps and increased delivery costs</t>
        </r>
        <r>
          <rPr>
            <sz val="8"/>
            <color indexed="81"/>
            <rFont val="Tahoma"/>
            <family val="2"/>
          </rPr>
          <t xml:space="preserve">
12/6/13: CC: assume similar decline from Q3 to Q4 vs. LY </t>
        </r>
      </text>
    </comment>
    <comment ref="CC23" authorId="13">
      <text>
        <r>
          <rPr>
            <b/>
            <sz val="9"/>
            <color indexed="81"/>
            <rFont val="Tahoma"/>
            <family val="2"/>
          </rPr>
          <t xml:space="preserve">casselau:
</t>
        </r>
        <r>
          <rPr>
            <sz val="9"/>
            <color indexed="81"/>
            <rFont val="Tahoma"/>
            <family val="2"/>
          </rPr>
          <t xml:space="preserve">12/4/14: expect GM in mid-30's range, and down slightly from 3Q, but consistent with 1Q/2Q
8/20/14: per Mary: 37-38% GM in the back half; per Judy: 36-37%; more of a function of managing inventory better/chasing inventory </t>
        </r>
      </text>
    </comment>
    <comment ref="CD23" authorId="26">
      <text>
        <r>
          <rPr>
            <b/>
            <sz val="8"/>
            <color indexed="81"/>
            <rFont val="Tahoma"/>
            <family val="2"/>
          </rPr>
          <t xml:space="preserve">3/3/15: </t>
        </r>
        <r>
          <rPr>
            <sz val="8"/>
            <color indexed="81"/>
            <rFont val="Tahoma"/>
            <family val="2"/>
          </rPr>
          <t>+410 bps merch margin driven by reduced markdowns, offset by 90 bps of rent deleverage and higher S&amp;H costs (including ship from store)</t>
        </r>
        <r>
          <rPr>
            <b/>
            <sz val="8"/>
            <color indexed="81"/>
            <rFont val="Tahoma"/>
            <family val="2"/>
          </rPr>
          <t xml:space="preserve">
kimberlg:</t>
        </r>
        <r>
          <rPr>
            <sz val="8"/>
            <color indexed="81"/>
            <rFont val="Tahoma"/>
            <family val="2"/>
          </rPr>
          <t xml:space="preserve">
assumes negative leverage on rent since below breakeven 4-5% comp, offset by mdse margin recovery</t>
        </r>
      </text>
    </comment>
    <comment ref="CH23" authorId="13">
      <text>
        <r>
          <rPr>
            <b/>
            <sz val="9"/>
            <color indexed="81"/>
            <rFont val="Tahoma"/>
            <family val="2"/>
          </rPr>
          <t xml:space="preserve">casselau:
3/2/15: a slight improvement in markdowns (merch margins up), favorable product costs and lower rent expense were offset by higher incentive costs. Delivery costs related to a strong direct business also increased; </t>
        </r>
        <r>
          <rPr>
            <sz val="9"/>
            <color indexed="81"/>
            <rFont val="Tahoma"/>
            <family val="2"/>
          </rPr>
          <t xml:space="preserve">higher markdowns in January drove delta vs. original guidance; nice improvement in IMU and leverage on rent; </t>
        </r>
        <r>
          <rPr>
            <b/>
            <sz val="9"/>
            <color indexed="81"/>
            <rFont val="Tahoma"/>
            <family val="2"/>
          </rPr>
          <t xml:space="preserve">
12/2/15: </t>
        </r>
        <r>
          <rPr>
            <sz val="9"/>
            <color indexed="81"/>
            <rFont val="Tahoma"/>
            <family val="2"/>
          </rPr>
          <t>expect ~150 bps increase y/y driven by lower promos and AUC improvement (we assume 120 bps merch margin expansion (significant AUC benefit) and ~40 BOW leverage on +5% comp</t>
        </r>
      </text>
    </comment>
    <comment ref="CL23" authorId="13">
      <text>
        <r>
          <rPr>
            <b/>
            <sz val="9"/>
            <color indexed="81"/>
            <rFont val="Tahoma"/>
            <family val="2"/>
          </rPr>
          <t xml:space="preserve">casselau:
3/1/17: a favorable merch margin reflecting improved like for like IMUs (sourcing initiatives) was partially offset by higher delivery costs related to growth in the direct business and slight deleverage of rent 
</t>
        </r>
        <r>
          <rPr>
            <sz val="9"/>
            <color indexed="81"/>
            <rFont val="Tahoma"/>
            <family val="2"/>
          </rPr>
          <t xml:space="preserve">
1/5/2017: per Judy - promotions were higher than planned, ubt still up to last year as a result of improvement in AUR  and IMU; B&amp;O will deleverage slightly on a flat comp
11/30/16: expect more significant level of improvement than 3Q (lower AUC on LFL product, LY in 4Q they had more clearance units to clear through); per Judy 50 bps of IMU a reasonable estimate
</t>
        </r>
        <r>
          <rPr>
            <b/>
            <sz val="9"/>
            <color indexed="81"/>
            <rFont val="Tahoma"/>
            <family val="2"/>
          </rPr>
          <t xml:space="preserve">
</t>
        </r>
        <r>
          <rPr>
            <sz val="9"/>
            <color indexed="81"/>
            <rFont val="Tahoma"/>
            <family val="2"/>
          </rPr>
          <t>8/17/16: expect 100-150 bps of IMU improvement in 2H and into 1Q17
3/2/16: expect 100 bps IMU improvement
May 2016; need a +5% comp to leverage BOW per Judy - every point above that is ~20-30 bps leverage</t>
        </r>
      </text>
    </comment>
    <comment ref="CP23" authorId="20">
      <text>
        <r>
          <rPr>
            <b/>
            <sz val="9"/>
            <color indexed="81"/>
            <rFont val="Tahoma"/>
            <family val="2"/>
          </rPr>
          <t xml:space="preserve">3/8/18: </t>
        </r>
        <r>
          <rPr>
            <sz val="9"/>
            <color indexed="81"/>
            <rFont val="Tahoma"/>
            <family val="2"/>
          </rPr>
          <t>The reduction in margin rate reflects higher promotional activity. Additionally, increased shipping costs and higher compensation were offset by rent leverage. 
1/8/18: Holiday sales update, expect gross margint to be down modestly. Moving to -40 bps from -80 bps</t>
        </r>
      </text>
    </comment>
    <comment ref="DH23" authorId="1">
      <text>
        <r>
          <rPr>
            <b/>
            <sz val="8"/>
            <color indexed="81"/>
            <rFont val="Tahoma"/>
            <family val="2"/>
          </rPr>
          <t>Debbie Ong:</t>
        </r>
        <r>
          <rPr>
            <sz val="8"/>
            <color indexed="81"/>
            <rFont val="Tahoma"/>
            <family val="2"/>
          </rPr>
          <t xml:space="preserve">
5/24: had 43.4. 10/10: 43.2</t>
        </r>
      </text>
    </comment>
    <comment ref="DJ23" authorId="1">
      <text>
        <r>
          <rPr>
            <b/>
            <sz val="8"/>
            <color indexed="81"/>
            <rFont val="Tahoma"/>
            <family val="2"/>
          </rPr>
          <t>Debbie Ong:</t>
        </r>
        <r>
          <rPr>
            <sz val="8"/>
            <color indexed="81"/>
            <rFont val="Tahoma"/>
            <family val="2"/>
          </rPr>
          <t xml:space="preserve">
5/24: had 39.95. 10/10: had 40.0</t>
        </r>
      </text>
    </comment>
    <comment ref="DN23" authorId="2">
      <text>
        <r>
          <rPr>
            <b/>
            <sz val="8"/>
            <color indexed="81"/>
            <rFont val="Tahoma"/>
            <family val="2"/>
          </rPr>
          <t>dong2:</t>
        </r>
        <r>
          <rPr>
            <sz val="8"/>
            <color indexed="81"/>
            <rFont val="Tahoma"/>
            <family val="2"/>
          </rPr>
          <t xml:space="preserve">
1/21: had 42.3 </t>
        </r>
      </text>
    </comment>
    <comment ref="AC24" authorId="1">
      <text>
        <r>
          <rPr>
            <b/>
            <sz val="8"/>
            <color indexed="81"/>
            <rFont val="Tahoma"/>
            <family val="2"/>
          </rPr>
          <t>Debbie Ong:</t>
        </r>
        <r>
          <rPr>
            <sz val="8"/>
            <color indexed="81"/>
            <rFont val="Tahoma"/>
            <family val="2"/>
          </rPr>
          <t xml:space="preserve">
had 41.6 AEOS U.S. ($729.4)</t>
        </r>
      </text>
    </comment>
    <comment ref="AG24" authorId="2">
      <text>
        <r>
          <rPr>
            <b/>
            <sz val="8"/>
            <color indexed="81"/>
            <rFont val="Tahoma"/>
            <family val="2"/>
          </rPr>
          <t>dong2:</t>
        </r>
        <r>
          <rPr>
            <sz val="8"/>
            <color indexed="81"/>
            <rFont val="Tahoma"/>
            <family val="2"/>
          </rPr>
          <t xml:space="preserve">
1/21/02: 40.5, need to take this down more </t>
        </r>
      </text>
    </comment>
    <comment ref="BE24" authorId="18">
      <text>
        <r>
          <rPr>
            <b/>
            <sz val="8"/>
            <color indexed="81"/>
            <rFont val="Tahoma"/>
            <family val="2"/>
          </rPr>
          <t xml:space="preserve">10-K: </t>
        </r>
        <r>
          <rPr>
            <sz val="8"/>
            <color indexed="81"/>
            <rFont val="Tahoma"/>
            <family val="2"/>
          </rPr>
          <t>Gross profit decreased 17% to $1.174 billion from $1.423 billion in Fiscal 2007. Gross margin as a percent to net sales decreased by 730 basis points to 39.3% from 46.6% last year. The percentage decrease was attributed to a 560 basis point decrease in the merchandise margin rate and a 170 basis point increase in buying, occupancy and warehousing costs as a percent to net sales. Merchandise margin decreased for the period due primarily to increased markdowns as well as an increase in merchandise costs.</t>
        </r>
      </text>
    </comment>
    <comment ref="BI24" authorId="18">
      <text>
        <r>
          <rPr>
            <b/>
            <sz val="8"/>
            <color indexed="81"/>
            <rFont val="Tahoma"/>
            <family val="2"/>
          </rPr>
          <t>3/11/09:</t>
        </r>
        <r>
          <rPr>
            <sz val="8"/>
            <color indexed="81"/>
            <rFont val="Tahoma"/>
            <family val="2"/>
          </rPr>
          <t xml:space="preserve">
The company expects IMU improvement to start in 2H09, with pressure in 1Q09 and flattish IMU in 2Q09. AEO commented that the company needs a +MSD comp to leverage rent expense but can leverage  SG&amp;A expenses on a –LSD comp decline.</t>
        </r>
      </text>
    </comment>
    <comment ref="BM24" authorId="10">
      <text>
        <r>
          <rPr>
            <b/>
            <sz val="8"/>
            <color indexed="81"/>
            <rFont val="Tahoma"/>
            <family val="2"/>
          </rPr>
          <t>nicholjs:</t>
        </r>
        <r>
          <rPr>
            <sz val="8"/>
            <color indexed="81"/>
            <rFont val="Tahoma"/>
            <family val="2"/>
          </rPr>
          <t xml:space="preserve">
(50) bps B+O deleverage
+10 bps merch margin</t>
        </r>
      </text>
    </comment>
    <comment ref="BN24" authorId="22">
      <text>
        <r>
          <rPr>
            <b/>
            <sz val="8"/>
            <color indexed="81"/>
            <rFont val="Tahoma"/>
            <family val="2"/>
          </rPr>
          <t>ns66486:</t>
        </r>
        <r>
          <rPr>
            <sz val="8"/>
            <color indexed="81"/>
            <rFont val="Tahoma"/>
            <family val="2"/>
          </rPr>
          <t xml:space="preserve">
3/10: margins improve sequentially by qtr, occupancy leverage for YR on +LSD comp</t>
        </r>
      </text>
    </comment>
    <comment ref="BQ24" authorId="10">
      <text>
        <r>
          <rPr>
            <b/>
            <sz val="8"/>
            <color indexed="81"/>
            <rFont val="Tahoma"/>
            <family val="2"/>
          </rPr>
          <t>nicholjs:</t>
        </r>
        <r>
          <rPr>
            <sz val="8"/>
            <color indexed="81"/>
            <rFont val="Tahoma"/>
            <family val="2"/>
          </rPr>
          <t xml:space="preserve">
11/2010: expect occupancy leverage pt to come down slightly from ~MSD in 2010</t>
        </r>
      </text>
    </comment>
    <comment ref="BR24" authorId="11">
      <text>
        <r>
          <rPr>
            <b/>
            <sz val="8"/>
            <color indexed="81"/>
            <rFont val="Tahoma"/>
            <family val="2"/>
          </rPr>
          <t xml:space="preserve">3/7/12: </t>
        </r>
        <r>
          <rPr>
            <sz val="8"/>
            <color indexed="81"/>
            <rFont val="Tahoma"/>
            <family val="2"/>
          </rPr>
          <t xml:space="preserve">MM rate -360bps due to higher product costs and promo markdowns.
Buying, occup, warehousing increased 20bps due to increase in rent. </t>
        </r>
      </text>
    </comment>
    <comment ref="BT24" authorId="11">
      <text>
        <r>
          <rPr>
            <b/>
            <sz val="8"/>
            <color indexed="81"/>
            <rFont val="Tahoma"/>
            <family val="2"/>
          </rPr>
          <t>3/7/12 4Q:</t>
        </r>
        <r>
          <rPr>
            <sz val="8"/>
            <color indexed="81"/>
            <rFont val="Tahoma"/>
            <family val="2"/>
          </rPr>
          <t xml:space="preserve"> For the year, the company is planning a modest sales increase, and margin improvement. Increased product costs will continue to pressure margins int eh first half of the yaer and lower product costs should benefit margins in the second half. The cmopany is also targeting lower markdowns driven by improved inventory productivity. The company expects to provide annual EPS guidance along with the first quarter earnings annc in May.</t>
        </r>
      </text>
    </comment>
    <comment ref="BU24" authorId="13">
      <text>
        <r>
          <rPr>
            <b/>
            <sz val="8"/>
            <color indexed="81"/>
            <rFont val="Tahoma"/>
            <family val="2"/>
          </rPr>
          <t>casselau:</t>
        </r>
        <r>
          <rPr>
            <sz val="8"/>
            <color indexed="81"/>
            <rFont val="Tahoma"/>
            <family val="2"/>
          </rPr>
          <t xml:space="preserve">
3/6/13: increase driven by lower product costs, markdown improvements, and rent leverage</t>
        </r>
      </text>
    </comment>
    <comment ref="BZ24" authorId="13">
      <text>
        <r>
          <rPr>
            <b/>
            <sz val="8"/>
            <color indexed="81"/>
            <rFont val="Tahoma"/>
            <family val="2"/>
          </rPr>
          <t>casselau:</t>
        </r>
        <r>
          <rPr>
            <sz val="8"/>
            <color indexed="81"/>
            <rFont val="Tahoma"/>
            <family val="2"/>
          </rPr>
          <t xml:space="preserve">
3/11/14: driven by 510 bps of markdowns and 150 bps of BOW deleverage, partially offset by 120 bps of product cost improvement</t>
        </r>
      </text>
    </comment>
    <comment ref="CD24" authorId="13">
      <text>
        <r>
          <rPr>
            <b/>
            <sz val="8"/>
            <color indexed="81"/>
            <rFont val="Tahoma"/>
            <family val="2"/>
          </rPr>
          <t>casselau:
3/3/15: +</t>
        </r>
        <r>
          <rPr>
            <sz val="8"/>
            <color indexed="81"/>
            <rFont val="Tahoma"/>
            <family val="2"/>
          </rPr>
          <t>80 bps from lower markdowns which was more than offset by 140 basis points of rent deleverage and higher delivery costs.</t>
        </r>
        <r>
          <rPr>
            <b/>
            <sz val="8"/>
            <color indexed="81"/>
            <rFont val="Tahoma"/>
            <family val="2"/>
          </rPr>
          <t xml:space="preserve">
</t>
        </r>
        <r>
          <rPr>
            <sz val="8"/>
            <color indexed="81"/>
            <rFont val="Tahoma"/>
            <family val="2"/>
          </rPr>
          <t xml:space="preserve">5/21/14: AUC should be roughly flat
3/11/14: per Judy: rent expense is neutral on +4-5% comp. </t>
        </r>
      </text>
    </comment>
    <comment ref="CF24" authorId="13">
      <text>
        <r>
          <rPr>
            <b/>
            <sz val="9"/>
            <color indexed="81"/>
            <rFont val="Tahoma"/>
            <family val="2"/>
          </rPr>
          <t>casselau:</t>
        </r>
        <r>
          <rPr>
            <sz val="9"/>
            <color indexed="81"/>
            <rFont val="Tahoma"/>
            <family val="2"/>
          </rPr>
          <t xml:space="preserve">
12/2/15: aerie margins expanded 280 basis points, fueled by lower markdowns and more full price selling. Aerie merchandise margins are in line with the AEO brand as we have grown and gained sourcing efficiencies.</t>
        </r>
      </text>
    </comment>
    <comment ref="CG24" authorId="13">
      <text>
        <r>
          <rPr>
            <b/>
            <sz val="9"/>
            <color indexed="81"/>
            <rFont val="Tahoma"/>
            <family val="2"/>
          </rPr>
          <t xml:space="preserve">casselau:
</t>
        </r>
        <r>
          <rPr>
            <sz val="9"/>
            <color indexed="81"/>
            <rFont val="Tahoma"/>
            <family val="2"/>
          </rPr>
          <t>12/4/14: high 30's is a "goal" per Judy
12/4/14: can leverage BOW on +LSD (+2%) comp; BOW is expected to increase +LSD; expect AUC to be roughly flat 1H</t>
        </r>
      </text>
    </comment>
    <comment ref="CH24" authorId="13">
      <text>
        <r>
          <rPr>
            <b/>
            <sz val="9"/>
            <color indexed="81"/>
            <rFont val="Tahoma"/>
            <family val="2"/>
          </rPr>
          <t>casselau:</t>
        </r>
        <r>
          <rPr>
            <sz val="9"/>
            <color indexed="81"/>
            <rFont val="Tahoma"/>
            <family val="2"/>
          </rPr>
          <t xml:space="preserve">
3/2/16: The improvement in the gross margin was primarily due to lower markdowns and rent leverage, partially offset by higher incentive costs. </t>
        </r>
      </text>
    </comment>
    <comment ref="CL24" authorId="13">
      <text>
        <r>
          <rPr>
            <b/>
            <sz val="9"/>
            <color indexed="81"/>
            <rFont val="Tahoma"/>
            <family val="2"/>
          </rPr>
          <t xml:space="preserve">casselau:
3/1/17: improvement in the gross margin reflected an increase in the merchandise margin based on improved IMU
3/2/16: expect to drive continued improvement; expect majority of increase to be AUC driven (reflect favorable external environment and internal sourcing initiatives)
</t>
        </r>
        <r>
          <rPr>
            <sz val="9"/>
            <color indexed="81"/>
            <rFont val="Tahoma"/>
            <family val="2"/>
          </rPr>
          <t xml:space="preserve">
12/2/15: need a +LSD comp to leverage BOW</t>
        </r>
      </text>
    </comment>
    <comment ref="CP24" authorId="14">
      <text>
        <r>
          <rPr>
            <b/>
            <sz val="9"/>
            <color indexed="81"/>
            <rFont val="Tahoma"/>
            <family val="2"/>
          </rPr>
          <t xml:space="preserve">Cassel, Lauren (Research):
3/8/18: The reduction in margin rate was primarily due to higher promotional activity. Additionally, increased delivery to support a strong digital business was offset by rent leverage. 
</t>
        </r>
        <r>
          <rPr>
            <sz val="9"/>
            <color indexed="81"/>
            <rFont val="Tahoma"/>
            <family val="2"/>
          </rPr>
          <t xml:space="preserve">
3/1/17: expect 100 bps IMU improvement for full year (we estimate is offset by increased promotional activity and B&amp;O deleverage on +1% comp (need a +~4% comp to leverage B&amp;O it sounds like)</t>
        </r>
      </text>
    </comment>
    <comment ref="X30" authorId="21">
      <text>
        <r>
          <rPr>
            <sz val="8"/>
            <color indexed="81"/>
            <rFont val="Tahoma"/>
            <family val="2"/>
          </rPr>
          <t>est at 27.3% or $48.7m</t>
        </r>
      </text>
    </comment>
    <comment ref="AB30" authorId="1">
      <text>
        <r>
          <rPr>
            <b/>
            <sz val="8"/>
            <color indexed="81"/>
            <rFont val="Tahoma"/>
            <family val="2"/>
          </rPr>
          <t>Debbie Ong:</t>
        </r>
        <r>
          <rPr>
            <sz val="8"/>
            <color indexed="81"/>
            <rFont val="Tahoma"/>
            <family val="2"/>
          </rPr>
          <t xml:space="preserve">
had 60.1 </t>
        </r>
      </text>
    </comment>
    <comment ref="AC30" authorId="1">
      <text>
        <r>
          <rPr>
            <b/>
            <sz val="8"/>
            <color indexed="81"/>
            <rFont val="Tahoma"/>
            <family val="2"/>
          </rPr>
          <t>Debbie Ong:</t>
        </r>
        <r>
          <rPr>
            <sz val="8"/>
            <color indexed="81"/>
            <rFont val="Tahoma"/>
            <family val="2"/>
          </rPr>
          <t xml:space="preserve">
had 26.0 AEOS U.S. ($55.4). had 26.3</t>
        </r>
      </text>
    </comment>
    <comment ref="AG30" authorId="2">
      <text>
        <r>
          <rPr>
            <b/>
            <sz val="8"/>
            <color indexed="81"/>
            <rFont val="Tahoma"/>
            <family val="2"/>
          </rPr>
          <t>dong2:</t>
        </r>
        <r>
          <rPr>
            <sz val="8"/>
            <color indexed="81"/>
            <rFont val="Tahoma"/>
            <family val="2"/>
          </rPr>
          <t xml:space="preserve">
had 26.4
4/5: had 26.4% and $75.2
5/6: had 27.8% and $76.8</t>
        </r>
      </text>
    </comment>
    <comment ref="AJ30" authorId="3">
      <text>
        <r>
          <rPr>
            <b/>
            <sz val="8"/>
            <color indexed="81"/>
            <rFont val="Tahoma"/>
            <family val="2"/>
          </rPr>
          <t>dliu:</t>
        </r>
        <r>
          <rPr>
            <sz val="8"/>
            <color indexed="81"/>
            <rFont val="Tahoma"/>
            <family val="2"/>
          </rPr>
          <t xml:space="preserve">
80.8, 80.3</t>
        </r>
      </text>
    </comment>
    <comment ref="AN30" authorId="3">
      <text>
        <r>
          <rPr>
            <b/>
            <sz val="8"/>
            <color indexed="81"/>
            <rFont val="Tahoma"/>
            <family val="2"/>
          </rPr>
          <t>dliu:</t>
        </r>
        <r>
          <rPr>
            <sz val="8"/>
            <color indexed="81"/>
            <rFont val="Tahoma"/>
            <family val="2"/>
          </rPr>
          <t xml:space="preserve">
90.3, 90.8</t>
        </r>
      </text>
    </comment>
    <comment ref="AP30" authorId="24">
      <text>
        <r>
          <rPr>
            <b/>
            <sz val="10"/>
            <color indexed="81"/>
            <rFont val="Tahoma"/>
            <family val="2"/>
          </rPr>
          <t>kgreenbe:</t>
        </r>
        <r>
          <rPr>
            <sz val="10"/>
            <color indexed="81"/>
            <rFont val="Tahoma"/>
            <family val="2"/>
          </rPr>
          <t xml:space="preserve">
2/04: plan sg&amp;a up 9% for year. But, incentive compensation hasn't been paid in 2 years, so if eps comes up, could increase sg&amp;a to 10% level if pay incentives</t>
        </r>
      </text>
    </comment>
    <comment ref="AR30" authorId="4">
      <text>
        <r>
          <rPr>
            <b/>
            <sz val="8"/>
            <color indexed="81"/>
            <rFont val="Tahoma"/>
            <family val="2"/>
          </rPr>
          <t>Corinna Freedman:</t>
        </r>
        <r>
          <rPr>
            <sz val="8"/>
            <color indexed="81"/>
            <rFont val="Tahoma"/>
            <family val="2"/>
          </rPr>
          <t xml:space="preserve">
Judy indicated 4/6 that our $113m estimate is in the right approximate range</t>
        </r>
      </text>
    </comment>
    <comment ref="AV30" authorId="25">
      <text>
        <r>
          <rPr>
            <b/>
            <sz val="8"/>
            <color indexed="81"/>
            <rFont val="Tahoma"/>
            <family val="2"/>
          </rPr>
          <t>kg51925:</t>
        </r>
        <r>
          <rPr>
            <sz val="8"/>
            <color indexed="81"/>
            <rFont val="Tahoma"/>
            <family val="2"/>
          </rPr>
          <t xml:space="preserve">
5/16/06 1Q06 includes $3.6mm of options expense. No options expense 1Q05.
SG&amp;A would have been $129.2mm ex options, +13.4%
20 bps lvg ex options due to lvg store P/R, part offset by increased store supplies and M&amp;O expenses
Now need +HSD comp to lever SG&amp;A per 1Q06 conf call.
3/1/06 target SG&amp;A growth flat as % to sales if comps increase 4% given mgmt's comments that they can slightly lever SG&amp;A at a +MSD comp. 1Q06 = $126.2mm</t>
        </r>
      </text>
    </comment>
    <comment ref="AW30" authorId="17">
      <text>
        <r>
          <rPr>
            <b/>
            <sz val="8"/>
            <color indexed="81"/>
            <rFont val="Tahoma"/>
            <family val="2"/>
          </rPr>
          <t>mm98285:</t>
        </r>
        <r>
          <rPr>
            <sz val="8"/>
            <color indexed="81"/>
            <rFont val="Tahoma"/>
            <family val="2"/>
          </rPr>
          <t xml:space="preserve">
+70 bps stock option 
+leverage on store payroll partially offset by increased supply exp. 
+incremental exp from M+O</t>
        </r>
      </text>
    </comment>
    <comment ref="AX30" authorId="25">
      <text>
        <r>
          <rPr>
            <b/>
            <sz val="8"/>
            <color indexed="81"/>
            <rFont val="Tahoma"/>
            <family val="2"/>
          </rPr>
          <t>kg51925:</t>
        </r>
        <r>
          <rPr>
            <sz val="8"/>
            <color indexed="81"/>
            <rFont val="Tahoma"/>
            <family val="2"/>
          </rPr>
          <t xml:space="preserve">
SG&amp;A growning 13.4% excl $3.6mm options expense</t>
        </r>
      </text>
    </comment>
    <comment ref="BA30" authorId="17">
      <text>
        <r>
          <rPr>
            <b/>
            <sz val="8"/>
            <color indexed="81"/>
            <rFont val="Tahoma"/>
            <family val="2"/>
          </rPr>
          <t>mm98285:</t>
        </r>
        <r>
          <rPr>
            <sz val="8"/>
            <color indexed="81"/>
            <rFont val="Tahoma"/>
            <family val="2"/>
          </rPr>
          <t xml:space="preserve">
-20 bps: levge on direct comp &amp; supplies, partially offset by higher incentive comp, services purchased &amp; prof. fees given investm'ts in growth initiatives &amp; higher legal fees</t>
        </r>
      </text>
    </comment>
    <comment ref="BE30" authorId="6">
      <text>
        <r>
          <rPr>
            <sz val="8"/>
            <color indexed="81"/>
            <rFont val="Tahoma"/>
            <family val="2"/>
          </rPr>
          <t>SG&amp;A of $169.6mm grew +8.1% to 26.5% of sales. SG&amp;A deleverage
was primarily due to the comp decline. AEO de-leveraged: direct compensation/benefits, services purchased, travel/communications; and leveraged: incentive compensation, advertising, and supplies.</t>
        </r>
      </text>
    </comment>
    <comment ref="BH30" authorId="18">
      <text>
        <r>
          <rPr>
            <b/>
            <sz val="8"/>
            <color indexed="81"/>
            <rFont val="Tahoma"/>
            <family val="2"/>
          </rPr>
          <t xml:space="preserve">lr73192:
</t>
        </r>
        <r>
          <rPr>
            <sz val="8"/>
            <color indexed="81"/>
            <rFont val="Tahoma"/>
            <family val="2"/>
          </rPr>
          <t>5/26/10: removed M+O's $6.904M</t>
        </r>
        <r>
          <rPr>
            <b/>
            <sz val="8"/>
            <color indexed="81"/>
            <rFont val="Tahoma"/>
            <family val="2"/>
          </rPr>
          <t xml:space="preserve">
oc48540:</t>
        </r>
        <r>
          <rPr>
            <sz val="8"/>
            <color indexed="81"/>
            <rFont val="Tahoma"/>
            <family val="2"/>
          </rPr>
          <t xml:space="preserve">
NOTE: excluding M+O's SG&amp;A in 1Q09, SG&amp;A would have been $152mm
almost $9mm Revenue in 1Q10 $651 excl M+O sales 1Q10
5/27: AEO’s 1Q09 SG&amp;A was an impressive $10.9mm lower than last year but management commented that $2-3mm of store refresh and some spending related to AE direct was shifted out of 1Q09 and will likely occur in 2Q09.  The company is guiding to 2Q09 SG&amp;A dollars of up slightly (yielding down dollars for 1H09) and is guiding to full year SG&amp;A dollars to be slightly lower than last year.
</t>
        </r>
      </text>
    </comment>
    <comment ref="BJ30" authorId="18">
      <text>
        <r>
          <rPr>
            <sz val="8"/>
            <color indexed="81"/>
            <rFont val="Tahoma"/>
            <family val="2"/>
          </rPr>
          <t>SG&amp;A declined by -6.5% or by a favorable 56bps by $10.9mm to
$158.7mm. We were impressed that AEO was able to achieve SG&amp;A leverage
despite a -10% 1Q09 comp. Our SG&amp;A estimate was $170mm and the
favorable difference drove +3c of EPS difference. Expense controls and the
timing of initiatives (including ~$2-3M of delayed store maintenance) drove
the decline from last year.
The lower SG&amp;A rate is primarily due to a reduction in advertising, services purchased, travel and supplies expenses, as a percent to net sales, as a result of our expense reduction program. There was $3.3 million of share-based payment expense included in selling, general and administrative expenses compared to $7.4 million last year.</t>
        </r>
      </text>
    </comment>
    <comment ref="BL30" authorId="8">
      <text>
        <r>
          <rPr>
            <b/>
            <sz val="8"/>
            <color indexed="81"/>
            <rFont val="Tahoma"/>
            <family val="2"/>
          </rPr>
          <t xml:space="preserve">5/23/12: </t>
        </r>
        <r>
          <rPr>
            <sz val="8"/>
            <color indexed="81"/>
            <rFont val="Tahoma"/>
            <family val="2"/>
          </rPr>
          <t>GAAP SGA rate was 26%</t>
        </r>
        <r>
          <rPr>
            <b/>
            <sz val="8"/>
            <color indexed="81"/>
            <rFont val="Tahoma"/>
            <family val="2"/>
          </rPr>
          <t xml:space="preserve">
lr73192: </t>
        </r>
        <r>
          <rPr>
            <sz val="8"/>
            <color indexed="81"/>
            <rFont val="Tahoma"/>
            <family val="2"/>
          </rPr>
          <t>5/26/10: excl M+O $12.596M</t>
        </r>
      </text>
    </comment>
    <comment ref="BP30" authorId="10">
      <text>
        <r>
          <rPr>
            <b/>
            <sz val="8"/>
            <color indexed="81"/>
            <rFont val="Tahoma"/>
            <family val="2"/>
          </rPr>
          <t xml:space="preserve">5/23/12: </t>
        </r>
        <r>
          <rPr>
            <sz val="8"/>
            <color indexed="81"/>
            <rFont val="Tahoma"/>
            <family val="2"/>
          </rPr>
          <t>excludes 77kids. GAAP was $158.491. SGA Rate was 26.0%</t>
        </r>
        <r>
          <rPr>
            <b/>
            <sz val="8"/>
            <color indexed="81"/>
            <rFont val="Tahoma"/>
            <family val="2"/>
          </rPr>
          <t xml:space="preserve">
nicholjs:</t>
        </r>
        <r>
          <rPr>
            <sz val="8"/>
            <color indexed="81"/>
            <rFont val="Tahoma"/>
            <family val="2"/>
          </rPr>
          <t xml:space="preserve">
expense savings efforts, which yielded reductions in compensation, supplies and services, partially offset by planned investments in advertising and costs associated with new store growth
There was $1.3 million of share-based payment expense, consisting of time-based awards, included in SG&amp;A expenses compared to $8.2 million last year.</t>
        </r>
      </text>
    </comment>
    <comment ref="BR30" authorId="10">
      <text>
        <r>
          <rPr>
            <b/>
            <sz val="8"/>
            <color indexed="81"/>
            <rFont val="Tahoma"/>
            <family val="2"/>
          </rPr>
          <t>nicholjs:</t>
        </r>
        <r>
          <rPr>
            <sz val="8"/>
            <color indexed="81"/>
            <rFont val="Tahoma"/>
            <family val="2"/>
          </rPr>
          <t xml:space="preserve">
3/2011: expect -LSD</t>
        </r>
      </text>
    </comment>
    <comment ref="BT30" authorId="9">
      <text>
        <r>
          <rPr>
            <b/>
            <sz val="8"/>
            <color indexed="81"/>
            <rFont val="Tahoma"/>
            <family val="2"/>
          </rPr>
          <t xml:space="preserve">P Kahng 5/23/12: </t>
        </r>
        <r>
          <rPr>
            <sz val="8"/>
            <color indexed="81"/>
            <rFont val="Tahoma"/>
            <family val="2"/>
          </rPr>
          <t xml:space="preserve">dollar increase from incentive comp and variable selling expense. Excluding 77kids, was $182.605. SGA Rate was 25.4%. </t>
        </r>
        <r>
          <rPr>
            <sz val="8"/>
            <color indexed="81"/>
            <rFont val="Tahoma"/>
            <family val="2"/>
          </rPr>
          <t xml:space="preserve">
</t>
        </r>
      </text>
    </comment>
    <comment ref="BU30" authorId="9">
      <text>
        <r>
          <rPr>
            <b/>
            <sz val="8"/>
            <color indexed="81"/>
            <rFont val="Tahoma"/>
            <family val="2"/>
          </rPr>
          <t>P Kahng:</t>
        </r>
        <r>
          <rPr>
            <sz val="8"/>
            <color indexed="81"/>
            <rFont val="Tahoma"/>
            <family val="2"/>
          </rPr>
          <t xml:space="preserve">
5/12/12: SGA $ growth on incentive comp accrual vs no-incentive comp accrual last year. 10-12% SGA growth</t>
        </r>
      </text>
    </comment>
    <comment ref="BZ30" authorId="13">
      <text>
        <r>
          <rPr>
            <b/>
            <sz val="8"/>
            <color indexed="81"/>
            <rFont val="Tahoma"/>
            <family val="2"/>
          </rPr>
          <t>casselau:</t>
        </r>
        <r>
          <rPr>
            <sz val="8"/>
            <color indexed="81"/>
            <rFont val="Tahoma"/>
            <family val="2"/>
          </rPr>
          <t xml:space="preserve">
3/6/13:  judy +MSD</t>
        </r>
      </text>
    </comment>
    <comment ref="CB30" authorId="13">
      <text>
        <r>
          <rPr>
            <b/>
            <sz val="9"/>
            <color indexed="81"/>
            <rFont val="Tahoma"/>
            <family val="2"/>
          </rPr>
          <t>casselau:</t>
        </r>
        <r>
          <rPr>
            <sz val="9"/>
            <color indexed="81"/>
            <rFont val="Tahoma"/>
            <family val="2"/>
          </rPr>
          <t xml:space="preserve">
5/21/14: included $2.3M in severance</t>
        </r>
      </text>
    </comment>
    <comment ref="CD30" authorId="13">
      <text>
        <r>
          <rPr>
            <b/>
            <sz val="8"/>
            <color indexed="81"/>
            <rFont val="Tahoma"/>
            <family val="2"/>
          </rPr>
          <t>casselau:
5/21/14:</t>
        </r>
        <r>
          <rPr>
            <sz val="8"/>
            <color indexed="81"/>
            <rFont val="Tahoma"/>
            <family val="2"/>
          </rPr>
          <t xml:space="preserve"> $2.3M</t>
        </r>
        <r>
          <rPr>
            <b/>
            <sz val="8"/>
            <color indexed="81"/>
            <rFont val="Tahoma"/>
            <family val="2"/>
          </rPr>
          <t xml:space="preserve"> </t>
        </r>
        <r>
          <rPr>
            <sz val="8"/>
            <color indexed="81"/>
            <rFont val="Tahoma"/>
            <family val="2"/>
          </rPr>
          <t>in severance, investments in factory stores, int'l and omni-channel, offset by $10M in expense reductions
3/11/14: +HSD, expect deleverage driven by store costs and home office salaries</t>
        </r>
      </text>
    </comment>
    <comment ref="CG30" authorId="13">
      <text>
        <r>
          <rPr>
            <b/>
            <sz val="9"/>
            <color indexed="81"/>
            <rFont val="Tahoma"/>
            <family val="2"/>
          </rPr>
          <t>casselau:</t>
        </r>
        <r>
          <rPr>
            <sz val="9"/>
            <color indexed="81"/>
            <rFont val="Tahoma"/>
            <family val="2"/>
          </rPr>
          <t xml:space="preserve">
5/20/15: expense reduction iniatives offset increases in incentive and variable selling expense</t>
        </r>
      </text>
    </comment>
    <comment ref="CJ30" authorId="13">
      <text>
        <r>
          <rPr>
            <b/>
            <sz val="9"/>
            <color indexed="81"/>
            <rFont val="Tahoma"/>
            <family val="2"/>
          </rPr>
          <t>casselau:</t>
        </r>
        <r>
          <rPr>
            <sz val="9"/>
            <color indexed="81"/>
            <rFont val="Tahoma"/>
            <family val="2"/>
          </rPr>
          <t xml:space="preserve">
3/2/16: expect dollars up y/y</t>
        </r>
      </text>
    </comment>
    <comment ref="CL30" authorId="14">
      <text>
        <r>
          <rPr>
            <b/>
            <sz val="9"/>
            <color indexed="81"/>
            <rFont val="Tahoma"/>
            <family val="2"/>
          </rPr>
          <t>Cassel, Lauren (Research):</t>
        </r>
        <r>
          <rPr>
            <sz val="9"/>
            <color indexed="81"/>
            <rFont val="Tahoma"/>
            <family val="2"/>
          </rPr>
          <t xml:space="preserve">
5/18/16: Dollars increased due to investments in advertising, variable selling expense and strategic initiatives. </t>
        </r>
      </text>
    </comment>
    <comment ref="CN30" authorId="14">
      <text>
        <r>
          <rPr>
            <b/>
            <sz val="9"/>
            <color indexed="81"/>
            <rFont val="Tahoma"/>
            <family val="2"/>
          </rPr>
          <t>Cassel, Lauren (Research):</t>
        </r>
        <r>
          <rPr>
            <sz val="9"/>
            <color indexed="81"/>
            <rFont val="Tahoma"/>
            <family val="2"/>
          </rPr>
          <t xml:space="preserve">
5/17/17: excludes restructuring charges of $5.4M consisting primarily of severence and related charges corresponding to home office restructuring and the previously announced iniatives to explore the closure or conversion of company owned and operated stores in HK, China, and US to licensed partnerships</t>
        </r>
      </text>
    </comment>
    <comment ref="CP30" authorId="14">
      <text>
        <r>
          <rPr>
            <b/>
            <sz val="9"/>
            <color indexed="81"/>
            <rFont val="Tahoma"/>
            <family val="2"/>
          </rPr>
          <t xml:space="preserve">Cassel, Lauren (Research):
5/17/17: Higher advertising expense was offset by lower compensation expense and favorability across a number of other expense categories. 
</t>
        </r>
        <r>
          <rPr>
            <sz val="9"/>
            <color indexed="81"/>
            <rFont val="Tahoma"/>
            <family val="2"/>
          </rPr>
          <t xml:space="preserve">
3/1/17: guidance: flat dollars</t>
        </r>
      </text>
    </comment>
    <comment ref="DJ30" authorId="1">
      <text>
        <r>
          <rPr>
            <b/>
            <sz val="8"/>
            <color indexed="81"/>
            <rFont val="Tahoma"/>
            <family val="2"/>
          </rPr>
          <t>Debbie Ong:</t>
        </r>
        <r>
          <rPr>
            <sz val="8"/>
            <color indexed="81"/>
            <rFont val="Tahoma"/>
            <family val="2"/>
          </rPr>
          <t xml:space="preserve">
had 25.0% but given hiring and training of ~100 mgmt trainees for AE Canada store openings in May should be significant dilution in 1Q (costs booked to 1Q) </t>
        </r>
      </text>
    </comment>
    <comment ref="W31" authorId="1">
      <text>
        <r>
          <rPr>
            <b/>
            <sz val="8"/>
            <color indexed="81"/>
            <rFont val="Tahoma"/>
            <family val="2"/>
          </rPr>
          <t>Debbie Ong:</t>
        </r>
        <r>
          <rPr>
            <sz val="8"/>
            <color indexed="81"/>
            <rFont val="Tahoma"/>
            <family val="2"/>
          </rPr>
          <t xml:space="preserve">
this number should be $58 mm per Judy (4/28) so must adj. once we get better guidance on sales on 5/3.
6/19: this number s/b $55</t>
        </r>
      </text>
    </comment>
    <comment ref="X31" authorId="21">
      <text>
        <r>
          <rPr>
            <sz val="8"/>
            <color indexed="81"/>
            <rFont val="Tahoma"/>
            <family val="2"/>
          </rPr>
          <t>modeled 24.8% in April.
Q1 call said s/b flat to LY
after May sales, said might not be flat, could be down
7/6/00 co. said could be in the $55-56mm range.
8/17: had 27.0% and $56.3 mm before 2Q rptd</t>
        </r>
      </text>
    </comment>
    <comment ref="AB31" authorId="2">
      <text>
        <r>
          <rPr>
            <b/>
            <sz val="8"/>
            <color indexed="81"/>
            <rFont val="Tahoma"/>
            <family val="2"/>
          </rPr>
          <t>dong2:</t>
        </r>
        <r>
          <rPr>
            <sz val="8"/>
            <color indexed="81"/>
            <rFont val="Tahoma"/>
            <family val="2"/>
          </rPr>
          <t xml:space="preserve">
73.8</t>
        </r>
      </text>
    </comment>
    <comment ref="AC31" authorId="1">
      <text>
        <r>
          <rPr>
            <b/>
            <sz val="8"/>
            <color indexed="81"/>
            <rFont val="Tahoma"/>
            <family val="2"/>
          </rPr>
          <t>Debbie Ong:</t>
        </r>
        <r>
          <rPr>
            <sz val="8"/>
            <color indexed="81"/>
            <rFont val="Tahoma"/>
            <family val="2"/>
          </rPr>
          <t xml:space="preserve">
had 26.1 AEOS U.S. $66.3. 5/24: had 26.6, then 26.3</t>
        </r>
      </text>
    </comment>
    <comment ref="AF31" authorId="15">
      <text>
        <r>
          <rPr>
            <sz val="8"/>
            <color indexed="81"/>
            <rFont val="Tahoma"/>
            <family val="2"/>
          </rPr>
          <t>87.5, then 86.2, then 84.4</t>
        </r>
      </text>
    </comment>
    <comment ref="AG31" authorId="2">
      <text>
        <r>
          <rPr>
            <b/>
            <sz val="8"/>
            <color indexed="81"/>
            <rFont val="Tahoma"/>
            <family val="2"/>
          </rPr>
          <t>dong2:</t>
        </r>
        <r>
          <rPr>
            <sz val="8"/>
            <color indexed="81"/>
            <rFont val="Tahoma"/>
            <family val="2"/>
          </rPr>
          <t xml:space="preserve">
had 25.8</t>
        </r>
      </text>
    </comment>
    <comment ref="AJ31" authorId="3">
      <text>
        <r>
          <rPr>
            <b/>
            <sz val="8"/>
            <color indexed="81"/>
            <rFont val="Tahoma"/>
            <family val="2"/>
          </rPr>
          <t>dliu:</t>
        </r>
        <r>
          <rPr>
            <sz val="8"/>
            <color indexed="81"/>
            <rFont val="Tahoma"/>
            <family val="2"/>
          </rPr>
          <t xml:space="preserve">
85.5, 83.5, 85.7</t>
        </r>
      </text>
    </comment>
    <comment ref="AP31" authorId="28">
      <text>
        <r>
          <rPr>
            <b/>
            <sz val="8"/>
            <color indexed="81"/>
            <rFont val="Tahoma"/>
            <family val="2"/>
          </rPr>
          <t>Kimberly Greenberger:</t>
        </r>
        <r>
          <rPr>
            <sz val="8"/>
            <color indexed="81"/>
            <rFont val="Tahoma"/>
            <family val="2"/>
          </rPr>
          <t xml:space="preserve">
8/4/04:Bonuses accrue as they earn money, so greatest accrual early in the year b/c bonuses cap out at a certain level. Expect 2Q04 sg&amp;a growth of 15-19%.</t>
        </r>
      </text>
    </comment>
    <comment ref="AT31" authorId="28">
      <text>
        <r>
          <rPr>
            <b/>
            <sz val="8"/>
            <color indexed="81"/>
            <rFont val="Tahoma"/>
            <family val="2"/>
          </rPr>
          <t>Kimberly Greenberger:</t>
        </r>
        <r>
          <rPr>
            <sz val="8"/>
            <color indexed="81"/>
            <rFont val="Tahoma"/>
            <family val="2"/>
          </rPr>
          <t xml:space="preserve">
5/12/05 Mgmt indicated SG&amp;A $'s should increase low to mid DD's in 2Q05.</t>
        </r>
      </text>
    </comment>
    <comment ref="AV31" authorId="25">
      <text>
        <r>
          <rPr>
            <b/>
            <sz val="8"/>
            <color indexed="81"/>
            <rFont val="Tahoma"/>
            <family val="2"/>
          </rPr>
          <t>mb33100:</t>
        </r>
        <r>
          <rPr>
            <sz val="8"/>
            <color indexed="81"/>
            <rFont val="Tahoma"/>
            <family val="2"/>
          </rPr>
          <t xml:space="preserve">
8/15: 30 bps impact from M+O and 40 bps from options expense.
8/3/06 mgmt updated guidance need +HSD comp to leverage SG&amp;A
3/1/06 target SG&amp;A growth flat as % to sales if comps increase 4% given mgmt's comments that they can slightly lever SG&amp;A at a +MSD comp. 2Q06 = $134.2mm
restated from $143.577</t>
        </r>
      </text>
    </comment>
    <comment ref="AW31" authorId="17">
      <text>
        <r>
          <rPr>
            <b/>
            <sz val="8"/>
            <color indexed="81"/>
            <rFont val="Tahoma"/>
            <family val="2"/>
          </rPr>
          <t>mm98285:</t>
        </r>
        <r>
          <rPr>
            <sz val="8"/>
            <color indexed="81"/>
            <rFont val="Tahoma"/>
            <family val="2"/>
          </rPr>
          <t xml:space="preserve">
+30 bps stock option
+40 bps to M+O
+10-20 bps of advertising
-90-100 bps: decrs in store payroll was  primary driver of SG&amp;A decrs</t>
        </r>
      </text>
    </comment>
    <comment ref="BA31" authorId="17">
      <text>
        <r>
          <rPr>
            <b/>
            <sz val="8"/>
            <color indexed="81"/>
            <rFont val="Tahoma"/>
            <family val="2"/>
          </rPr>
          <t>mm98285:</t>
        </r>
        <r>
          <rPr>
            <sz val="8"/>
            <color indexed="81"/>
            <rFont val="Tahoma"/>
            <family val="2"/>
          </rPr>
          <t xml:space="preserve">
-incentives &amp; selling payroll leveraged, offset by increased store supplies &amp; professional services exp as % of sales (share based comp decreased to $5.8mm vs. $6.3mm LY)</t>
        </r>
      </text>
    </comment>
    <comment ref="BE31" authorId="19">
      <text>
        <r>
          <rPr>
            <b/>
            <sz val="8"/>
            <color indexed="81"/>
            <rFont val="Tahoma"/>
            <family val="2"/>
          </rPr>
          <t>TI23070:</t>
        </r>
        <r>
          <rPr>
            <sz val="8"/>
            <color indexed="81"/>
            <rFont val="Tahoma"/>
            <family val="2"/>
          </rPr>
          <t xml:space="preserve">
Increased +71 bps as a percent of sales: (better than our SG&amp;A margin estimate of 25.2% contributing a +1c difference). 2Q08’s higher rate is primarily due to negative leverage on the -9% comparable store sales decline. AEO de-leveraged advertising (due to planned marketing events and higher expenditures TY) while nearly all other operating expenses were flat to last year as a rate to sales.</t>
        </r>
      </text>
    </comment>
    <comment ref="BH31" authorId="8">
      <text>
        <r>
          <rPr>
            <b/>
            <sz val="8"/>
            <color indexed="81"/>
            <rFont val="Tahoma"/>
            <family val="2"/>
          </rPr>
          <t>lr73192:</t>
        </r>
        <r>
          <rPr>
            <sz val="8"/>
            <color indexed="81"/>
            <rFont val="Tahoma"/>
            <family val="2"/>
          </rPr>
          <t xml:space="preserve">
5/26/10: Removed $6.317M for M+O</t>
        </r>
      </text>
    </comment>
    <comment ref="BI31" authorId="19">
      <text>
        <r>
          <rPr>
            <b/>
            <sz val="8"/>
            <color indexed="81"/>
            <rFont val="Tahoma"/>
            <family val="2"/>
          </rPr>
          <t xml:space="preserve">TI23070:
</t>
        </r>
        <r>
          <rPr>
            <sz val="8"/>
            <color indexed="81"/>
            <rFont val="Tahoma"/>
            <family val="2"/>
          </rPr>
          <t xml:space="preserve">
8/09: SG&amp;A declined by $0.7mm or -0.4% and increased 105bps as a percent of sales to $167.2mm from $167.9mm LY (vs. our estimate of $170mm driving +1c of EPS).  AEO remains focused on cost control initiatives and had savings in the areas of advertising (50bps), travel (20bps) and services purchased (10bps) but deleveraged on SG&amp;A due to negative comps and new store growth expenditures. There was $2.3 million of share-based payment expense included in selling, general and administrative expenses compared to $2.7 million last year.</t>
        </r>
      </text>
    </comment>
    <comment ref="BL31" authorId="10">
      <text>
        <r>
          <rPr>
            <b/>
            <sz val="8"/>
            <color indexed="81"/>
            <rFont val="Tahoma"/>
            <family val="2"/>
          </rPr>
          <t>5/23/12: GAAP SGA rate was 25.4%
nicholjs:</t>
        </r>
        <r>
          <rPr>
            <sz val="8"/>
            <color indexed="81"/>
            <rFont val="Tahoma"/>
            <family val="2"/>
          </rPr>
          <t xml:space="preserve">
includes $3mm severence</t>
        </r>
      </text>
    </comment>
    <comment ref="BN31" authorId="10">
      <text>
        <r>
          <rPr>
            <b/>
            <sz val="8"/>
            <color indexed="81"/>
            <rFont val="Tahoma"/>
            <family val="2"/>
          </rPr>
          <t>nicholjs:</t>
        </r>
        <r>
          <rPr>
            <sz val="8"/>
            <color indexed="81"/>
            <rFont val="Tahoma"/>
            <family val="2"/>
          </rPr>
          <t xml:space="preserve">
increase due to timing of contract-based equity grants and severance payments, excluding these items SG&amp;A was down slightly to LY</t>
        </r>
      </text>
    </comment>
    <comment ref="BP31" authorId="10">
      <text>
        <r>
          <rPr>
            <b/>
            <sz val="8"/>
            <color indexed="81"/>
            <rFont val="Tahoma"/>
            <family val="2"/>
          </rPr>
          <t xml:space="preserve">5/23/12: </t>
        </r>
        <r>
          <rPr>
            <sz val="8"/>
            <color indexed="81"/>
            <rFont val="Tahoma"/>
            <family val="2"/>
          </rPr>
          <t>excluding 77kids, SGA $167.1M, SGA Rate 24.7%</t>
        </r>
        <r>
          <rPr>
            <b/>
            <sz val="8"/>
            <color indexed="81"/>
            <rFont val="Tahoma"/>
            <family val="2"/>
          </rPr>
          <t xml:space="preserve">
nicholjs:</t>
        </r>
        <r>
          <rPr>
            <sz val="8"/>
            <color indexed="81"/>
            <rFont val="Tahoma"/>
            <family val="2"/>
          </rPr>
          <t xml:space="preserve">
There was $1.8 million of share-based payment expense, consisting of time-based awards, included in SG&amp;A compared to $5.0 million last year.</t>
        </r>
      </text>
    </comment>
    <comment ref="BQ31" authorId="10">
      <text>
        <r>
          <rPr>
            <b/>
            <sz val="8"/>
            <color indexed="81"/>
            <rFont val="Tahoma"/>
            <family val="2"/>
          </rPr>
          <t>nicholjs:</t>
        </r>
        <r>
          <rPr>
            <sz val="8"/>
            <color indexed="81"/>
            <rFont val="Tahoma"/>
            <family val="2"/>
          </rPr>
          <t xml:space="preserve">
8/2011: 70 bps improvement resulted primarily from expense reduction efforts</t>
        </r>
      </text>
    </comment>
    <comment ref="BR31" authorId="10">
      <text>
        <r>
          <rPr>
            <b/>
            <sz val="8"/>
            <color indexed="81"/>
            <rFont val="Tahoma"/>
            <family val="2"/>
          </rPr>
          <t>nicholjs:</t>
        </r>
        <r>
          <rPr>
            <sz val="8"/>
            <color indexed="81"/>
            <rFont val="Tahoma"/>
            <family val="2"/>
          </rPr>
          <t xml:space="preserve">
5/2011: expect flat, with investments in new stores and advertising offset by continued expense savings</t>
        </r>
      </text>
    </comment>
    <comment ref="BT31" authorId="29">
      <text>
        <r>
          <rPr>
            <b/>
            <sz val="8"/>
            <color indexed="81"/>
            <rFont val="Tahoma"/>
            <family val="2"/>
          </rPr>
          <t xml:space="preserve">8/22/2012: </t>
        </r>
        <r>
          <rPr>
            <sz val="8"/>
            <color indexed="81"/>
            <rFont val="Tahoma"/>
            <family val="2"/>
          </rPr>
          <t>Adjusted for restructuring</t>
        </r>
      </text>
    </comment>
    <comment ref="BU31" authorId="9">
      <text>
        <r>
          <rPr>
            <b/>
            <sz val="8"/>
            <color indexed="81"/>
            <rFont val="Tahoma"/>
            <family val="2"/>
          </rPr>
          <t>P Kahng:</t>
        </r>
        <r>
          <rPr>
            <sz val="8"/>
            <color indexed="81"/>
            <rFont val="Tahoma"/>
            <family val="2"/>
          </rPr>
          <t xml:space="preserve">
8/1/12: Was 24.5%
5/1/12: Was at 23.8%. Based on 1Q guide on increased SGA$, increase is approx $20M. Assumed $10M from variable cost and $10M from accrued incentive comp exp. Taking up SGA by ~$15M in 2Q - 4Q</t>
        </r>
      </text>
    </comment>
    <comment ref="BV31" authorId="29">
      <text>
        <r>
          <rPr>
            <b/>
            <sz val="8"/>
            <color indexed="81"/>
            <rFont val="Tahoma"/>
            <family val="2"/>
          </rPr>
          <t>8/22/2012:</t>
        </r>
        <r>
          <rPr>
            <sz val="8"/>
            <color indexed="81"/>
            <rFont val="Tahoma"/>
            <family val="2"/>
          </rPr>
          <t xml:space="preserve"> $ increase due to higher incentive comp and investment in advertising</t>
        </r>
      </text>
    </comment>
    <comment ref="BY31" authorId="13">
      <text>
        <r>
          <rPr>
            <b/>
            <sz val="8"/>
            <color indexed="81"/>
            <rFont val="Tahoma"/>
            <family val="2"/>
          </rPr>
          <t xml:space="preserve">casselau:
</t>
        </r>
        <r>
          <rPr>
            <sz val="8"/>
            <color indexed="81"/>
            <rFont val="Tahoma"/>
            <family val="2"/>
          </rPr>
          <t xml:space="preserve">5/22/13 conf call: deleverage 80 bps (up against lower compensation </t>
        </r>
        <r>
          <rPr>
            <sz val="8"/>
            <color indexed="81"/>
            <rFont val="Tahoma"/>
            <family val="2"/>
          </rPr>
          <t xml:space="preserve">
expect leverage as we move through the year)</t>
        </r>
      </text>
    </comment>
    <comment ref="BZ31" authorId="13">
      <text>
        <r>
          <rPr>
            <b/>
            <sz val="8"/>
            <color indexed="81"/>
            <rFont val="Tahoma"/>
            <family val="2"/>
          </rPr>
          <t>casselau:</t>
        </r>
        <r>
          <rPr>
            <sz val="8"/>
            <color indexed="81"/>
            <rFont val="Tahoma"/>
            <family val="2"/>
          </rPr>
          <t xml:space="preserve">
5/22/13 conf call: dollars +M-HSD</t>
        </r>
      </text>
    </comment>
    <comment ref="CB31" authorId="13">
      <text>
        <r>
          <rPr>
            <b/>
            <sz val="9"/>
            <color indexed="81"/>
            <rFont val="Tahoma"/>
            <family val="2"/>
          </rPr>
          <t>casselau:</t>
        </r>
        <r>
          <rPr>
            <sz val="9"/>
            <color indexed="81"/>
            <rFont val="Tahoma"/>
            <family val="2"/>
          </rPr>
          <t xml:space="preserve">
8/20/14: investments in advertising, int'l growth, factory stores, and omni-channel initiatives drove the increase, and were partially offset by reductions in overhead and variable expenses</t>
        </r>
      </text>
    </comment>
    <comment ref="CD31" authorId="13">
      <text>
        <r>
          <rPr>
            <b/>
            <sz val="9"/>
            <color indexed="81"/>
            <rFont val="Tahoma"/>
            <family val="2"/>
          </rPr>
          <t>casselau:</t>
        </r>
        <r>
          <rPr>
            <sz val="9"/>
            <color indexed="81"/>
            <rFont val="Tahoma"/>
            <family val="2"/>
          </rPr>
          <t xml:space="preserve">
5/21/14: expect SG&amp;A up slightly throughout the year</t>
        </r>
      </text>
    </comment>
    <comment ref="CG31" authorId="13">
      <text>
        <r>
          <rPr>
            <b/>
            <sz val="9"/>
            <color indexed="81"/>
            <rFont val="Tahoma"/>
            <family val="2"/>
          </rPr>
          <t>casselau:</t>
        </r>
        <r>
          <rPr>
            <sz val="9"/>
            <color indexed="81"/>
            <rFont val="Tahoma"/>
            <family val="2"/>
          </rPr>
          <t xml:space="preserve">
8/19/15: expense reduction initiatives partially offset increases in incentive and variable selling expense, driven by strong sales performance; -LSD decline in fixed expenses due to expense reduction efforts </t>
        </r>
      </text>
    </comment>
    <comment ref="CH31" authorId="13">
      <text>
        <r>
          <rPr>
            <b/>
            <sz val="9"/>
            <color indexed="81"/>
            <rFont val="Tahoma"/>
            <family val="2"/>
          </rPr>
          <t>casselau:
5/20/15:</t>
        </r>
        <r>
          <rPr>
            <sz val="9"/>
            <color indexed="81"/>
            <rFont val="Tahoma"/>
            <family val="2"/>
          </rPr>
          <t>dollars expected to increase slightly based on variable selling expense and related incentive costs;</t>
        </r>
        <r>
          <rPr>
            <b/>
            <sz val="9"/>
            <color indexed="81"/>
            <rFont val="Tahoma"/>
            <family val="2"/>
          </rPr>
          <t xml:space="preserve"> </t>
        </r>
        <r>
          <rPr>
            <sz val="9"/>
            <color indexed="81"/>
            <rFont val="Tahoma"/>
            <family val="2"/>
          </rPr>
          <t>targeting leverage</t>
        </r>
      </text>
    </comment>
    <comment ref="CL31" authorId="14">
      <text>
        <r>
          <rPr>
            <b/>
            <sz val="9"/>
            <color indexed="81"/>
            <rFont val="Tahoma"/>
            <family val="2"/>
          </rPr>
          <t>Cassel, Lauren (Research):
8/17/16:</t>
        </r>
        <r>
          <rPr>
            <sz val="9"/>
            <color indexed="81"/>
            <rFont val="Tahoma"/>
            <family val="2"/>
          </rPr>
          <t xml:space="preserve"> investments in brand advertising and variable selling expense were partially offset by expense mgmt efforts</t>
        </r>
        <r>
          <rPr>
            <b/>
            <sz val="9"/>
            <color indexed="81"/>
            <rFont val="Tahoma"/>
            <family val="2"/>
          </rPr>
          <t xml:space="preserve">
</t>
        </r>
        <r>
          <rPr>
            <sz val="9"/>
            <color indexed="81"/>
            <rFont val="Tahoma"/>
            <family val="2"/>
          </rPr>
          <t xml:space="preserve">
5/18/16: SG&amp;A dollars +LSD, targeting SG&amp;A leverage</t>
        </r>
      </text>
    </comment>
    <comment ref="CP31" authorId="14">
      <text>
        <r>
          <rPr>
            <b/>
            <sz val="9"/>
            <color indexed="81"/>
            <rFont val="Tahoma"/>
            <family val="2"/>
          </rPr>
          <t xml:space="preserve">Cassel, Lauren (Research):
8/23/17: invested in advertising, primarily digital, partially offset by lower compensation expense
</t>
        </r>
        <r>
          <rPr>
            <sz val="9"/>
            <color indexed="81"/>
            <rFont val="Tahoma"/>
            <family val="2"/>
          </rPr>
          <t xml:space="preserve">
5/17/17: expect +LSD increase in SG&amp;A dollars</t>
        </r>
      </text>
    </comment>
    <comment ref="DH31" authorId="1">
      <text>
        <r>
          <rPr>
            <b/>
            <sz val="8"/>
            <color indexed="81"/>
            <rFont val="Tahoma"/>
            <family val="2"/>
          </rPr>
          <t>Debbie Ong:</t>
        </r>
        <r>
          <rPr>
            <sz val="8"/>
            <color indexed="81"/>
            <rFont val="Tahoma"/>
            <family val="2"/>
          </rPr>
          <t xml:space="preserve">
5/24: had 26.3</t>
        </r>
      </text>
    </comment>
    <comment ref="DJ31" authorId="1">
      <text>
        <r>
          <rPr>
            <b/>
            <sz val="8"/>
            <color indexed="81"/>
            <rFont val="Tahoma"/>
            <family val="2"/>
          </rPr>
          <t>Debbie Ong:</t>
        </r>
        <r>
          <rPr>
            <sz val="8"/>
            <color indexed="81"/>
            <rFont val="Tahoma"/>
            <family val="2"/>
          </rPr>
          <t xml:space="preserve">
include negative lvg of 500 bps as cushion for additional AE Canada staffing costs ahead of store openings. 5/24: had 30</t>
        </r>
      </text>
    </comment>
    <comment ref="W32" authorId="1">
      <text>
        <r>
          <rPr>
            <b/>
            <sz val="8"/>
            <color indexed="81"/>
            <rFont val="Tahoma"/>
            <family val="2"/>
          </rPr>
          <t>Debbie Ong:</t>
        </r>
        <r>
          <rPr>
            <sz val="8"/>
            <color indexed="81"/>
            <rFont val="Tahoma"/>
            <family val="2"/>
          </rPr>
          <t xml:space="preserve">
had $68.7 mm b4 Oct comp. Had 69.4 b/f Q3 rptd.</t>
        </r>
      </text>
    </comment>
    <comment ref="X32" authorId="1">
      <text>
        <r>
          <rPr>
            <b/>
            <sz val="8"/>
            <color indexed="81"/>
            <rFont val="Tahoma"/>
            <family val="2"/>
          </rPr>
          <t>Debbie Ong:</t>
        </r>
        <r>
          <rPr>
            <sz val="8"/>
            <color indexed="81"/>
            <rFont val="Tahoma"/>
            <family val="2"/>
          </rPr>
          <t xml:space="preserve">
8/17: LW guidance flat-down 30-40 bps vs LY.
Had 24.5% b/f Q3 rptd.</t>
        </r>
      </text>
    </comment>
    <comment ref="AB32" authorId="2">
      <text>
        <r>
          <rPr>
            <b/>
            <sz val="8"/>
            <color indexed="81"/>
            <rFont val="Tahoma"/>
            <family val="2"/>
          </rPr>
          <t>dong2:</t>
        </r>
        <r>
          <rPr>
            <sz val="8"/>
            <color indexed="81"/>
            <rFont val="Tahoma"/>
            <family val="2"/>
          </rPr>
          <t xml:space="preserve">
$88.1 pre-Sept 11 levels.
11/7: 88.7</t>
        </r>
      </text>
    </comment>
    <comment ref="AC32" authorId="1">
      <text>
        <r>
          <rPr>
            <b/>
            <sz val="8"/>
            <color indexed="81"/>
            <rFont val="Tahoma"/>
            <family val="2"/>
          </rPr>
          <t>Debbie Ong:</t>
        </r>
        <r>
          <rPr>
            <sz val="8"/>
            <color indexed="81"/>
            <rFont val="Tahoma"/>
            <family val="2"/>
          </rPr>
          <t xml:space="preserve">
had 23.7 AEOS U.S. ($79.2)</t>
        </r>
      </text>
    </comment>
    <comment ref="AF32" authorId="15">
      <text>
        <r>
          <rPr>
            <sz val="8"/>
            <color indexed="81"/>
            <rFont val="Tahoma"/>
            <family val="2"/>
          </rPr>
          <t>7/10/02 prob s/b close to $100mm
9/4/02 had 94.2 mm
10/9/02: 90.5. 11/7/02: 90.3.</t>
        </r>
      </text>
    </comment>
    <comment ref="AG32" authorId="2">
      <text>
        <r>
          <rPr>
            <b/>
            <sz val="8"/>
            <color indexed="81"/>
            <rFont val="Tahoma"/>
            <family val="2"/>
          </rPr>
          <t>dong2:</t>
        </r>
        <r>
          <rPr>
            <sz val="8"/>
            <color indexed="81"/>
            <rFont val="Tahoma"/>
            <family val="2"/>
          </rPr>
          <t xml:space="preserve">
had 24.2</t>
        </r>
      </text>
    </comment>
    <comment ref="AJ32" authorId="15">
      <text>
        <r>
          <rPr>
            <sz val="8"/>
            <color indexed="81"/>
            <rFont val="Tahoma"/>
            <family val="2"/>
          </rPr>
          <t>raise $ growth to +12-14% from LY b/c LY no incentive bonuses but TY given better pfce s/b some bonus comp. 98.8. 1/5/04: 98.7</t>
        </r>
      </text>
    </comment>
    <comment ref="AK32" authorId="2">
      <text>
        <r>
          <rPr>
            <b/>
            <sz val="8"/>
            <color indexed="81"/>
            <rFont val="Tahoma"/>
            <family val="2"/>
          </rPr>
          <t>dong2:</t>
        </r>
        <r>
          <rPr>
            <sz val="8"/>
            <color indexed="81"/>
            <rFont val="Tahoma"/>
            <family val="2"/>
          </rPr>
          <t xml:space="preserve">
had 24.2</t>
        </r>
      </text>
    </comment>
    <comment ref="AL32" authorId="24">
      <text>
        <r>
          <rPr>
            <b/>
            <sz val="10"/>
            <color indexed="81"/>
            <rFont val="Tahoma"/>
            <family val="2"/>
          </rPr>
          <t>kgreenbe:</t>
        </r>
        <r>
          <rPr>
            <sz val="10"/>
            <color indexed="81"/>
            <rFont val="Tahoma"/>
            <family val="2"/>
          </rPr>
          <t xml:space="preserve">
co indicated 8/03 that expect sg&amp;a growth of 10-15%, 10% if don’t pay incentives, and 15% if they do pay incentives</t>
        </r>
      </text>
    </comment>
    <comment ref="AO32" authorId="3">
      <text>
        <r>
          <rPr>
            <sz val="8"/>
            <color indexed="81"/>
            <rFont val="Tahoma"/>
            <family val="2"/>
          </rPr>
          <t>had 24.5% prev to increased 3Q guidance</t>
        </r>
        <r>
          <rPr>
            <b/>
            <sz val="8"/>
            <color indexed="81"/>
            <rFont val="Tahoma"/>
            <family val="2"/>
          </rPr>
          <t xml:space="preserve">
dliu:</t>
        </r>
        <r>
          <rPr>
            <sz val="8"/>
            <color indexed="81"/>
            <rFont val="Tahoma"/>
            <family val="2"/>
          </rPr>
          <t xml:space="preserve">
remember LY (4Q03) included several 1-time events: severance chg, cancellation of hardware lease, also eliminated 52 positions at NY design ctr (does this go into COGS?)</t>
        </r>
      </text>
    </comment>
    <comment ref="AP32" authorId="28">
      <text>
        <r>
          <rPr>
            <b/>
            <sz val="8"/>
            <color indexed="81"/>
            <rFont val="Tahoma"/>
            <family val="2"/>
          </rPr>
          <t>Kimberly Greenberger:</t>
        </r>
        <r>
          <rPr>
            <sz val="8"/>
            <color indexed="81"/>
            <rFont val="Tahoma"/>
            <family val="2"/>
          </rPr>
          <t xml:space="preserve">
8/4/04:Bonuses accrue as they earn money, so greatest accrual early in the year b/c bonuses cap out at a certain level. Expect 3Q04 sg&amp;a growth of approx 15%.
11/03/04 expect 3Q sg&amp;a growth apprx 20%</t>
        </r>
      </text>
    </comment>
    <comment ref="AV32" authorId="25">
      <text>
        <r>
          <rPr>
            <sz val="8"/>
            <color indexed="81"/>
            <rFont val="Tahoma"/>
            <family val="2"/>
          </rPr>
          <t>was $169.993 before restatement...non-direct merchandise costs pull that into SG&amp;A</t>
        </r>
        <r>
          <rPr>
            <b/>
            <sz val="8"/>
            <color indexed="81"/>
            <rFont val="Tahoma"/>
            <family val="2"/>
          </rPr>
          <t xml:space="preserve">
kg51925:</t>
        </r>
        <r>
          <rPr>
            <sz val="8"/>
            <color indexed="81"/>
            <rFont val="Tahoma"/>
            <family val="2"/>
          </rPr>
          <t xml:space="preserve">
3/1/06 target SG&amp;A growth flat as % to sales if comps increase 4% given mgmt's comments that they can slightly lever SG&amp;A at a +MSD comp. 3Q06 = $149.7mm</t>
        </r>
      </text>
    </comment>
    <comment ref="AW32" authorId="17">
      <text>
        <r>
          <rPr>
            <b/>
            <sz val="8"/>
            <color indexed="81"/>
            <rFont val="Tahoma"/>
            <family val="2"/>
          </rPr>
          <t>mm98285:</t>
        </r>
        <r>
          <rPr>
            <sz val="8"/>
            <color indexed="81"/>
            <rFont val="Tahoma"/>
            <family val="2"/>
          </rPr>
          <t xml:space="preserve">
+30 bps options
+30 bps M+O
</t>
        </r>
      </text>
    </comment>
    <comment ref="BA32" authorId="17">
      <text>
        <r>
          <rPr>
            <b/>
            <sz val="8"/>
            <color indexed="81"/>
            <rFont val="Tahoma"/>
            <family val="2"/>
          </rPr>
          <t>mm98285:</t>
        </r>
        <r>
          <rPr>
            <sz val="8"/>
            <color indexed="81"/>
            <rFont val="Tahoma"/>
            <family val="2"/>
          </rPr>
          <t xml:space="preserve">
-levg on total comp., prof. fees &amp; supplies +delevg on advertising due to a planned shift in timing of marketing events
Essentially all other operating expenses were nearly flat to LY
8/07: need higher than +MSD comp to achieve exp levg given +23 aerie openings</t>
        </r>
      </text>
    </comment>
    <comment ref="BE32" authorId="18">
      <text>
        <r>
          <rPr>
            <sz val="8"/>
            <color indexed="81"/>
            <rFont val="Tahoma"/>
            <family val="2"/>
          </rPr>
          <t>SG&amp;A of $181.7mm grew +4.3% to 24.1% of sales and increased +70 bps as a percent of sales (worse than our SG&amp;A estimate of $174mm contributing a -3c EPS difference). The higher rate this quarter was primarily due to the comparable store sales decline.</t>
        </r>
      </text>
    </comment>
    <comment ref="BF32" authorId="18">
      <text>
        <r>
          <rPr>
            <sz val="8"/>
            <color indexed="81"/>
            <rFont val="Tahoma"/>
            <family val="2"/>
          </rPr>
          <t xml:space="preserve">8/26:
AEO expects 2H08
SG&amp;A dollar growth in ~+4% range
</t>
        </r>
        <r>
          <rPr>
            <sz val="8"/>
            <color indexed="81"/>
            <rFont val="Tahoma"/>
            <family val="2"/>
          </rPr>
          <t xml:space="preserve">
More pressure in 3rd than 4th</t>
        </r>
      </text>
    </comment>
    <comment ref="BH32" authorId="8">
      <text>
        <r>
          <rPr>
            <b/>
            <sz val="8"/>
            <color indexed="81"/>
            <rFont val="Tahoma"/>
            <family val="2"/>
          </rPr>
          <t>lr73192:</t>
        </r>
        <r>
          <rPr>
            <sz val="8"/>
            <color indexed="81"/>
            <rFont val="Tahoma"/>
            <family val="2"/>
          </rPr>
          <t xml:space="preserve">
5/26/10: Removed $8.321M for M+O</t>
        </r>
      </text>
    </comment>
    <comment ref="BI32" authorId="19">
      <text>
        <r>
          <rPr>
            <sz val="8"/>
            <color indexed="81"/>
            <rFont val="Tahoma"/>
            <family val="2"/>
          </rPr>
          <t xml:space="preserve">SG&amp;A increase was largely due to payroll cost related to new stores and
the accrual of incentive compensation.
</t>
        </r>
        <r>
          <rPr>
            <b/>
            <sz val="8"/>
            <color indexed="81"/>
            <rFont val="Tahoma"/>
            <family val="2"/>
          </rPr>
          <t xml:space="preserve">
</t>
        </r>
        <r>
          <rPr>
            <sz val="8"/>
            <color indexed="81"/>
            <rFont val="Tahoma"/>
            <family val="2"/>
          </rPr>
          <t xml:space="preserve">
8/09:  Gross Margin Guidance — AEO cautions that it is seeing higher markdowns in certain underperforming categories (i.e. knits) and expects this trend to continue unless sales trends improve beyond its “modest” expectations.  Additionally, the company reiterated that it needs a ~+MSD comp to leverage occupancy costs. Management expects lower product costs to “modestly” benefit the merchandise margin as AEO passes some of the savings on to customers through lower pricing.  We estimate that lower product sourcing could benefit 3Q gross margin by ~+10-20bps and 4Q by ~+30-40bps</t>
        </r>
      </text>
    </comment>
    <comment ref="BL32" authorId="10">
      <text>
        <r>
          <rPr>
            <b/>
            <sz val="8"/>
            <color indexed="81"/>
            <rFont val="Tahoma"/>
            <family val="2"/>
          </rPr>
          <t>5/23/12: GAAP SGA Rate was 24.6%
nicholjs:</t>
        </r>
        <r>
          <rPr>
            <sz val="8"/>
            <color indexed="81"/>
            <rFont val="Tahoma"/>
            <family val="2"/>
          </rPr>
          <t xml:space="preserve">
includes ~$2.5mm of severance and related charges; excluding these charges SG&amp;A was down slightly to LY
There was $2.4 million of share-based payment expense included in selling, general and administrative expenses compared to $7.5 million last year. 
</t>
        </r>
      </text>
    </comment>
    <comment ref="BN32" authorId="10">
      <text>
        <r>
          <rPr>
            <b/>
            <sz val="8"/>
            <color indexed="81"/>
            <rFont val="Tahoma"/>
            <family val="2"/>
          </rPr>
          <t>nicholjs:</t>
        </r>
        <r>
          <rPr>
            <sz val="8"/>
            <color indexed="81"/>
            <rFont val="Tahoma"/>
            <family val="2"/>
          </rPr>
          <t xml:space="preserve">
8/25/2010: at this point it is running down -LSD</t>
        </r>
      </text>
    </comment>
    <comment ref="BP32" authorId="12">
      <text>
        <r>
          <rPr>
            <sz val="8"/>
            <color indexed="81"/>
            <rFont val="Tahoma"/>
            <family val="2"/>
          </rPr>
          <t xml:space="preserve">5/23/12: excludes 77kids SGA of $4.896
11/30/2011 - SG&amp;A increased 3% to $191 million due to higher sales, new store openings and a planned investment in advertising, partially offset by continued expense savings. SG&amp;A improved 170 basis points to 22.9% as a rate to sales, compared to 24.6% last year. 
</t>
        </r>
      </text>
    </comment>
    <comment ref="BR32" authorId="10">
      <text>
        <r>
          <rPr>
            <b/>
            <sz val="8"/>
            <color indexed="81"/>
            <rFont val="Tahoma"/>
            <family val="2"/>
          </rPr>
          <t>nicholjs:</t>
        </r>
        <r>
          <rPr>
            <sz val="8"/>
            <color indexed="81"/>
            <rFont val="Tahoma"/>
            <family val="2"/>
          </rPr>
          <t xml:space="preserve">
11/2011 CC: $ increase from strong sales, new store openings and planned investment in advertising. Expect FY SG&amp;A growth in 2-3% range.
8/2011: expect +LSD. 2% a good place to be.</t>
        </r>
      </text>
    </comment>
    <comment ref="BT32" authorId="9">
      <text>
        <r>
          <rPr>
            <b/>
            <sz val="8"/>
            <color indexed="81"/>
            <rFont val="Tahoma"/>
            <family val="2"/>
          </rPr>
          <t xml:space="preserve">11/28: </t>
        </r>
        <r>
          <rPr>
            <sz val="8"/>
            <color indexed="81"/>
            <rFont val="Tahoma"/>
            <family val="2"/>
          </rPr>
          <t>the dollar increase was driven by incremental incentive costs, and planned increased advertising and variable expenses</t>
        </r>
        <r>
          <rPr>
            <b/>
            <sz val="8"/>
            <color indexed="81"/>
            <rFont val="Tahoma"/>
            <family val="2"/>
          </rPr>
          <t xml:space="preserve">
P Kahng:</t>
        </r>
        <r>
          <rPr>
            <sz val="8"/>
            <color indexed="81"/>
            <rFont val="Tahoma"/>
            <family val="2"/>
          </rPr>
          <t xml:space="preserve">
5/21/12: Was 204.3. Adding back $6M/qtr after tax ($9.7M pretax) for 77kids disposal.  </t>
        </r>
      </text>
    </comment>
    <comment ref="BU32" authorId="9">
      <text>
        <r>
          <rPr>
            <b/>
            <sz val="8"/>
            <color indexed="81"/>
            <rFont val="Tahoma"/>
            <family val="2"/>
          </rPr>
          <t xml:space="preserve">11/28: </t>
        </r>
        <r>
          <rPr>
            <sz val="8"/>
            <color indexed="81"/>
            <rFont val="Tahoma"/>
            <family val="2"/>
          </rPr>
          <t>increase is related to incremental incentive compensation and varaible selling expenses due to strong business results and a planned incremental investment in advertising</t>
        </r>
        <r>
          <rPr>
            <b/>
            <sz val="8"/>
            <color indexed="81"/>
            <rFont val="Tahoma"/>
            <family val="2"/>
          </rPr>
          <t xml:space="preserve">
P Kahng:</t>
        </r>
        <r>
          <rPr>
            <sz val="8"/>
            <color indexed="81"/>
            <rFont val="Tahoma"/>
            <family val="2"/>
          </rPr>
          <t xml:space="preserve">
5/1/12: Was at 22.6%. Based on 1Q guide on increased SGA$, increase is approx $20M. Assumed $10M from variable cost and $10M from accrued incentive comp exp. Taking up SGA by ~$15M in 2Q - 4Q</t>
        </r>
      </text>
    </comment>
    <comment ref="BV32" authorId="29">
      <text>
        <r>
          <rPr>
            <b/>
            <sz val="8"/>
            <color indexed="81"/>
            <rFont val="Tahoma"/>
            <family val="2"/>
          </rPr>
          <t xml:space="preserve">8/22/2012: </t>
        </r>
        <r>
          <rPr>
            <sz val="8"/>
            <color indexed="81"/>
            <rFont val="Tahoma"/>
            <family val="2"/>
          </rPr>
          <t>Expect low teen increase due to incremental incentive comp and advertising (50/50 split)</t>
        </r>
      </text>
    </comment>
    <comment ref="BX32" authorId="13">
      <text>
        <r>
          <rPr>
            <b/>
            <sz val="8"/>
            <color indexed="81"/>
            <rFont val="Tahoma"/>
            <family val="2"/>
          </rPr>
          <t>casselau:</t>
        </r>
        <r>
          <rPr>
            <sz val="8"/>
            <color indexed="81"/>
            <rFont val="Tahoma"/>
            <family val="2"/>
          </rPr>
          <t xml:space="preserve">
1265/13: excludes $19.316M non-GAAP loss impairment charge; pre-tax asset impairments related to the Warrendale Distribution Center</t>
        </r>
      </text>
    </comment>
    <comment ref="BY32" authorId="13">
      <text>
        <r>
          <rPr>
            <b/>
            <sz val="8"/>
            <color indexed="81"/>
            <rFont val="Tahoma"/>
            <family val="2"/>
          </rPr>
          <t xml:space="preserve">12/6/13: </t>
        </r>
        <r>
          <rPr>
            <sz val="8"/>
            <color indexed="81"/>
            <rFont val="Tahoma"/>
            <family val="2"/>
          </rPr>
          <t>lower incentive compensation and travel costs contributed to the improvement</t>
        </r>
        <r>
          <rPr>
            <b/>
            <sz val="8"/>
            <color indexed="81"/>
            <rFont val="Tahoma"/>
            <family val="2"/>
          </rPr>
          <t xml:space="preserve">
11/6/13: </t>
        </r>
        <r>
          <rPr>
            <sz val="8"/>
            <color indexed="81"/>
            <rFont val="Tahoma"/>
            <family val="2"/>
          </rPr>
          <t>revised outlook reflects slightly better than expected margin results</t>
        </r>
        <r>
          <rPr>
            <b/>
            <sz val="8"/>
            <color indexed="81"/>
            <rFont val="Tahoma"/>
            <family val="2"/>
          </rPr>
          <t xml:space="preserve">
casselau:</t>
        </r>
        <r>
          <rPr>
            <sz val="8"/>
            <color indexed="81"/>
            <rFont val="Tahoma"/>
            <family val="2"/>
          </rPr>
          <t xml:space="preserve">
8/21/13: expect SG&amp;A dollars to decline vs. LY
5/22/13 conf call: roughly flat</t>
        </r>
      </text>
    </comment>
    <comment ref="BZ32" authorId="13">
      <text>
        <r>
          <rPr>
            <b/>
            <sz val="8"/>
            <color indexed="81"/>
            <rFont val="Tahoma"/>
            <family val="2"/>
          </rPr>
          <t>casselau:</t>
        </r>
        <r>
          <rPr>
            <sz val="8"/>
            <color indexed="81"/>
            <rFont val="Tahoma"/>
            <family val="2"/>
          </rPr>
          <t xml:space="preserve">
8/21/13: expect SG&amp;A dollars to decline vs. LY</t>
        </r>
      </text>
    </comment>
    <comment ref="CC32" authorId="13">
      <text>
        <r>
          <rPr>
            <b/>
            <sz val="9"/>
            <color indexed="81"/>
            <rFont val="Tahoma"/>
            <family val="2"/>
          </rPr>
          <t>casselau:</t>
        </r>
        <r>
          <rPr>
            <sz val="9"/>
            <color indexed="81"/>
            <rFont val="Tahoma"/>
            <family val="2"/>
          </rPr>
          <t xml:space="preserve">
12/4/14: reductions in overhead and variable expenses were partially offset by continued investments in new stores and int'l expansion, as well as increased incentive expense accruals</t>
        </r>
      </text>
    </comment>
    <comment ref="CD32" authorId="13">
      <text>
        <r>
          <rPr>
            <b/>
            <sz val="9"/>
            <color indexed="81"/>
            <rFont val="Tahoma"/>
            <family val="2"/>
          </rPr>
          <t>casselau:</t>
        </r>
        <r>
          <rPr>
            <sz val="9"/>
            <color indexed="81"/>
            <rFont val="Tahoma"/>
            <family val="2"/>
          </rPr>
          <t xml:space="preserve">
8/20/14: SG&amp;A expected to increase +MSD; LY -6% due to incentive adjustments, underlying business SG&amp;A +LSD</t>
        </r>
      </text>
    </comment>
    <comment ref="CH32" authorId="13">
      <text>
        <r>
          <rPr>
            <b/>
            <sz val="9"/>
            <color indexed="81"/>
            <rFont val="Tahoma"/>
            <family val="2"/>
          </rPr>
          <t>casselau:</t>
        </r>
        <r>
          <rPr>
            <sz val="9"/>
            <color indexed="81"/>
            <rFont val="Tahoma"/>
            <family val="2"/>
          </rPr>
          <t xml:space="preserve">
12/2/15: increase in dollars was primarily the result of higher incentive costs related to strong sales and margin performance. Planned investments in digital marketing also contributed to the increase, and had a positive effect on AEO direct sales</t>
        </r>
      </text>
    </comment>
    <comment ref="CK32" authorId="14">
      <text>
        <r>
          <rPr>
            <b/>
            <sz val="9"/>
            <color indexed="81"/>
            <rFont val="Tahoma"/>
            <family val="2"/>
          </rPr>
          <t>Cassel, Lauren (Research):</t>
        </r>
        <r>
          <rPr>
            <sz val="9"/>
            <color indexed="81"/>
            <rFont val="Tahoma"/>
            <family val="2"/>
          </rPr>
          <t xml:space="preserve">
8/17/16: expect to be able to leverage SG&amp;A</t>
        </r>
      </text>
    </comment>
    <comment ref="CL32" authorId="14">
      <text>
        <r>
          <rPr>
            <b/>
            <sz val="9"/>
            <color indexed="81"/>
            <rFont val="Tahoma"/>
            <family val="2"/>
          </rPr>
          <t>Cassel, Lauren (Research):</t>
        </r>
        <r>
          <rPr>
            <sz val="9"/>
            <color indexed="81"/>
            <rFont val="Tahoma"/>
            <family val="2"/>
          </rPr>
          <t xml:space="preserve">
11/30/16: increased investments in advertising were offset by well-controlled expenses</t>
        </r>
      </text>
    </comment>
    <comment ref="CP32" authorId="14">
      <text>
        <r>
          <rPr>
            <b/>
            <sz val="9"/>
            <color indexed="81"/>
            <rFont val="Tahoma"/>
            <family val="2"/>
          </rPr>
          <t>Cassel, Lauren (Research):</t>
        </r>
        <r>
          <rPr>
            <sz val="9"/>
            <color indexed="81"/>
            <rFont val="Tahoma"/>
            <family val="2"/>
          </rPr>
          <t xml:space="preserve">
12/6/17: driven by lower incentives and expense discipline offset by higher wages
8/23/17: guidance +LSD increase</t>
        </r>
      </text>
    </comment>
    <comment ref="DH32" authorId="2">
      <text>
        <r>
          <rPr>
            <b/>
            <sz val="8"/>
            <color indexed="81"/>
            <rFont val="Tahoma"/>
            <family val="2"/>
          </rPr>
          <t>dong2:</t>
        </r>
        <r>
          <rPr>
            <sz val="8"/>
            <color indexed="81"/>
            <rFont val="Tahoma"/>
            <family val="2"/>
          </rPr>
          <t xml:space="preserve">
10/10: 23.9</t>
        </r>
      </text>
    </comment>
    <comment ref="DJ32" authorId="2">
      <text>
        <r>
          <rPr>
            <b/>
            <sz val="8"/>
            <color indexed="81"/>
            <rFont val="Tahoma"/>
            <family val="2"/>
          </rPr>
          <t>dong2:</t>
        </r>
        <r>
          <rPr>
            <sz val="8"/>
            <color indexed="81"/>
            <rFont val="Tahoma"/>
            <family val="2"/>
          </rPr>
          <t xml:space="preserve">
10/10: had 24.0</t>
        </r>
      </text>
    </comment>
    <comment ref="W33" authorId="1">
      <text>
        <r>
          <rPr>
            <b/>
            <sz val="8"/>
            <color indexed="81"/>
            <rFont val="Tahoma"/>
            <family val="2"/>
          </rPr>
          <t>Debbie Ong:</t>
        </r>
        <r>
          <rPr>
            <sz val="8"/>
            <color indexed="81"/>
            <rFont val="Tahoma"/>
            <family val="2"/>
          </rPr>
          <t xml:space="preserve">
had $74.7 mm b4 Nov comp rptd</t>
        </r>
      </text>
    </comment>
    <comment ref="X33" authorId="1">
      <text>
        <r>
          <rPr>
            <b/>
            <sz val="8"/>
            <color indexed="81"/>
            <rFont val="Tahoma"/>
            <family val="2"/>
          </rPr>
          <t>Debbie Ong:</t>
        </r>
        <r>
          <rPr>
            <sz val="8"/>
            <color indexed="81"/>
            <rFont val="Tahoma"/>
            <family val="2"/>
          </rPr>
          <t xml:space="preserve">
8/17: LW guidance flat-down 30-40 bps vs LY.
11/29: SG&amp;A at 21.7 b4 Nov comp rptd. had 21.9 b4 Jan comp- incr. to 22.0</t>
        </r>
      </text>
    </comment>
    <comment ref="AB33" authorId="2">
      <text>
        <r>
          <rPr>
            <b/>
            <sz val="8"/>
            <color indexed="81"/>
            <rFont val="Tahoma"/>
            <family val="2"/>
          </rPr>
          <t>dong2:</t>
        </r>
        <r>
          <rPr>
            <sz val="8"/>
            <color indexed="81"/>
            <rFont val="Tahoma"/>
            <family val="2"/>
          </rPr>
          <t xml:space="preserve">
$113.8. 12/2: $114 and 23.0%
2/6: $106.0 and 22.7%</t>
        </r>
      </text>
    </comment>
    <comment ref="AC33" authorId="1">
      <text>
        <r>
          <rPr>
            <b/>
            <sz val="8"/>
            <color indexed="81"/>
            <rFont val="Tahoma"/>
            <family val="2"/>
          </rPr>
          <t>Debbie Ong:</t>
        </r>
        <r>
          <rPr>
            <sz val="8"/>
            <color indexed="81"/>
            <rFont val="Tahoma"/>
            <family val="2"/>
          </rPr>
          <t xml:space="preserve">
had 22.1 AEOS U.S. ($99.4). 12/4: had $110 23.4% </t>
        </r>
      </text>
    </comment>
    <comment ref="AF33" authorId="15">
      <text>
        <r>
          <rPr>
            <sz val="8"/>
            <color indexed="81"/>
            <rFont val="Tahoma"/>
            <family val="2"/>
          </rPr>
          <t>7/10/02 Prob s/b close to $115mm. 10/9: 108.5, then 108.3. 12/4: 108.4.
1/3/03: 107.8 
2/5/03: 108.9</t>
        </r>
      </text>
    </comment>
    <comment ref="AG33" authorId="2">
      <text>
        <r>
          <rPr>
            <b/>
            <sz val="8"/>
            <color indexed="81"/>
            <rFont val="Tahoma"/>
            <family val="2"/>
          </rPr>
          <t>dong2:</t>
        </r>
        <r>
          <rPr>
            <sz val="8"/>
            <color indexed="81"/>
            <rFont val="Tahoma"/>
            <family val="2"/>
          </rPr>
          <t xml:space="preserve">
had 23.0</t>
        </r>
      </text>
    </comment>
    <comment ref="AJ33" authorId="15">
      <text>
        <r>
          <rPr>
            <sz val="8"/>
            <color indexed="81"/>
            <rFont val="Tahoma"/>
            <family val="2"/>
          </rPr>
          <t>raise $ growth to +15% from LY b/c LY no incentive bonuses but TY given better pfce s/b some bonus comp. 109.6, 109.5
3/2 112.9 with bluenotes</t>
        </r>
      </text>
    </comment>
    <comment ref="AL33" authorId="24">
      <text>
        <r>
          <rPr>
            <b/>
            <sz val="10"/>
            <color indexed="81"/>
            <rFont val="Tahoma"/>
            <family val="2"/>
          </rPr>
          <t>kgreenbe:</t>
        </r>
        <r>
          <rPr>
            <sz val="10"/>
            <color indexed="81"/>
            <rFont val="Tahoma"/>
            <family val="2"/>
          </rPr>
          <t xml:space="preserve">
target at 15% yoy growth</t>
        </r>
      </text>
    </comment>
    <comment ref="AP33" authorId="28">
      <text>
        <r>
          <rPr>
            <b/>
            <sz val="8"/>
            <color indexed="81"/>
            <rFont val="Tahoma"/>
            <family val="2"/>
          </rPr>
          <t>Kimberly Greenberger:</t>
        </r>
        <r>
          <rPr>
            <sz val="8"/>
            <color indexed="81"/>
            <rFont val="Tahoma"/>
            <family val="2"/>
          </rPr>
          <t xml:space="preserve">
8/4/04:Bonuses accrue as they earn money, so greatest accrual early in the year b/c bonuses cap out at a certain level. As a result of capping of bonuses, expect 4Q04 sg&amp;a growth of 7-9%.</t>
        </r>
      </text>
    </comment>
    <comment ref="AV33" authorId="25">
      <text>
        <r>
          <rPr>
            <b/>
            <sz val="8"/>
            <color indexed="81"/>
            <rFont val="Tahoma"/>
            <family val="2"/>
          </rPr>
          <t>kg51925:</t>
        </r>
        <r>
          <rPr>
            <sz val="8"/>
            <color indexed="81"/>
            <rFont val="Tahoma"/>
            <family val="2"/>
          </rPr>
          <t xml:space="preserve">
3/1/06 target SG&amp;A growth flat as % to sales if comps increase 4% given mgmt's comments that they can slightly lever SG&amp;A at a +MSD comp. 4Q06 = $175.7mm</t>
        </r>
      </text>
    </comment>
    <comment ref="AW33" authorId="17">
      <text>
        <r>
          <rPr>
            <b/>
            <sz val="8"/>
            <color indexed="81"/>
            <rFont val="Tahoma"/>
            <family val="2"/>
          </rPr>
          <t>mm98285:</t>
        </r>
        <r>
          <rPr>
            <sz val="8"/>
            <color indexed="81"/>
            <rFont val="Tahoma"/>
            <family val="2"/>
          </rPr>
          <t xml:space="preserve">
+90 bps options
+20 bps M+O
flat store payroll as a % of sales (due to increased payroll hrs related to aerie) </t>
        </r>
      </text>
    </comment>
    <comment ref="BA33" authorId="6">
      <text>
        <r>
          <rPr>
            <sz val="8"/>
            <color indexed="81"/>
            <rFont val="Tahoma"/>
            <family val="2"/>
          </rPr>
          <t>SG&amp;A favorably decreased -50 bps as a % of sales vs. LY or had ~flat growth in dollars to 21.9% of sales.
++ Incentive compensation and supplies had favorable leverage,
-- while professional services increased as a percent to sales. 
~~~As a % of sales, essentially all other operating expenses were flat or increased slightly to last year.</t>
        </r>
        <r>
          <rPr>
            <b/>
            <sz val="8"/>
            <color indexed="81"/>
            <rFont val="Tahoma"/>
            <family val="2"/>
          </rPr>
          <t xml:space="preserve">
11/27: </t>
        </r>
        <r>
          <rPr>
            <sz val="8"/>
            <color indexed="81"/>
            <rFont val="Tahoma"/>
            <family val="2"/>
          </rPr>
          <t>We expect SG&amp;A to leverage at a low single digit comp in the fourth quarter</t>
        </r>
      </text>
    </comment>
    <comment ref="BE33" authorId="18">
      <text>
        <r>
          <rPr>
            <sz val="8"/>
            <color indexed="81"/>
            <rFont val="Tahoma"/>
            <family val="2"/>
          </rPr>
          <t>SG&amp;A declined by 1% or by 190bps to $214.8mm (excluding a $6.7mm charge related to the impairment of certain underperforming stores).  Our SG&amp;A estimate was $225mm and the favorable difference drove +3c of EPS difference. Reduced incentive compensation and expense controls drove the decline from last year.</t>
        </r>
      </text>
    </comment>
    <comment ref="BF33" authorId="18">
      <text>
        <r>
          <rPr>
            <sz val="8"/>
            <color indexed="81"/>
            <rFont val="Tahoma"/>
            <family val="2"/>
          </rPr>
          <t>11/25:</t>
        </r>
        <r>
          <rPr>
            <sz val="8"/>
            <color indexed="81"/>
            <rFont val="Tahoma"/>
            <family val="2"/>
          </rPr>
          <t xml:space="preserve">
expects 4Q08 SG&amp;A dollar growth in the ~+2% range.</t>
        </r>
      </text>
    </comment>
    <comment ref="BH33" authorId="25">
      <text>
        <r>
          <rPr>
            <b/>
            <sz val="8"/>
            <color indexed="81"/>
            <rFont val="Tahoma"/>
            <family val="2"/>
          </rPr>
          <t xml:space="preserve">lr73192:
</t>
        </r>
        <r>
          <rPr>
            <sz val="8"/>
            <color indexed="81"/>
            <rFont val="Tahoma"/>
            <family val="2"/>
          </rPr>
          <t xml:space="preserve">5/26/10: Removed $9.436M for M+O
</t>
        </r>
        <r>
          <rPr>
            <b/>
            <sz val="8"/>
            <color indexed="81"/>
            <rFont val="Tahoma"/>
            <family val="2"/>
          </rPr>
          <t>kg51925:</t>
        </r>
        <r>
          <rPr>
            <sz val="8"/>
            <color indexed="81"/>
            <rFont val="Tahoma"/>
            <family val="2"/>
          </rPr>
          <t xml:space="preserve">
4% growth "right range"
could be higher if sales
+7-8% if Dec comps positive</t>
        </r>
      </text>
    </comment>
    <comment ref="BJ33" authorId="18">
      <text>
        <r>
          <rPr>
            <b/>
            <sz val="8"/>
            <color indexed="81"/>
            <rFont val="Tahoma"/>
            <family val="2"/>
          </rPr>
          <t>11/25:</t>
        </r>
        <r>
          <rPr>
            <sz val="8"/>
            <color indexed="81"/>
            <rFont val="Tahoma"/>
            <family val="2"/>
          </rPr>
          <t xml:space="preserve">
flat to up ~+7%.</t>
        </r>
      </text>
    </comment>
    <comment ref="BL33" authorId="10">
      <text>
        <r>
          <rPr>
            <b/>
            <sz val="8"/>
            <color indexed="81"/>
            <rFont val="Tahoma"/>
            <family val="2"/>
          </rPr>
          <t xml:space="preserve">5/23/12: </t>
        </r>
        <r>
          <rPr>
            <sz val="8"/>
            <color indexed="81"/>
            <rFont val="Tahoma"/>
            <family val="2"/>
          </rPr>
          <t>GAAP SGA Rate was 21.2%</t>
        </r>
        <r>
          <rPr>
            <b/>
            <sz val="8"/>
            <color indexed="81"/>
            <rFont val="Tahoma"/>
            <family val="2"/>
          </rPr>
          <t xml:space="preserve">
nicholjs:</t>
        </r>
        <r>
          <rPr>
            <sz val="8"/>
            <color indexed="81"/>
            <rFont val="Tahoma"/>
            <family val="2"/>
          </rPr>
          <t xml:space="preserve">
included $5mm of severance and related charges.  Decrease in SG&amp;A due to lower incentive comp and expense reductions stemming from corporate profit initiative.  cost improvements in virtually all operating areas.
2/2011: use mid $190's (cost program, expense/headcount reductions, incentive comp lower vs. LY)
11/2010: use $212, severence could be about $2mm</t>
        </r>
      </text>
    </comment>
    <comment ref="BN33" authorId="30">
      <text>
        <r>
          <rPr>
            <b/>
            <sz val="8"/>
            <color indexed="81"/>
            <rFont val="Tahoma"/>
            <family val="2"/>
          </rPr>
          <t>Margaret Marchant:</t>
        </r>
        <r>
          <rPr>
            <sz val="8"/>
            <color indexed="81"/>
            <rFont val="Tahoma"/>
            <family val="2"/>
          </rPr>
          <t xml:space="preserve">
11/10: expect -HSD
8/10: up against bonus accrual</t>
        </r>
      </text>
    </comment>
    <comment ref="BP33" authorId="26">
      <text>
        <r>
          <rPr>
            <b/>
            <sz val="8"/>
            <color indexed="81"/>
            <rFont val="Tahoma"/>
            <family val="2"/>
          </rPr>
          <t xml:space="preserve">5/23/12: </t>
        </r>
        <r>
          <rPr>
            <sz val="8"/>
            <color indexed="81"/>
            <rFont val="Tahoma"/>
            <family val="2"/>
          </rPr>
          <t>excludes 5.584M in SGA for 77kids. Also excludes Loss on impairment of assets related to 77kids. GAAP is $213.7M</t>
        </r>
        <r>
          <rPr>
            <b/>
            <sz val="8"/>
            <color indexed="81"/>
            <rFont val="Tahoma"/>
            <family val="2"/>
          </rPr>
          <t xml:space="preserve">
3/7/12: </t>
        </r>
        <r>
          <rPr>
            <sz val="8"/>
            <color indexed="81"/>
            <rFont val="Tahoma"/>
            <family val="2"/>
          </rPr>
          <t xml:space="preserve">Excludes $20.730M in aerie store impairment charges and $5.536M in executive transition costs. </t>
        </r>
        <r>
          <rPr>
            <b/>
            <sz val="8"/>
            <color indexed="81"/>
            <rFont val="Tahoma"/>
            <family val="2"/>
          </rPr>
          <t xml:space="preserve">
kimberlg:</t>
        </r>
        <r>
          <rPr>
            <sz val="8"/>
            <color indexed="81"/>
            <rFont val="Tahoma"/>
            <family val="2"/>
          </rPr>
          <t xml:space="preserve">
need to start re-accruing bonuses
1/5/12: expect a bit higher than $216-217M</t>
        </r>
      </text>
    </comment>
    <comment ref="BR33" authorId="10">
      <text>
        <r>
          <rPr>
            <b/>
            <sz val="8"/>
            <color indexed="81"/>
            <rFont val="Tahoma"/>
            <family val="2"/>
          </rPr>
          <t>nicholjs:</t>
        </r>
        <r>
          <rPr>
            <sz val="8"/>
            <color indexed="81"/>
            <rFont val="Tahoma"/>
            <family val="2"/>
          </rPr>
          <t xml:space="preserve">
8/2011: at least 10% good place</t>
        </r>
      </text>
    </comment>
    <comment ref="BT33" authorId="9">
      <text>
        <r>
          <rPr>
            <b/>
            <sz val="8"/>
            <color indexed="81"/>
            <rFont val="Tahoma"/>
            <family val="2"/>
          </rPr>
          <t xml:space="preserve">pkahng 5/21/12: </t>
        </r>
        <r>
          <rPr>
            <sz val="8"/>
            <color indexed="81"/>
            <rFont val="Tahoma"/>
            <family val="2"/>
          </rPr>
          <t xml:space="preserve">Was 223.3. Adding back $6M/qtr aftertax ($9.7M pretax) for 77kids disposal. </t>
        </r>
      </text>
    </comment>
    <comment ref="BU33" authorId="9">
      <text>
        <r>
          <rPr>
            <b/>
            <sz val="8"/>
            <color indexed="81"/>
            <rFont val="Tahoma"/>
            <family val="2"/>
          </rPr>
          <t xml:space="preserve">3/6/13: </t>
        </r>
        <r>
          <rPr>
            <sz val="8"/>
            <color indexed="81"/>
            <rFont val="Tahoma"/>
            <family val="2"/>
          </rPr>
          <t>increase due to higher inventive costs and planned advertising investments</t>
        </r>
        <r>
          <rPr>
            <b/>
            <sz val="8"/>
            <color indexed="81"/>
            <rFont val="Tahoma"/>
            <family val="2"/>
          </rPr>
          <t xml:space="preserve">
11/28:  </t>
        </r>
        <r>
          <rPr>
            <sz val="8"/>
            <color indexed="81"/>
            <rFont val="Tahoma"/>
            <family val="2"/>
          </rPr>
          <t>"Similar to 3Q, we expect SG&amp;A to increase due to this year's incentive accruals, incremental advertising investments, and variable selling expense"</t>
        </r>
        <r>
          <rPr>
            <b/>
            <sz val="8"/>
            <color indexed="81"/>
            <rFont val="Tahoma"/>
            <family val="2"/>
          </rPr>
          <t xml:space="preserve">
P Kahng:</t>
        </r>
        <r>
          <rPr>
            <sz val="8"/>
            <color indexed="81"/>
            <rFont val="Tahoma"/>
            <family val="2"/>
          </rPr>
          <t xml:space="preserve">
5/21/12: Was 20.35%. Adjusting for 77kids dispoal
5/1/12: Was at 20.2%. Based on 1Q guide on increased SGA$, increase is approx $20M. Assumed $10M from variable cost and $10M from accrued incentive comp exp. Taking up SGA by ~$10M in 2Q - 4Q. Some incentive comp accrued in 4Q11, so increase not as dramatic as other qtrs</t>
        </r>
      </text>
    </comment>
    <comment ref="BV33" authorId="29">
      <text>
        <r>
          <rPr>
            <b/>
            <sz val="8"/>
            <color indexed="81"/>
            <rFont val="Tahoma"/>
            <family val="2"/>
          </rPr>
          <t xml:space="preserve">11/28: </t>
        </r>
        <r>
          <rPr>
            <sz val="8"/>
            <color indexed="81"/>
            <rFont val="Tahoma"/>
            <family val="2"/>
          </rPr>
          <t>Similar to the third quarter, we expect SG&amp;A to increase due to this year's incentive accruals, incremental advertising investments, and variable selling expense</t>
        </r>
        <r>
          <rPr>
            <b/>
            <sz val="8"/>
            <color indexed="81"/>
            <rFont val="Tahoma"/>
            <family val="2"/>
          </rPr>
          <t xml:space="preserve">
8/22/2012: </t>
        </r>
        <r>
          <rPr>
            <sz val="8"/>
            <color indexed="81"/>
            <rFont val="Tahoma"/>
            <family val="2"/>
          </rPr>
          <t>Expect low teen increase due to incremental incentive comp and advertising (50/50 split); growth also split 50/50 btwn 3Q &amp; 4Q, a little more in 4Q due to bonus accrual</t>
        </r>
      </text>
    </comment>
    <comment ref="BY33" authorId="13">
      <text>
        <r>
          <rPr>
            <b/>
            <sz val="8"/>
            <color indexed="81"/>
            <rFont val="Tahoma"/>
            <family val="2"/>
          </rPr>
          <t xml:space="preserve">casselau:
3/11/14: </t>
        </r>
        <r>
          <rPr>
            <sz val="8"/>
            <color indexed="81"/>
            <rFont val="Tahoma"/>
            <family val="2"/>
          </rPr>
          <t xml:space="preserve">lower incentive costs and a planned reduction in advertising drove the majority of the decline
</t>
        </r>
        <r>
          <rPr>
            <sz val="8"/>
            <color indexed="81"/>
            <rFont val="Tahoma"/>
            <family val="2"/>
          </rPr>
          <t xml:space="preserve">
12/6/13: expect -LDD dollar decline and leverage vs. LY; 1/3 of decline due to incentive compensation, 1/3 due to cost savings
5/22/13 conf call: expect some leverage
</t>
        </r>
      </text>
    </comment>
    <comment ref="CD33" authorId="13">
      <text>
        <r>
          <rPr>
            <b/>
            <sz val="9"/>
            <color indexed="81"/>
            <rFont val="Tahoma"/>
            <family val="2"/>
          </rPr>
          <t xml:space="preserve">casselau:
3/3/15: driven by marketing, incentive comp, international store openings offset by strong expense management
</t>
        </r>
        <r>
          <rPr>
            <sz val="9"/>
            <color indexed="81"/>
            <rFont val="Tahoma"/>
            <family val="2"/>
          </rPr>
          <t>1/8/15: per Judy, likely to come in at lower end, could be a bit below 7%
12/4/14: expect SG&amp;A dollars +HSD, due to incentive comp, advertising, and new store openings</t>
        </r>
      </text>
    </comment>
    <comment ref="CH33" authorId="13">
      <text>
        <r>
          <rPr>
            <b/>
            <sz val="9"/>
            <color indexed="81"/>
            <rFont val="Tahoma"/>
            <family val="2"/>
          </rPr>
          <t>casselau:</t>
        </r>
        <r>
          <rPr>
            <sz val="9"/>
            <color indexed="81"/>
            <rFont val="Tahoma"/>
            <family val="2"/>
          </rPr>
          <t xml:space="preserve">
3/2/16: The increase in dollars was primarily the result of higher incentive costs and planned investments in digital marketing, which were offset by a one-time gain on the sale of the previously closed Warrendale, PA distribution center ($9M). </t>
        </r>
      </text>
    </comment>
    <comment ref="CJ33" authorId="13">
      <text>
        <r>
          <rPr>
            <b/>
            <sz val="9"/>
            <color indexed="81"/>
            <rFont val="Tahoma"/>
            <family val="2"/>
          </rPr>
          <t xml:space="preserve">casselau:
3/1/17: excludes $21.2M in impairment and restructuring charges related to the wholly-owned businesses in the UK and Asia. The company is exploring an initiative to convert those markets to licensed partnerships 
</t>
        </r>
        <r>
          <rPr>
            <sz val="9"/>
            <color indexed="81"/>
            <rFont val="Tahoma"/>
            <family val="2"/>
          </rPr>
          <t xml:space="preserve">
3/2/16: need to add back $9.422M gain from LY ($242.4M at a minimum)</t>
        </r>
      </text>
    </comment>
    <comment ref="CK33" authorId="14">
      <text>
        <r>
          <rPr>
            <b/>
            <sz val="9"/>
            <color indexed="81"/>
            <rFont val="Tahoma"/>
            <family val="2"/>
          </rPr>
          <t>Cassel, Lauren (Research):</t>
        </r>
        <r>
          <rPr>
            <sz val="9"/>
            <color indexed="81"/>
            <rFont val="Tahoma"/>
            <family val="2"/>
          </rPr>
          <t xml:space="preserve">
3/1/17: higher advertising expense offset by lower incentive compensation</t>
        </r>
      </text>
    </comment>
    <comment ref="CL33" authorId="14">
      <text>
        <r>
          <rPr>
            <b/>
            <sz val="9"/>
            <color indexed="81"/>
            <rFont val="Tahoma"/>
            <family val="2"/>
          </rPr>
          <t>Cassel, Lauren (Research):</t>
        </r>
        <r>
          <rPr>
            <sz val="9"/>
            <color indexed="81"/>
            <rFont val="Tahoma"/>
            <family val="2"/>
          </rPr>
          <t xml:space="preserve">
11/30/16: +LSD core SG&amp;A growth (ex. the gain) </t>
        </r>
      </text>
    </comment>
    <comment ref="CP33" authorId="14">
      <text>
        <r>
          <rPr>
            <b/>
            <sz val="9"/>
            <color indexed="81"/>
            <rFont val="Tahoma"/>
            <family val="2"/>
          </rPr>
          <t>Cassel, Lauren (Research):</t>
        </r>
        <r>
          <rPr>
            <sz val="9"/>
            <color indexed="81"/>
            <rFont val="Tahoma"/>
            <family val="2"/>
          </rPr>
          <t xml:space="preserve">
3/8/18: Increased store salaries, due to a strong holiday season and the extra week, and higher incentive compensation drove the dollar increase from $242 million last year.</t>
        </r>
      </text>
    </comment>
    <comment ref="DH33" authorId="1">
      <text>
        <r>
          <rPr>
            <b/>
            <sz val="8"/>
            <color indexed="81"/>
            <rFont val="Tahoma"/>
            <family val="2"/>
          </rPr>
          <t>Debbie Ong:</t>
        </r>
        <r>
          <rPr>
            <sz val="8"/>
            <color indexed="81"/>
            <rFont val="Tahoma"/>
            <family val="2"/>
          </rPr>
          <t xml:space="preserve">
had 22.75. 10/10: 22.7</t>
        </r>
      </text>
    </comment>
    <comment ref="DJ33" authorId="1">
      <text>
        <r>
          <rPr>
            <b/>
            <sz val="8"/>
            <color indexed="81"/>
            <rFont val="Tahoma"/>
            <family val="2"/>
          </rPr>
          <t>Debbie Ong:</t>
        </r>
        <r>
          <rPr>
            <sz val="8"/>
            <color indexed="81"/>
            <rFont val="Tahoma"/>
            <family val="2"/>
          </rPr>
          <t xml:space="preserve">
had 23.0. 10/10: had 23.0</t>
        </r>
      </text>
    </comment>
    <comment ref="AC34" authorId="1">
      <text>
        <r>
          <rPr>
            <b/>
            <sz val="8"/>
            <color indexed="81"/>
            <rFont val="Tahoma"/>
            <family val="2"/>
          </rPr>
          <t>Debbie Ong:</t>
        </r>
        <r>
          <rPr>
            <sz val="8"/>
            <color indexed="81"/>
            <rFont val="Tahoma"/>
            <family val="2"/>
          </rPr>
          <t xml:space="preserve">
had 24.0% AEOS U.S. ($300.3)</t>
        </r>
      </text>
    </comment>
    <comment ref="AG34" authorId="2">
      <text>
        <r>
          <rPr>
            <b/>
            <sz val="8"/>
            <color indexed="81"/>
            <rFont val="Tahoma"/>
            <family val="2"/>
          </rPr>
          <t>dong2:</t>
        </r>
        <r>
          <rPr>
            <sz val="8"/>
            <color indexed="81"/>
            <rFont val="Tahoma"/>
            <family val="2"/>
          </rPr>
          <t xml:space="preserve">
had 24.5</t>
        </r>
      </text>
    </comment>
    <comment ref="AV34" authorId="25">
      <text>
        <r>
          <rPr>
            <b/>
            <sz val="8"/>
            <color indexed="81"/>
            <rFont val="Tahoma"/>
            <family val="2"/>
          </rPr>
          <t>kg51925:</t>
        </r>
        <r>
          <rPr>
            <sz val="8"/>
            <color indexed="81"/>
            <rFont val="Tahoma"/>
            <family val="2"/>
          </rPr>
          <t xml:space="preserve">
3/1/06 target SG&amp;A growth flat as % to sales if comps increase 4% given mgmt's comments that they can slightly lever SG&amp;A at a +MSD comp. 2006 = $585.8mm</t>
        </r>
      </text>
    </comment>
    <comment ref="AW34" authorId="17">
      <text>
        <r>
          <rPr>
            <b/>
            <sz val="8"/>
            <color indexed="81"/>
            <rFont val="Tahoma"/>
            <family val="2"/>
          </rPr>
          <t>mm98285:</t>
        </r>
        <r>
          <rPr>
            <sz val="8"/>
            <color indexed="81"/>
            <rFont val="Tahoma"/>
            <family val="2"/>
          </rPr>
          <t xml:space="preserve">
+40 bps options
+40 bps M+O</t>
        </r>
      </text>
    </comment>
    <comment ref="BE34" authorId="18">
      <text>
        <r>
          <rPr>
            <b/>
            <sz val="8"/>
            <color indexed="81"/>
            <rFont val="Tahoma"/>
            <family val="2"/>
          </rPr>
          <t xml:space="preserve">10-K: </t>
        </r>
        <r>
          <rPr>
            <sz val="8"/>
            <color indexed="81"/>
            <rFont val="Tahoma"/>
            <family val="2"/>
          </rPr>
          <t xml:space="preserve">Selling, general and administrative expenses increased 4% to $740.7 million from $715.2 million. As a percent to net sales, selling, general and administrative expenses increased by 140 basis points to 24.8% from 23.4% last year. These amounts include $6.7 million, or 20 basis points, of asset impairment charges related primarily to the impairment of five M+O stores this year.
The higher rate this year is primarily due to the comparable store sales decline, partially offset by an improvement in incentive compensation of 100 basis points. Share-based payment expense included in selling, general and administrative expenses decreased to approximately $14.6 million compared to $27.5 million last year.
</t>
        </r>
      </text>
    </comment>
    <comment ref="BF34" authorId="18">
      <text>
        <r>
          <rPr>
            <b/>
            <sz val="8"/>
            <color indexed="81"/>
            <rFont val="Tahoma"/>
            <family val="2"/>
          </rPr>
          <t>oc48540:</t>
        </r>
        <r>
          <rPr>
            <sz val="8"/>
            <color indexed="81"/>
            <rFont val="Tahoma"/>
            <family val="2"/>
          </rPr>
          <t xml:space="preserve">
</t>
        </r>
      </text>
    </comment>
    <comment ref="BH34" authorId="18">
      <text>
        <r>
          <rPr>
            <b/>
            <sz val="8"/>
            <color indexed="81"/>
            <rFont val="Tahoma"/>
            <family val="2"/>
          </rPr>
          <t>oc48540:</t>
        </r>
        <r>
          <rPr>
            <sz val="8"/>
            <color indexed="81"/>
            <rFont val="Tahoma"/>
            <family val="2"/>
          </rPr>
          <t xml:space="preserve">
3/08: Plannning to be flat but trying for reduction in 2H</t>
        </r>
      </text>
    </comment>
    <comment ref="BI34" authorId="18">
      <text>
        <r>
          <rPr>
            <b/>
            <sz val="8"/>
            <color indexed="81"/>
            <rFont val="Tahoma"/>
            <family val="2"/>
          </rPr>
          <t>oc48540:
3/08:</t>
        </r>
        <r>
          <rPr>
            <sz val="8"/>
            <color indexed="81"/>
            <rFont val="Tahoma"/>
            <family val="2"/>
          </rPr>
          <t xml:space="preserve">
expect to leverage on            -LSD comp</t>
        </r>
      </text>
    </comment>
    <comment ref="BJ34" authorId="18">
      <text>
        <r>
          <rPr>
            <b/>
            <sz val="8"/>
            <color indexed="81"/>
            <rFont val="Tahoma"/>
            <family val="2"/>
          </rPr>
          <t>oc48540:</t>
        </r>
        <r>
          <rPr>
            <sz val="8"/>
            <color indexed="81"/>
            <rFont val="Tahoma"/>
            <family val="2"/>
          </rPr>
          <t xml:space="preserve">
11/24: ~flattish to +LSD</t>
        </r>
      </text>
    </comment>
    <comment ref="BL34" authorId="10">
      <text>
        <r>
          <rPr>
            <b/>
            <sz val="8"/>
            <color indexed="81"/>
            <rFont val="Tahoma"/>
            <family val="2"/>
          </rPr>
          <t>nicholjs:</t>
        </r>
        <r>
          <rPr>
            <sz val="8"/>
            <color indexed="81"/>
            <rFont val="Tahoma"/>
            <family val="2"/>
          </rPr>
          <t xml:space="preserve">
11/2010: expect flat year over year ex severance charges</t>
        </r>
      </text>
    </comment>
    <comment ref="BN34" authorId="22">
      <text>
        <r>
          <rPr>
            <b/>
            <sz val="8"/>
            <color indexed="81"/>
            <rFont val="Tahoma"/>
            <family val="2"/>
          </rPr>
          <t>ns66486:</t>
        </r>
        <r>
          <rPr>
            <sz val="8"/>
            <color indexed="81"/>
            <rFont val="Tahoma"/>
            <family val="2"/>
          </rPr>
          <t xml:space="preserve">
8/10: SG&amp;A flat to down -LSD for the year
3/10:  SG&amp;A (LSD)-LSD for year, greater in 1H (+MSD-HSD)</t>
        </r>
      </text>
    </comment>
    <comment ref="BQ34" authorId="10">
      <text>
        <r>
          <rPr>
            <b/>
            <sz val="8"/>
            <color indexed="81"/>
            <rFont val="Tahoma"/>
            <family val="2"/>
          </rPr>
          <t xml:space="preserve">3/7/12: </t>
        </r>
        <r>
          <rPr>
            <sz val="8"/>
            <color indexed="81"/>
            <rFont val="Tahoma"/>
            <family val="2"/>
          </rPr>
          <t>rate improved 70bps on expense reduction, offset by new store growth, variable expense related to sales increase and planned adversting investment contributed to improvement in SGA rate.</t>
        </r>
        <r>
          <rPr>
            <sz val="8"/>
            <color indexed="81"/>
            <rFont val="Tahoma"/>
            <family val="2"/>
          </rPr>
          <t xml:space="preserve">
</t>
        </r>
        <r>
          <rPr>
            <b/>
            <sz val="8"/>
            <color indexed="81"/>
            <rFont val="Tahoma"/>
            <family val="2"/>
          </rPr>
          <t>11/2010:</t>
        </r>
        <r>
          <rPr>
            <sz val="8"/>
            <color indexed="81"/>
            <rFont val="Tahoma"/>
            <family val="2"/>
          </rPr>
          <t xml:space="preserve"> expect $20-30mm sustainable cost reductions over next 12-24 months that flow through GM and SG&amp;A.  But also in 2011 have net addt'l stores, which will drive up some operating costs on a variable basis.</t>
        </r>
      </text>
    </comment>
    <comment ref="BR34" authorId="10">
      <text>
        <r>
          <rPr>
            <sz val="8"/>
            <color indexed="81"/>
            <rFont val="Tahoma"/>
            <family val="2"/>
          </rPr>
          <t>11/2011: SG&amp;A dollars expect 2-3% range (per conf call).
8/2011: expect +LSD.  at least 2% growth good place.  could be 2-3%
5/2011: expect +LSD, with planned investments in new stores and advertising, partially offset by continued expense savings.
3/2011: expect +LSD, reflecting anticipated continued expense savings, coupled with planned investments in advertising and costs associated with new store growth</t>
        </r>
      </text>
    </comment>
    <comment ref="BU34" authorId="13">
      <text>
        <r>
          <rPr>
            <b/>
            <sz val="8"/>
            <color indexed="81"/>
            <rFont val="Tahoma"/>
            <family val="2"/>
          </rPr>
          <t xml:space="preserve">3/6/13: </t>
        </r>
        <r>
          <rPr>
            <sz val="8"/>
            <color indexed="81"/>
            <rFont val="Tahoma"/>
            <family val="2"/>
          </rPr>
          <t xml:space="preserve">increased incentive costs (maxed out this year) and planned advertising invesments offset te leverage of other expenses, primarily store payroll </t>
        </r>
        <r>
          <rPr>
            <b/>
            <sz val="8"/>
            <color indexed="81"/>
            <rFont val="Tahoma"/>
            <family val="2"/>
          </rPr>
          <t xml:space="preserve">
casselau:</t>
        </r>
        <r>
          <rPr>
            <sz val="8"/>
            <color indexed="81"/>
            <rFont val="Tahoma"/>
            <family val="2"/>
          </rPr>
          <t xml:space="preserve">
11/28:</t>
        </r>
        <r>
          <rPr>
            <b/>
            <sz val="8"/>
            <color indexed="81"/>
            <rFont val="Tahoma"/>
            <family val="2"/>
          </rPr>
          <t xml:space="preserve"> 23% guidance</t>
        </r>
      </text>
    </comment>
    <comment ref="BV34" authorId="26">
      <text>
        <r>
          <rPr>
            <b/>
            <sz val="8"/>
            <color indexed="81"/>
            <rFont val="Tahoma"/>
            <family val="2"/>
          </rPr>
          <t>kimberlg:</t>
        </r>
        <r>
          <rPr>
            <sz val="8"/>
            <color indexed="81"/>
            <rFont val="Tahoma"/>
            <family val="2"/>
          </rPr>
          <t xml:space="preserve">
let's model 3% SG&amp;A dollar growth on 6% sales growth in 2012</t>
        </r>
      </text>
    </comment>
    <comment ref="BY34" authorId="13">
      <text>
        <r>
          <rPr>
            <b/>
            <sz val="8"/>
            <color indexed="81"/>
            <rFont val="Tahoma"/>
            <family val="2"/>
          </rPr>
          <t>casselau:</t>
        </r>
        <r>
          <rPr>
            <sz val="8"/>
            <color indexed="81"/>
            <rFont val="Tahoma"/>
            <family val="2"/>
          </rPr>
          <t xml:space="preserve">
3/6/13: "23% is kind of an annual number"</t>
        </r>
      </text>
    </comment>
    <comment ref="BZ34" authorId="13">
      <text>
        <r>
          <rPr>
            <b/>
            <sz val="8"/>
            <color indexed="81"/>
            <rFont val="Tahoma"/>
            <family val="2"/>
          </rPr>
          <t>casselau:</t>
        </r>
        <r>
          <rPr>
            <sz val="8"/>
            <color indexed="81"/>
            <rFont val="Tahoma"/>
            <family val="2"/>
          </rPr>
          <t xml:space="preserve">
3/11/14: the decrease resulted primarily from lower incentive costs, offset by higher store payroll and corporate salaries</t>
        </r>
      </text>
    </comment>
    <comment ref="CC34" authorId="13">
      <text>
        <r>
          <rPr>
            <b/>
            <sz val="8"/>
            <color indexed="81"/>
            <rFont val="Tahoma"/>
            <family val="2"/>
          </rPr>
          <t>casselau:</t>
        </r>
        <r>
          <rPr>
            <sz val="8"/>
            <color indexed="81"/>
            <rFont val="Tahoma"/>
            <family val="2"/>
          </rPr>
          <t xml:space="preserve">
3/11/14: expect to be above 23% long-term goal</t>
        </r>
      </text>
    </comment>
    <comment ref="CD34" authorId="13">
      <text>
        <r>
          <rPr>
            <b/>
            <sz val="8"/>
            <color indexed="81"/>
            <rFont val="Tahoma"/>
            <family val="2"/>
          </rPr>
          <t xml:space="preserve">casselau:
3/3/15: increase resulted primarily from investments in marketing and incentive costs, which were partially offset by reductions in corporate overhead and variable expenses
</t>
        </r>
        <r>
          <rPr>
            <sz val="8"/>
            <color indexed="81"/>
            <rFont val="Tahoma"/>
            <family val="2"/>
          </rPr>
          <t>5/21/14: expect flat to up slightly for the year
3/11/14: expect +LSD increase over the course of the year</t>
        </r>
      </text>
    </comment>
    <comment ref="CG34" authorId="13">
      <text>
        <r>
          <rPr>
            <b/>
            <sz val="9"/>
            <color indexed="81"/>
            <rFont val="Tahoma"/>
            <family val="2"/>
          </rPr>
          <t>casselau:</t>
        </r>
        <r>
          <rPr>
            <sz val="9"/>
            <color indexed="81"/>
            <rFont val="Tahoma"/>
            <family val="2"/>
          </rPr>
          <t xml:space="preserve">
3/3/15: goal is to leverage SG&amp;A for the year</t>
        </r>
      </text>
    </comment>
    <comment ref="CH34" authorId="13">
      <text>
        <r>
          <rPr>
            <b/>
            <sz val="9"/>
            <color indexed="81"/>
            <rFont val="Tahoma"/>
            <family val="2"/>
          </rPr>
          <t>casselau:
3/2/16: Due to savings that resulted from expense reduction initiatives offset higher incentive costs related to strong sales and margin performance. ($3M net gain from sale of DC)
3/3/15: expect fixed expense flat to down slightly; depends on comp</t>
        </r>
        <r>
          <rPr>
            <sz val="9"/>
            <color indexed="81"/>
            <rFont val="Tahoma"/>
            <family val="2"/>
          </rPr>
          <t xml:space="preserve">
12/4/14: SG&amp;A dollars expected to be flat to down slightly in 2015; the results of the restructuring will drive gross savings of approximately $27M across GM, SG&amp;A, and D&amp;A. These reductions will be largely offset by inflationary costs and strategic investments including omni-channel projects, customer-facing activities and continued global expansion. </t>
        </r>
      </text>
    </comment>
    <comment ref="CK34" authorId="13">
      <text>
        <r>
          <rPr>
            <b/>
            <sz val="9"/>
            <color indexed="81"/>
            <rFont val="Tahoma"/>
            <family val="2"/>
          </rPr>
          <t>casselau:</t>
        </r>
        <r>
          <rPr>
            <sz val="9"/>
            <color indexed="81"/>
            <rFont val="Tahoma"/>
            <family val="2"/>
          </rPr>
          <t xml:space="preserve">
3/2/16: per Mary: expect leverage for the year</t>
        </r>
      </text>
    </comment>
    <comment ref="CL34" authorId="13">
      <text>
        <r>
          <rPr>
            <b/>
            <sz val="9"/>
            <color indexed="81"/>
            <rFont val="Tahoma"/>
            <family val="2"/>
          </rPr>
          <t xml:space="preserve">casselau:
3/1/17: higher advertising expense offset by lower incentive compensation 
</t>
        </r>
        <r>
          <rPr>
            <sz val="9"/>
            <color indexed="81"/>
            <rFont val="Tahoma"/>
            <family val="2"/>
          </rPr>
          <t xml:space="preserve">
12/2/15:trying to keep our fixed expenses
flat to down with variable expenses moving obviously with the top line; expect marketing up slightly</t>
        </r>
      </text>
    </comment>
    <comment ref="CO34" authorId="14">
      <text>
        <r>
          <rPr>
            <b/>
            <sz val="9"/>
            <color indexed="81"/>
            <rFont val="Tahoma"/>
            <family val="2"/>
          </rPr>
          <t>Cassel, Lauren (Research):</t>
        </r>
        <r>
          <rPr>
            <sz val="9"/>
            <color indexed="81"/>
            <rFont val="Tahoma"/>
            <family val="2"/>
          </rPr>
          <t xml:space="preserve">
11/30/16: Per CFO: expect 2017 SG&amp;A leverage</t>
        </r>
      </text>
    </comment>
    <comment ref="CP34" authorId="14">
      <text>
        <r>
          <rPr>
            <b/>
            <sz val="9"/>
            <color indexed="81"/>
            <rFont val="Tahoma"/>
            <family val="2"/>
          </rPr>
          <t>Cassel, Lauren (Research):</t>
        </r>
        <r>
          <rPr>
            <sz val="9"/>
            <color indexed="81"/>
            <rFont val="Tahoma"/>
            <family val="2"/>
          </rPr>
          <t xml:space="preserve">
3/8/18: Increased salaries and advertising expense drove the dollar increase from $858 million last year. </t>
        </r>
      </text>
    </comment>
    <comment ref="BV37" authorId="29">
      <text>
        <r>
          <rPr>
            <b/>
            <sz val="8"/>
            <color indexed="81"/>
            <rFont val="Tahoma"/>
            <family val="2"/>
          </rPr>
          <t xml:space="preserve">8/22/2012: </t>
        </r>
        <r>
          <rPr>
            <sz val="8"/>
            <color indexed="81"/>
            <rFont val="Tahoma"/>
            <family val="2"/>
          </rPr>
          <t>Expect low teen increase due to incremental incentive comp and advertising (50/50 split)</t>
        </r>
      </text>
    </comment>
    <comment ref="AV40" authorId="5">
      <text>
        <r>
          <rPr>
            <b/>
            <sz val="8"/>
            <color indexed="81"/>
            <rFont val="Tahoma"/>
            <family val="2"/>
          </rPr>
          <t>MB33100:</t>
        </r>
        <r>
          <rPr>
            <sz val="8"/>
            <color indexed="81"/>
            <rFont val="Tahoma"/>
            <family val="2"/>
          </rPr>
          <t xml:space="preserve">
2/06 mgmt guided to 2c for 1Q options expense
4-5c for full year
1Q06A $3.6mm</t>
        </r>
      </text>
    </comment>
    <comment ref="AV41" authorId="5">
      <text>
        <r>
          <rPr>
            <b/>
            <sz val="8"/>
            <color indexed="81"/>
            <rFont val="Tahoma"/>
            <family val="2"/>
          </rPr>
          <t>MB33100:</t>
        </r>
        <r>
          <rPr>
            <sz val="8"/>
            <color indexed="81"/>
            <rFont val="Tahoma"/>
            <family val="2"/>
          </rPr>
          <t xml:space="preserve">
mgmt said 30 bps of options expense in 2Q… ~1.8mm</t>
        </r>
      </text>
    </comment>
    <comment ref="G50" authorId="1">
      <text>
        <r>
          <rPr>
            <b/>
            <sz val="8"/>
            <color indexed="81"/>
            <rFont val="Tahoma"/>
            <family val="2"/>
          </rPr>
          <t>Debbie Ong:</t>
        </r>
        <r>
          <rPr>
            <sz val="8"/>
            <color indexed="81"/>
            <rFont val="Tahoma"/>
            <family val="2"/>
          </rPr>
          <t xml:space="preserve">
added the 3rd decimal place unit, split 2-2-2-1 in order to get $6.087</t>
        </r>
      </text>
    </comment>
    <comment ref="W50" authorId="21">
      <text>
        <r>
          <rPr>
            <sz val="8"/>
            <color indexed="81"/>
            <rFont val="Tahoma"/>
            <family val="2"/>
          </rPr>
          <t xml:space="preserve">est at $4.45m
</t>
        </r>
      </text>
    </comment>
    <comment ref="BH50" authorId="8">
      <text>
        <r>
          <rPr>
            <b/>
            <sz val="8"/>
            <color indexed="81"/>
            <rFont val="Tahoma"/>
            <family val="2"/>
          </rPr>
          <t>lr73192:</t>
        </r>
        <r>
          <rPr>
            <sz val="8"/>
            <color indexed="81"/>
            <rFont val="Tahoma"/>
            <family val="2"/>
          </rPr>
          <t xml:space="preserve">
5/26/10: excl M+O $1.906M</t>
        </r>
      </text>
    </comment>
    <comment ref="BL50" authorId="8">
      <text>
        <r>
          <rPr>
            <b/>
            <sz val="8"/>
            <color indexed="81"/>
            <rFont val="Tahoma"/>
            <family val="2"/>
          </rPr>
          <t>lr73192:</t>
        </r>
        <r>
          <rPr>
            <sz val="8"/>
            <color indexed="81"/>
            <rFont val="Tahoma"/>
            <family val="2"/>
          </rPr>
          <t xml:space="preserve">
5/26/10: Excl M+O $0.631</t>
        </r>
      </text>
    </comment>
    <comment ref="BP50" authorId="10">
      <text>
        <r>
          <rPr>
            <b/>
            <sz val="8"/>
            <color indexed="81"/>
            <rFont val="Tahoma"/>
            <family val="2"/>
          </rPr>
          <t xml:space="preserve">5/23/12: </t>
        </r>
        <r>
          <rPr>
            <sz val="8"/>
            <color indexed="81"/>
            <rFont val="Tahoma"/>
            <family val="2"/>
          </rPr>
          <t>excludes 77kids. GAAP was $34.880M at 5.7% of sales</t>
        </r>
        <r>
          <rPr>
            <b/>
            <sz val="8"/>
            <color indexed="81"/>
            <rFont val="Tahoma"/>
            <family val="2"/>
          </rPr>
          <t xml:space="preserve">
nicholjs:</t>
        </r>
        <r>
          <rPr>
            <sz val="8"/>
            <color indexed="81"/>
            <rFont val="Tahoma"/>
            <family val="2"/>
          </rPr>
          <t xml:space="preserve">
3/2011: expect about flat to LY</t>
        </r>
      </text>
    </comment>
    <comment ref="BT50" authorId="9">
      <text>
        <r>
          <rPr>
            <b/>
            <sz val="8"/>
            <color indexed="81"/>
            <rFont val="Tahoma"/>
            <family val="2"/>
          </rPr>
          <t xml:space="preserve">5/23/12: </t>
        </r>
        <r>
          <rPr>
            <sz val="8"/>
            <color indexed="81"/>
            <rFont val="Tahoma"/>
            <family val="2"/>
          </rPr>
          <t>leveraged 120bps. Decline related to maturing assets and store impairments. D&amp;A including 77kids was $32.798M</t>
        </r>
        <r>
          <rPr>
            <b/>
            <sz val="8"/>
            <color indexed="81"/>
            <rFont val="Tahoma"/>
            <family val="2"/>
          </rPr>
          <t xml:space="preserve">
P Kahng:</t>
        </r>
        <r>
          <rPr>
            <sz val="8"/>
            <color indexed="81"/>
            <rFont val="Tahoma"/>
            <family val="2"/>
          </rPr>
          <t xml:space="preserve">
5/1/12: Depr is down on $ basis due to impairments from 4Q. Should be down a few MM over last year</t>
        </r>
      </text>
    </comment>
    <comment ref="CG50" authorId="13">
      <text>
        <r>
          <rPr>
            <b/>
            <sz val="9"/>
            <color indexed="81"/>
            <rFont val="Tahoma"/>
            <family val="2"/>
          </rPr>
          <t xml:space="preserve">casselau:
5/20/15: </t>
        </r>
        <r>
          <rPr>
            <sz val="9"/>
            <color indexed="81"/>
            <rFont val="Tahoma"/>
            <family val="2"/>
          </rPr>
          <t xml:space="preserve">increase due to new fulfillment system and </t>
        </r>
      </text>
    </comment>
    <comment ref="X51" authorId="1">
      <text>
        <r>
          <rPr>
            <b/>
            <sz val="8"/>
            <color indexed="81"/>
            <rFont val="Tahoma"/>
            <family val="2"/>
          </rPr>
          <t>Debbie Ong:</t>
        </r>
        <r>
          <rPr>
            <sz val="8"/>
            <color indexed="81"/>
            <rFont val="Tahoma"/>
            <family val="2"/>
          </rPr>
          <t xml:space="preserve">
had 2.2% and $4.7 mm before 2Q rptd</t>
        </r>
      </text>
    </comment>
    <comment ref="AV51" authorId="17">
      <text>
        <r>
          <rPr>
            <b/>
            <sz val="8"/>
            <color indexed="81"/>
            <rFont val="Tahoma"/>
            <family val="2"/>
          </rPr>
          <t>mm98285:</t>
        </r>
        <r>
          <rPr>
            <sz val="8"/>
            <color indexed="81"/>
            <rFont val="Tahoma"/>
            <family val="2"/>
          </rPr>
          <t xml:space="preserve">
restated from 21.705</t>
        </r>
      </text>
    </comment>
    <comment ref="BH51" authorId="8">
      <text>
        <r>
          <rPr>
            <b/>
            <sz val="8"/>
            <color indexed="81"/>
            <rFont val="Tahoma"/>
            <family val="2"/>
          </rPr>
          <t>lr73192:</t>
        </r>
        <r>
          <rPr>
            <sz val="8"/>
            <color indexed="81"/>
            <rFont val="Tahoma"/>
            <family val="2"/>
          </rPr>
          <t xml:space="preserve">
5/26/10: Removed $1.91M for M+O</t>
        </r>
      </text>
    </comment>
    <comment ref="BL51" authorId="9">
      <text>
        <r>
          <rPr>
            <b/>
            <sz val="8"/>
            <color indexed="81"/>
            <rFont val="Tahoma"/>
            <family val="2"/>
          </rPr>
          <t>P Kahng:</t>
        </r>
        <r>
          <rPr>
            <sz val="8"/>
            <color indexed="81"/>
            <rFont val="Tahoma"/>
            <family val="2"/>
          </rPr>
          <t xml:space="preserve">
excludes 77kids D&amp;A </t>
        </r>
      </text>
    </comment>
    <comment ref="BP51" authorId="9">
      <text>
        <r>
          <rPr>
            <b/>
            <sz val="8"/>
            <color indexed="81"/>
            <rFont val="Tahoma"/>
            <family val="2"/>
          </rPr>
          <t>P Kahng:</t>
        </r>
        <r>
          <rPr>
            <sz val="8"/>
            <color indexed="81"/>
            <rFont val="Tahoma"/>
            <family val="2"/>
          </rPr>
          <t xml:space="preserve">
5/23/12: GAAP $35.7M</t>
        </r>
      </text>
    </comment>
    <comment ref="BT51" authorId="9">
      <text>
        <r>
          <rPr>
            <b/>
            <sz val="8"/>
            <color indexed="81"/>
            <rFont val="Tahoma"/>
            <family val="2"/>
          </rPr>
          <t xml:space="preserve">8/22/2012: </t>
        </r>
        <r>
          <rPr>
            <sz val="8"/>
            <color indexed="81"/>
            <rFont val="Tahoma"/>
            <family val="2"/>
          </rPr>
          <t>Adjusted for restructuring</t>
        </r>
        <r>
          <rPr>
            <b/>
            <sz val="8"/>
            <color indexed="81"/>
            <rFont val="Tahoma"/>
            <family val="2"/>
          </rPr>
          <t xml:space="preserve">
5/23/12 pk: </t>
        </r>
        <r>
          <rPr>
            <sz val="8"/>
            <color indexed="81"/>
            <rFont val="Tahoma"/>
            <family val="2"/>
          </rPr>
          <t>D&amp;A expected to decline in the MSD due to maturing assets and store impairments taken in 4Q11</t>
        </r>
        <r>
          <rPr>
            <b/>
            <sz val="8"/>
            <color indexed="81"/>
            <rFont val="Tahoma"/>
            <family val="2"/>
          </rPr>
          <t xml:space="preserve">
</t>
        </r>
        <r>
          <rPr>
            <b/>
            <sz val="8"/>
            <color indexed="81"/>
            <rFont val="Tahoma"/>
            <family val="2"/>
          </rPr>
          <t>5/1/12 pk:</t>
        </r>
        <r>
          <rPr>
            <sz val="8"/>
            <color indexed="81"/>
            <rFont val="Tahoma"/>
            <family val="2"/>
          </rPr>
          <t xml:space="preserve"> Depr is down on $ basis due to impairments from 4Q. Should be down a few MM over last year</t>
        </r>
      </text>
    </comment>
    <comment ref="CC51" authorId="13">
      <text>
        <r>
          <rPr>
            <b/>
            <sz val="9"/>
            <color indexed="81"/>
            <rFont val="Tahoma"/>
            <family val="2"/>
          </rPr>
          <t>casselau:</t>
        </r>
        <r>
          <rPr>
            <sz val="9"/>
            <color indexed="81"/>
            <rFont val="Tahoma"/>
            <family val="2"/>
          </rPr>
          <t xml:space="preserve">
8/20/14: driven by omni channel and technoolgy investments, new factory stores, and new DC</t>
        </r>
      </text>
    </comment>
    <comment ref="W52" authorId="21">
      <text>
        <r>
          <rPr>
            <sz val="8"/>
            <color indexed="81"/>
            <rFont val="Tahoma"/>
            <family val="2"/>
          </rPr>
          <t>had 5.3 b/f Q3 rptd.</t>
        </r>
      </text>
    </comment>
    <comment ref="AF52" authorId="15">
      <text>
        <r>
          <rPr>
            <sz val="8"/>
            <color indexed="81"/>
            <rFont val="Tahoma"/>
            <family val="2"/>
          </rPr>
          <t>7/10/02 prob s/b close to $14.0</t>
        </r>
      </text>
    </comment>
    <comment ref="AV52" authorId="6">
      <text>
        <r>
          <rPr>
            <b/>
            <sz val="8"/>
            <color indexed="81"/>
            <rFont val="Tahoma"/>
            <family val="2"/>
          </rPr>
          <t>OC48540:</t>
        </r>
        <r>
          <rPr>
            <sz val="8"/>
            <color indexed="81"/>
            <rFont val="Tahoma"/>
            <family val="2"/>
          </rPr>
          <t xml:space="preserve">
was 19.993 before restatement 3Q07</t>
        </r>
      </text>
    </comment>
    <comment ref="BA52" authorId="17">
      <text>
        <r>
          <rPr>
            <b/>
            <sz val="8"/>
            <color indexed="81"/>
            <rFont val="Tahoma"/>
            <family val="2"/>
          </rPr>
          <t>mm98285:</t>
        </r>
        <r>
          <rPr>
            <sz val="8"/>
            <color indexed="81"/>
            <rFont val="Tahoma"/>
            <family val="2"/>
          </rPr>
          <t xml:space="preserve">
12/07: increase due to incrse in prop &amp; eq. base driven by incrs'd capex</t>
        </r>
      </text>
    </comment>
    <comment ref="BH52" authorId="8">
      <text>
        <r>
          <rPr>
            <b/>
            <sz val="8"/>
            <color indexed="81"/>
            <rFont val="Tahoma"/>
            <family val="2"/>
          </rPr>
          <t>lr73192:</t>
        </r>
        <r>
          <rPr>
            <sz val="8"/>
            <color indexed="81"/>
            <rFont val="Tahoma"/>
            <family val="2"/>
          </rPr>
          <t xml:space="preserve">
5/26/10: Removed $1.904M for M+O</t>
        </r>
      </text>
    </comment>
    <comment ref="BL52" authorId="9">
      <text>
        <r>
          <rPr>
            <b/>
            <sz val="8"/>
            <color indexed="81"/>
            <rFont val="Tahoma"/>
            <family val="2"/>
          </rPr>
          <t>P Kahng:</t>
        </r>
        <r>
          <rPr>
            <sz val="8"/>
            <color indexed="81"/>
            <rFont val="Tahoma"/>
            <family val="2"/>
          </rPr>
          <t xml:space="preserve">
excludes 77kids D&amp;A</t>
        </r>
      </text>
    </comment>
    <comment ref="BP52" authorId="10">
      <text>
        <r>
          <rPr>
            <b/>
            <sz val="8"/>
            <color indexed="81"/>
            <rFont val="Tahoma"/>
            <family val="2"/>
          </rPr>
          <t>nicholjs:</t>
        </r>
        <r>
          <rPr>
            <sz val="8"/>
            <color indexed="81"/>
            <rFont val="Tahoma"/>
            <family val="2"/>
          </rPr>
          <t xml:space="preserve">
8/2011: 37 for now</t>
        </r>
      </text>
    </comment>
    <comment ref="BT52" authorId="9">
      <text>
        <r>
          <rPr>
            <b/>
            <sz val="8"/>
            <color indexed="81"/>
            <rFont val="Tahoma"/>
            <family val="2"/>
          </rPr>
          <t xml:space="preserve">11/28:  </t>
        </r>
        <r>
          <rPr>
            <sz val="8"/>
            <color indexed="81"/>
            <rFont val="Tahoma"/>
            <family val="2"/>
          </rPr>
          <t>leveraged 80 bps. The dollar decline relates primarily to maturing assets</t>
        </r>
        <r>
          <rPr>
            <b/>
            <sz val="8"/>
            <color indexed="81"/>
            <rFont val="Tahoma"/>
            <family val="2"/>
          </rPr>
          <t xml:space="preserve">
8/22/2012: </t>
        </r>
        <r>
          <rPr>
            <sz val="8"/>
            <color indexed="81"/>
            <rFont val="Tahoma"/>
            <family val="2"/>
          </rPr>
          <t>-$MSD in 2H due to maturing assets and store impairments taken in 4Q11</t>
        </r>
        <r>
          <rPr>
            <b/>
            <sz val="8"/>
            <color indexed="81"/>
            <rFont val="Tahoma"/>
            <family val="2"/>
          </rPr>
          <t xml:space="preserve">
P Kahng:</t>
        </r>
        <r>
          <rPr>
            <sz val="8"/>
            <color indexed="81"/>
            <rFont val="Tahoma"/>
            <family val="2"/>
          </rPr>
          <t xml:space="preserve">
5/1/12: Depr is down on $ basis due to impairments from 4Q. Should be down a few MM over last year</t>
        </r>
      </text>
    </comment>
    <comment ref="BZ52" authorId="13">
      <text>
        <r>
          <rPr>
            <b/>
            <sz val="8"/>
            <color indexed="81"/>
            <rFont val="Tahoma"/>
            <family val="2"/>
          </rPr>
          <t>casselau:</t>
        </r>
        <r>
          <rPr>
            <sz val="8"/>
            <color indexed="81"/>
            <rFont val="Tahoma"/>
            <family val="2"/>
          </rPr>
          <t xml:space="preserve">
12/6/13: the increase is primarily due to new stores and IT</t>
        </r>
      </text>
    </comment>
    <comment ref="CC52" authorId="13">
      <text>
        <r>
          <rPr>
            <b/>
            <sz val="9"/>
            <color indexed="81"/>
            <rFont val="Tahoma"/>
            <family val="2"/>
          </rPr>
          <t>casselau:</t>
        </r>
        <r>
          <rPr>
            <sz val="9"/>
            <color indexed="81"/>
            <rFont val="Tahoma"/>
            <family val="2"/>
          </rPr>
          <t xml:space="preserve">
12/4/14: driven by omni-channel and IT investments, new factory and intl stores and new fulfillment center</t>
        </r>
      </text>
    </comment>
    <comment ref="CN52" authorId="14">
      <text>
        <r>
          <rPr>
            <b/>
            <sz val="9"/>
            <color indexed="81"/>
            <rFont val="Tahoma"/>
            <family val="2"/>
          </rPr>
          <t>Cassel, Lauren (Research):</t>
        </r>
        <r>
          <rPr>
            <sz val="9"/>
            <color indexed="81"/>
            <rFont val="Tahoma"/>
            <family val="2"/>
          </rPr>
          <t xml:space="preserve">
$42M per Judy</t>
        </r>
      </text>
    </comment>
    <comment ref="W53" authorId="21">
      <text>
        <r>
          <rPr>
            <sz val="8"/>
            <color indexed="81"/>
            <rFont val="Tahoma"/>
            <family val="2"/>
          </rPr>
          <t>had 5.8 when rpt 3Q, but prob need to increase</t>
        </r>
      </text>
    </comment>
    <comment ref="AF53" authorId="15">
      <text>
        <r>
          <rPr>
            <sz val="8"/>
            <color indexed="81"/>
            <rFont val="Tahoma"/>
            <family val="2"/>
          </rPr>
          <t>7/10/02 prob s/b close to $14.5 or $15
11/02-slight under $14</t>
        </r>
      </text>
    </comment>
    <comment ref="BD53" authorId="18">
      <text>
        <r>
          <rPr>
            <b/>
            <sz val="8"/>
            <color indexed="81"/>
            <rFont val="Tahoma"/>
            <family val="2"/>
          </rPr>
          <t>oc48540:</t>
        </r>
        <r>
          <rPr>
            <sz val="8"/>
            <color indexed="81"/>
            <rFont val="Tahoma"/>
            <family val="2"/>
          </rPr>
          <t xml:space="preserve">
timing of new store openings</t>
        </r>
      </text>
    </comment>
    <comment ref="BH53" authorId="8">
      <text>
        <r>
          <rPr>
            <b/>
            <sz val="8"/>
            <color indexed="81"/>
            <rFont val="Tahoma"/>
            <family val="2"/>
          </rPr>
          <t>lr73192:</t>
        </r>
        <r>
          <rPr>
            <sz val="8"/>
            <color indexed="81"/>
            <rFont val="Tahoma"/>
            <family val="2"/>
          </rPr>
          <t xml:space="preserve">
5/26/10: Removed $1.928M for M+O</t>
        </r>
      </text>
    </comment>
    <comment ref="BL53" authorId="9">
      <text>
        <r>
          <rPr>
            <b/>
            <sz val="8"/>
            <color indexed="81"/>
            <rFont val="Tahoma"/>
            <family val="2"/>
          </rPr>
          <t>P Kahng:</t>
        </r>
        <r>
          <rPr>
            <sz val="8"/>
            <color indexed="81"/>
            <rFont val="Tahoma"/>
            <family val="2"/>
          </rPr>
          <t xml:space="preserve">
excludes 77kids D&amp;A</t>
        </r>
      </text>
    </comment>
    <comment ref="BP53" authorId="10">
      <text>
        <r>
          <rPr>
            <b/>
            <sz val="8"/>
            <color indexed="81"/>
            <rFont val="Tahoma"/>
            <family val="2"/>
          </rPr>
          <t>nicholjs:</t>
        </r>
        <r>
          <rPr>
            <sz val="8"/>
            <color indexed="81"/>
            <rFont val="Tahoma"/>
            <family val="2"/>
          </rPr>
          <t xml:space="preserve">
8/2011: 37 for now</t>
        </r>
      </text>
    </comment>
    <comment ref="BT53" authorId="9">
      <text>
        <r>
          <rPr>
            <b/>
            <sz val="8"/>
            <color indexed="81"/>
            <rFont val="Tahoma"/>
            <family val="2"/>
          </rPr>
          <t>8/22/2012:</t>
        </r>
        <r>
          <rPr>
            <sz val="8"/>
            <color indexed="81"/>
            <rFont val="Tahoma"/>
            <family val="2"/>
          </rPr>
          <t xml:space="preserve"> -$MSD in 2H due to maturing assets and store impairments taken in 4Q11</t>
        </r>
        <r>
          <rPr>
            <b/>
            <sz val="8"/>
            <color indexed="81"/>
            <rFont val="Tahoma"/>
            <family val="2"/>
          </rPr>
          <t xml:space="preserve">
P Kahng:</t>
        </r>
        <r>
          <rPr>
            <sz val="8"/>
            <color indexed="81"/>
            <rFont val="Tahoma"/>
            <family val="2"/>
          </rPr>
          <t xml:space="preserve">
5/1/12: Depr is down on $ basis due to impairments from 4Q. Should be down a few MM over last year</t>
        </r>
      </text>
    </comment>
    <comment ref="BZ53" authorId="13">
      <text>
        <r>
          <rPr>
            <b/>
            <sz val="8"/>
            <color indexed="81"/>
            <rFont val="Tahoma"/>
            <family val="2"/>
          </rPr>
          <t>casselau:</t>
        </r>
        <r>
          <rPr>
            <sz val="8"/>
            <color indexed="81"/>
            <rFont val="Tahoma"/>
            <family val="2"/>
          </rPr>
          <t xml:space="preserve">
12/6/13: expect +HSD%</t>
        </r>
      </text>
    </comment>
    <comment ref="CC53" authorId="13">
      <text>
        <r>
          <rPr>
            <b/>
            <sz val="9"/>
            <color indexed="81"/>
            <rFont val="Tahoma"/>
            <family val="2"/>
          </rPr>
          <t>casselau:</t>
        </r>
        <r>
          <rPr>
            <sz val="9"/>
            <color indexed="81"/>
            <rFont val="Tahoma"/>
            <family val="2"/>
          </rPr>
          <t xml:space="preserve">
3/3/15: deleveraged due to omnichannel and IT investments, new factory and
international stores, and the new fulfillment center</t>
        </r>
      </text>
    </comment>
    <comment ref="CN53" authorId="14">
      <text>
        <r>
          <rPr>
            <b/>
            <sz val="9"/>
            <color indexed="81"/>
            <rFont val="Tahoma"/>
            <family val="2"/>
          </rPr>
          <t>Cassel, Lauren (Research):</t>
        </r>
        <r>
          <rPr>
            <sz val="9"/>
            <color indexed="81"/>
            <rFont val="Tahoma"/>
            <family val="2"/>
          </rPr>
          <t xml:space="preserve">
$43M per Judy</t>
        </r>
      </text>
    </comment>
    <comment ref="AF54" authorId="2">
      <text>
        <r>
          <rPr>
            <b/>
            <sz val="8"/>
            <color indexed="81"/>
            <rFont val="Tahoma"/>
            <family val="2"/>
          </rPr>
          <t>dong2:</t>
        </r>
        <r>
          <rPr>
            <sz val="8"/>
            <color indexed="81"/>
            <rFont val="Tahoma"/>
            <family val="2"/>
          </rPr>
          <t xml:space="preserve">
s/b 54-55</t>
        </r>
      </text>
    </comment>
    <comment ref="BD54" authorId="18">
      <text>
        <r>
          <rPr>
            <b/>
            <sz val="8"/>
            <color indexed="81"/>
            <rFont val="Tahoma"/>
            <family val="2"/>
          </rPr>
          <t>oc48540:</t>
        </r>
        <r>
          <rPr>
            <sz val="8"/>
            <color indexed="81"/>
            <rFont val="Tahoma"/>
            <family val="2"/>
          </rPr>
          <t xml:space="preserve">
Depreciation and amortization expense increased 20% to $131.2 million from $109.2 million last year. This increase is primarily due to a greater property and equipment base driven by our level of capital expenditures. As a percent to net sales, depreciation and amortization expense increased to 4.4% from 3.6% due to the increased expense as well as the impact of the comparable store sales decline.</t>
        </r>
      </text>
    </comment>
    <comment ref="BH54" authorId="18">
      <text>
        <r>
          <rPr>
            <b/>
            <sz val="8"/>
            <color indexed="81"/>
            <rFont val="Tahoma"/>
            <family val="2"/>
          </rPr>
          <t>oc48540:</t>
        </r>
        <r>
          <rPr>
            <sz val="8"/>
            <color indexed="81"/>
            <rFont val="Tahoma"/>
            <family val="2"/>
          </rPr>
          <t xml:space="preserve">
3/08;
increase 5-10% vs. LY</t>
        </r>
      </text>
    </comment>
    <comment ref="BL54" authorId="8">
      <text>
        <r>
          <rPr>
            <b/>
            <sz val="8"/>
            <color indexed="81"/>
            <rFont val="Tahoma"/>
            <family val="2"/>
          </rPr>
          <t>lr73192:</t>
        </r>
        <r>
          <rPr>
            <sz val="8"/>
            <color indexed="81"/>
            <rFont val="Tahoma"/>
            <family val="2"/>
          </rPr>
          <t xml:space="preserve">
5/26/10: "~$148"</t>
        </r>
      </text>
    </comment>
    <comment ref="BP54" authorId="10">
      <text>
        <r>
          <rPr>
            <b/>
            <sz val="8"/>
            <color indexed="81"/>
            <rFont val="Tahoma"/>
            <family val="2"/>
          </rPr>
          <t>nicholjs:</t>
        </r>
        <r>
          <rPr>
            <sz val="8"/>
            <color indexed="81"/>
            <rFont val="Tahoma"/>
            <family val="2"/>
          </rPr>
          <t xml:space="preserve">
5/2011: expect +LSD growth
3/2011: expect +LSD growth</t>
        </r>
      </text>
    </comment>
    <comment ref="BX54" authorId="26">
      <text>
        <r>
          <rPr>
            <b/>
            <sz val="8"/>
            <color indexed="81"/>
            <rFont val="Tahoma"/>
            <family val="2"/>
          </rPr>
          <t>kimberlg:</t>
        </r>
        <r>
          <rPr>
            <sz val="8"/>
            <color indexed="81"/>
            <rFont val="Tahoma"/>
            <family val="2"/>
          </rPr>
          <t xml:space="preserve">
they are targeting $120M</t>
        </r>
      </text>
    </comment>
    <comment ref="BZ54" authorId="13">
      <text>
        <r>
          <rPr>
            <b/>
            <sz val="8"/>
            <color indexed="81"/>
            <rFont val="Tahoma"/>
            <family val="2"/>
          </rPr>
          <t>casselau:</t>
        </r>
        <r>
          <rPr>
            <sz val="8"/>
            <color indexed="81"/>
            <rFont val="Tahoma"/>
            <family val="2"/>
          </rPr>
          <t xml:space="preserve">
expect to decline in high teens</t>
        </r>
      </text>
    </comment>
    <comment ref="CB54" authorId="13">
      <text>
        <r>
          <rPr>
            <b/>
            <sz val="8"/>
            <color indexed="81"/>
            <rFont val="Tahoma"/>
            <family val="2"/>
          </rPr>
          <t>casselau:</t>
        </r>
        <r>
          <rPr>
            <sz val="8"/>
            <color indexed="81"/>
            <rFont val="Tahoma"/>
            <family val="2"/>
          </rPr>
          <t xml:space="preserve">
1/14/13: ICR xChange: $150M</t>
        </r>
      </text>
    </comment>
    <comment ref="CD54" authorId="13">
      <text>
        <r>
          <rPr>
            <b/>
            <sz val="8"/>
            <color indexed="81"/>
            <rFont val="Tahoma"/>
            <family val="2"/>
          </rPr>
          <t>casselau:</t>
        </r>
        <r>
          <rPr>
            <sz val="8"/>
            <color indexed="81"/>
            <rFont val="Tahoma"/>
            <family val="2"/>
          </rPr>
          <t xml:space="preserve">
12/6/13: expect +20%</t>
        </r>
      </text>
    </comment>
    <comment ref="CF54" authorId="13">
      <text>
        <r>
          <rPr>
            <b/>
            <sz val="9"/>
            <color indexed="81"/>
            <rFont val="Tahoma"/>
            <family val="2"/>
          </rPr>
          <t xml:space="preserve">casselau:
5/20/15: $150M 
</t>
        </r>
        <r>
          <rPr>
            <sz val="9"/>
            <color indexed="81"/>
            <rFont val="Tahoma"/>
            <family val="2"/>
          </rPr>
          <t>3/3/15: per Judy $156M
1/14/14: ICR xChange $160M</t>
        </r>
      </text>
    </comment>
    <comment ref="CJ54" authorId="13">
      <text>
        <r>
          <rPr>
            <b/>
            <sz val="9"/>
            <color indexed="81"/>
            <rFont val="Tahoma"/>
            <family val="2"/>
          </rPr>
          <t>casselau:</t>
        </r>
        <r>
          <rPr>
            <sz val="9"/>
            <color indexed="81"/>
            <rFont val="Tahoma"/>
            <family val="2"/>
          </rPr>
          <t xml:space="preserve">
3/2/16: $40M a quarter</t>
        </r>
      </text>
    </comment>
    <comment ref="CN54" authorId="14">
      <text>
        <r>
          <rPr>
            <b/>
            <sz val="9"/>
            <color indexed="81"/>
            <rFont val="Tahoma"/>
            <family val="2"/>
          </rPr>
          <t>Cassel, Lauren (Research):</t>
        </r>
        <r>
          <rPr>
            <sz val="9"/>
            <color indexed="81"/>
            <rFont val="Tahoma"/>
            <family val="2"/>
          </rPr>
          <t xml:space="preserve">
per Judy $167M for the year</t>
        </r>
      </text>
    </comment>
    <comment ref="CR54" authorId="14">
      <text>
        <r>
          <rPr>
            <b/>
            <sz val="9"/>
            <color indexed="81"/>
            <rFont val="Tahoma"/>
            <family val="2"/>
          </rPr>
          <t>Cassel, Lauren (Research):</t>
        </r>
        <r>
          <rPr>
            <sz val="9"/>
            <color indexed="81"/>
            <rFont val="Tahoma"/>
            <family val="2"/>
          </rPr>
          <t xml:space="preserve">
3/8/18: per Judy around  $175M</t>
        </r>
      </text>
    </comment>
    <comment ref="CM57" authorId="9">
      <text>
        <r>
          <rPr>
            <b/>
            <sz val="8"/>
            <color indexed="81"/>
            <rFont val="Tahoma"/>
            <family val="2"/>
          </rPr>
          <t>8/22/2012:</t>
        </r>
        <r>
          <rPr>
            <sz val="8"/>
            <color indexed="81"/>
            <rFont val="Tahoma"/>
            <family val="2"/>
          </rPr>
          <t xml:space="preserve"> -$MSD in 2H due to maturing assets and store impairments taken in 4Q11</t>
        </r>
        <r>
          <rPr>
            <b/>
            <sz val="8"/>
            <color indexed="81"/>
            <rFont val="Tahoma"/>
            <family val="2"/>
          </rPr>
          <t xml:space="preserve">
P Kahng:</t>
        </r>
        <r>
          <rPr>
            <sz val="8"/>
            <color indexed="81"/>
            <rFont val="Tahoma"/>
            <family val="2"/>
          </rPr>
          <t xml:space="preserve">
5/1/12: Depr is down on $ basis due to impairments from 4Q. Should be down a few MM over last year</t>
        </r>
      </text>
    </comment>
    <comment ref="AJ63" authorId="27">
      <text>
        <r>
          <rPr>
            <b/>
            <sz val="8"/>
            <color indexed="81"/>
            <rFont val="Tahoma"/>
            <family val="2"/>
          </rPr>
          <t>Morry Brown:</t>
        </r>
        <r>
          <rPr>
            <sz val="8"/>
            <color indexed="81"/>
            <rFont val="Tahoma"/>
            <family val="2"/>
          </rPr>
          <t xml:space="preserve">
6.118 Prior to bluenotes restatement</t>
        </r>
      </text>
    </comment>
    <comment ref="CO70" authorId="14">
      <text>
        <r>
          <rPr>
            <b/>
            <sz val="9"/>
            <color indexed="81"/>
            <rFont val="Tahoma"/>
            <family val="2"/>
          </rPr>
          <t>Cassel, Lauren (Research):</t>
        </r>
        <r>
          <rPr>
            <sz val="9"/>
            <color indexed="81"/>
            <rFont val="Tahoma"/>
            <family val="2"/>
          </rPr>
          <t xml:space="preserve">
3/1/17: guidance assume -150 bps EBIT decline</t>
        </r>
      </text>
    </comment>
    <comment ref="X71" authorId="1">
      <text>
        <r>
          <rPr>
            <b/>
            <sz val="8"/>
            <color indexed="81"/>
            <rFont val="Tahoma"/>
            <family val="2"/>
          </rPr>
          <t>Debbie Ong:</t>
        </r>
        <r>
          <rPr>
            <sz val="8"/>
            <color indexed="81"/>
            <rFont val="Tahoma"/>
            <family val="2"/>
          </rPr>
          <t xml:space="preserve">
had 0.9% and $2 mm b4 2Q rptd</t>
        </r>
      </text>
    </comment>
    <comment ref="BT72" authorId="9">
      <text>
        <r>
          <rPr>
            <b/>
            <sz val="8"/>
            <color indexed="81"/>
            <rFont val="Tahoma"/>
            <family val="2"/>
          </rPr>
          <t>P Kahng:</t>
        </r>
        <r>
          <rPr>
            <sz val="8"/>
            <color indexed="81"/>
            <rFont val="Tahoma"/>
            <family val="2"/>
          </rPr>
          <t xml:space="preserve">
Was 103.3</t>
        </r>
      </text>
    </comment>
    <comment ref="BT73" authorId="9">
      <text>
        <r>
          <rPr>
            <b/>
            <sz val="8"/>
            <color indexed="81"/>
            <rFont val="Tahoma"/>
            <family val="2"/>
          </rPr>
          <t>P Kahng:</t>
        </r>
        <r>
          <rPr>
            <sz val="8"/>
            <color indexed="81"/>
            <rFont val="Tahoma"/>
            <family val="2"/>
          </rPr>
          <t xml:space="preserve">
was 161.2</t>
        </r>
      </text>
    </comment>
    <comment ref="BT74" authorId="9">
      <text>
        <r>
          <rPr>
            <b/>
            <sz val="8"/>
            <color indexed="81"/>
            <rFont val="Tahoma"/>
            <family val="2"/>
          </rPr>
          <t>P Kahng:</t>
        </r>
        <r>
          <rPr>
            <sz val="8"/>
            <color indexed="81"/>
            <rFont val="Tahoma"/>
            <family val="2"/>
          </rPr>
          <t xml:space="preserve">
5/21/12: Was 349.5. Revising to $363.2 on 77kids disposal. +$6M in Q3 and Q4.</t>
        </r>
      </text>
    </comment>
    <comment ref="BY74" authorId="13">
      <text>
        <r>
          <rPr>
            <b/>
            <sz val="8"/>
            <color indexed="81"/>
            <rFont val="Tahoma"/>
            <family val="2"/>
          </rPr>
          <t>casselau:</t>
        </r>
        <r>
          <rPr>
            <sz val="8"/>
            <color indexed="81"/>
            <rFont val="Tahoma"/>
            <family val="2"/>
          </rPr>
          <t xml:space="preserve">
1/14/14: ICR xchange: -400 bps due to markdowns, -160 bps "other"</t>
        </r>
      </text>
    </comment>
    <comment ref="CS74" authorId="14">
      <text>
        <r>
          <rPr>
            <b/>
            <sz val="9"/>
            <color indexed="81"/>
            <rFont val="Tahoma"/>
            <family val="2"/>
          </rPr>
          <t>Cassel, Lauren (Research):</t>
        </r>
        <r>
          <rPr>
            <sz val="9"/>
            <color indexed="81"/>
            <rFont val="Tahoma"/>
            <family val="2"/>
          </rPr>
          <t xml:space="preserve">
3/8/18: per Bob: would expect margin expansion on +LSD comp increase??? But that hasn’t happened?</t>
        </r>
      </text>
    </comment>
    <comment ref="W80" authorId="21">
      <text>
        <r>
          <rPr>
            <sz val="8"/>
            <color indexed="81"/>
            <rFont val="Tahoma"/>
            <family val="2"/>
          </rPr>
          <t>est at $1.5m</t>
        </r>
      </text>
    </comment>
    <comment ref="BH80" authorId="22">
      <text>
        <r>
          <rPr>
            <b/>
            <sz val="8"/>
            <color indexed="81"/>
            <rFont val="Tahoma"/>
            <family val="2"/>
          </rPr>
          <t xml:space="preserve">lr73192:
</t>
        </r>
        <r>
          <rPr>
            <sz val="8"/>
            <color indexed="81"/>
            <rFont val="Tahoma"/>
            <family val="2"/>
          </rPr>
          <t>5/26/10: Excl M+O $0.003M</t>
        </r>
        <r>
          <rPr>
            <b/>
            <sz val="8"/>
            <color indexed="81"/>
            <rFont val="Tahoma"/>
            <family val="2"/>
          </rPr>
          <t xml:space="preserve">
ns66486:</t>
        </r>
        <r>
          <rPr>
            <sz val="8"/>
            <color indexed="81"/>
            <rFont val="Tahoma"/>
            <family val="2"/>
          </rPr>
          <t xml:space="preserve">
add back loss on investment securities, ~$0.01 in EPS</t>
        </r>
      </text>
    </comment>
    <comment ref="BL80" authorId="8">
      <text>
        <r>
          <rPr>
            <b/>
            <sz val="8"/>
            <color indexed="81"/>
            <rFont val="Tahoma"/>
            <family val="2"/>
          </rPr>
          <t>lr73192:</t>
        </r>
        <r>
          <rPr>
            <sz val="8"/>
            <color indexed="81"/>
            <rFont val="Tahoma"/>
            <family val="2"/>
          </rPr>
          <t xml:space="preserve">
5/26/10: Excl M+O $0.004M</t>
        </r>
      </text>
    </comment>
    <comment ref="BP80" authorId="10">
      <text>
        <r>
          <rPr>
            <b/>
            <sz val="8"/>
            <color indexed="81"/>
            <rFont val="Tahoma"/>
            <family val="2"/>
          </rPr>
          <t>nicholjs:</t>
        </r>
        <r>
          <rPr>
            <sz val="8"/>
            <color indexed="81"/>
            <rFont val="Tahoma"/>
            <family val="2"/>
          </rPr>
          <t xml:space="preserve">
includes a $0.01 per diluted share benefit related to auction rate security recoveries</t>
        </r>
      </text>
    </comment>
    <comment ref="BT80" authorId="9">
      <text>
        <r>
          <rPr>
            <b/>
            <sz val="8"/>
            <color indexed="81"/>
            <rFont val="Tahoma"/>
            <family val="2"/>
          </rPr>
          <t xml:space="preserve">5/23/12: </t>
        </r>
        <r>
          <rPr>
            <sz val="8"/>
            <color indexed="81"/>
            <rFont val="Tahoma"/>
            <family val="2"/>
          </rPr>
          <t xml:space="preserve">settlement recoveries of $3M related to auction rate securities. </t>
        </r>
      </text>
    </comment>
    <comment ref="CF80" authorId="13">
      <text>
        <r>
          <rPr>
            <b/>
            <sz val="9"/>
            <color indexed="81"/>
            <rFont val="Tahoma"/>
            <family val="2"/>
          </rPr>
          <t>casselau:</t>
        </r>
        <r>
          <rPr>
            <sz val="9"/>
            <color indexed="81"/>
            <rFont val="Tahoma"/>
            <family val="2"/>
          </rPr>
          <t xml:space="preserve">
5/20/15: 2c gain; primarily  comprised of currency gains related to cash held in canadian dollars</t>
        </r>
      </text>
    </comment>
    <comment ref="CJ80" authorId="14">
      <text>
        <r>
          <rPr>
            <b/>
            <sz val="9"/>
            <color indexed="81"/>
            <rFont val="Tahoma"/>
            <family val="2"/>
          </rPr>
          <t>Cassel, Lauren (Research):</t>
        </r>
        <r>
          <rPr>
            <sz val="9"/>
            <color indexed="81"/>
            <rFont val="Tahoma"/>
            <family val="2"/>
          </rPr>
          <t xml:space="preserve">
5/18/16: Other income was comprised of $5 million related to currency gains on cash held in Canadian dollars. This compares to other income of $6 million last year. </t>
        </r>
      </text>
    </comment>
    <comment ref="W81" authorId="1">
      <text>
        <r>
          <rPr>
            <b/>
            <sz val="8"/>
            <color indexed="81"/>
            <rFont val="Tahoma"/>
            <family val="2"/>
          </rPr>
          <t>Debbie Ong:</t>
        </r>
        <r>
          <rPr>
            <sz val="8"/>
            <color indexed="81"/>
            <rFont val="Tahoma"/>
            <family val="2"/>
          </rPr>
          <t xml:space="preserve">
had $1.2 mm income before 2Q rptd</t>
        </r>
      </text>
    </comment>
    <comment ref="BH81" authorId="18">
      <text>
        <r>
          <rPr>
            <b/>
            <sz val="8"/>
            <color indexed="81"/>
            <rFont val="Tahoma"/>
            <family val="2"/>
          </rPr>
          <t>oc48540:</t>
        </r>
        <r>
          <rPr>
            <sz val="8"/>
            <color indexed="81"/>
            <rFont val="Tahoma"/>
            <family val="2"/>
          </rPr>
          <t xml:space="preserve">
5/27/09:  ~500k a good place to be</t>
        </r>
      </text>
    </comment>
    <comment ref="CF81" authorId="13">
      <text>
        <r>
          <rPr>
            <b/>
            <sz val="9"/>
            <color indexed="81"/>
            <rFont val="Tahoma"/>
            <family val="2"/>
          </rPr>
          <t>casselau:</t>
        </r>
        <r>
          <rPr>
            <sz val="9"/>
            <color indexed="81"/>
            <rFont val="Tahoma"/>
            <family val="2"/>
          </rPr>
          <t xml:space="preserve">
8/19/15: primarily comprised of currency losses related to cash held in CAD</t>
        </r>
      </text>
    </comment>
    <comment ref="CJ81" authorId="14">
      <text>
        <r>
          <rPr>
            <b/>
            <sz val="9"/>
            <color indexed="81"/>
            <rFont val="Tahoma"/>
            <family val="2"/>
          </rPr>
          <t>Cassel, Lauren (Research):</t>
        </r>
        <r>
          <rPr>
            <sz val="9"/>
            <color indexed="81"/>
            <rFont val="Tahoma"/>
            <family val="2"/>
          </rPr>
          <t xml:space="preserve">
8/17/16: related to currency loss on cash held in Canadian dollars</t>
        </r>
      </text>
    </comment>
    <comment ref="CN81" authorId="14">
      <text>
        <r>
          <rPr>
            <b/>
            <sz val="9"/>
            <color indexed="81"/>
            <rFont val="Tahoma"/>
            <family val="2"/>
          </rPr>
          <t>Cassel, Lauren (Research):</t>
        </r>
        <r>
          <rPr>
            <sz val="9"/>
            <color indexed="81"/>
            <rFont val="Tahoma"/>
            <family val="2"/>
          </rPr>
          <t xml:space="preserve">
8/23/17: Excludes $9.311M pre-tax charges related to the planned exit of a joint business venture, recorded within Other (expense) income, net
</t>
        </r>
        <r>
          <rPr>
            <b/>
            <sz val="9"/>
            <color indexed="81"/>
            <rFont val="Tahoma"/>
            <family val="2"/>
          </rPr>
          <t xml:space="preserve">Other expense of $6.7 million includes $9.3 million of pre-tax charges related to the planned exit of a joint business venture. This was partially offset by $2.6 million of other income, compared to other expense of $3.1 million last year. </t>
        </r>
      </text>
    </comment>
    <comment ref="AB82" authorId="2">
      <text>
        <r>
          <rPr>
            <b/>
            <sz val="8"/>
            <color indexed="81"/>
            <rFont val="Tahoma"/>
            <family val="2"/>
          </rPr>
          <t>dong2:</t>
        </r>
        <r>
          <rPr>
            <sz val="8"/>
            <color indexed="81"/>
            <rFont val="Tahoma"/>
            <family val="2"/>
          </rPr>
          <t xml:space="preserve">
had 800K, increase to $1 mm after co. came in higher than expected in 2Q</t>
        </r>
      </text>
    </comment>
    <comment ref="BA82" authorId="17">
      <text>
        <r>
          <rPr>
            <b/>
            <sz val="8"/>
            <color indexed="81"/>
            <rFont val="Tahoma"/>
            <family val="2"/>
          </rPr>
          <t>mm98285:</t>
        </r>
        <r>
          <rPr>
            <sz val="8"/>
            <color indexed="81"/>
            <rFont val="Tahoma"/>
            <family val="2"/>
          </rPr>
          <t xml:space="preserve">
12/07: decrs'd primarily due to fx translation losses given stronger Canadian $ vs. U.S. $, &amp; lower investment base, and gift card program change in July '07</t>
        </r>
      </text>
    </comment>
    <comment ref="BH82" authorId="10">
      <text>
        <r>
          <rPr>
            <b/>
            <sz val="8"/>
            <color indexed="81"/>
            <rFont val="Tahoma"/>
            <family val="2"/>
          </rPr>
          <t>nicholjs:</t>
        </r>
        <r>
          <rPr>
            <sz val="8"/>
            <color indexed="81"/>
            <rFont val="Tahoma"/>
            <family val="2"/>
          </rPr>
          <t xml:space="preserve">
11/10: restated from .447</t>
        </r>
      </text>
    </comment>
    <comment ref="BT82" authorId="13">
      <text>
        <r>
          <rPr>
            <b/>
            <sz val="8"/>
            <color indexed="81"/>
            <rFont val="Tahoma"/>
            <family val="2"/>
          </rPr>
          <t>casselau:</t>
        </r>
        <r>
          <rPr>
            <sz val="8"/>
            <color indexed="81"/>
            <rFont val="Tahoma"/>
            <family val="2"/>
          </rPr>
          <t xml:space="preserve">
11/28: other income relates to a settlement recovery from auction rate securities that were previously held</t>
        </r>
      </text>
    </comment>
    <comment ref="CN82" authorId="20">
      <text>
        <r>
          <rPr>
            <b/>
            <sz val="9"/>
            <color indexed="81"/>
            <rFont val="Tahoma"/>
            <family val="2"/>
          </rPr>
          <t>Roberts, Cynthia (Research):</t>
        </r>
        <r>
          <rPr>
            <sz val="9"/>
            <color indexed="81"/>
            <rFont val="Tahoma"/>
            <family val="2"/>
          </rPr>
          <t xml:space="preserve">
12/6/17: Expense related to primary liquidation vendor experiencing cash flow issues who may be unable to pay receivable</t>
        </r>
      </text>
    </comment>
    <comment ref="AV83" authorId="17">
      <text>
        <r>
          <rPr>
            <b/>
            <sz val="8"/>
            <color indexed="81"/>
            <rFont val="Tahoma"/>
            <family val="2"/>
          </rPr>
          <t>mm98285:</t>
        </r>
        <r>
          <rPr>
            <sz val="8"/>
            <color indexed="81"/>
            <rFont val="Tahoma"/>
            <family val="2"/>
          </rPr>
          <t xml:space="preserve">
 The increase reflected a larger investment balance, as well as a higher yield vs. LY</t>
        </r>
      </text>
    </comment>
    <comment ref="BH83" authorId="8">
      <text>
        <r>
          <rPr>
            <b/>
            <sz val="8"/>
            <color indexed="81"/>
            <rFont val="Tahoma"/>
            <family val="2"/>
          </rPr>
          <t>lr73192:</t>
        </r>
        <r>
          <rPr>
            <sz val="8"/>
            <color indexed="81"/>
            <rFont val="Tahoma"/>
            <family val="2"/>
          </rPr>
          <t xml:space="preserve">
restated from ($19.6)
5/26/10: $17.992M Loss on impairment of assets from M+O added back to 2009 Operating Margin</t>
        </r>
      </text>
    </comment>
    <comment ref="BX83" authorId="13">
      <text>
        <r>
          <rPr>
            <b/>
            <sz val="9"/>
            <color indexed="81"/>
            <rFont val="Tahoma"/>
            <family val="2"/>
          </rPr>
          <t>casselau:</t>
        </r>
        <r>
          <rPr>
            <sz val="9"/>
            <color indexed="81"/>
            <rFont val="Tahoma"/>
            <family val="2"/>
          </rPr>
          <t xml:space="preserve">
3/11/14: A consultancy expense was being amortized and the $1.2M remaining balance was impaired and written off as we decided we were no longer deriving any benefit from the agreement</t>
        </r>
      </text>
    </comment>
    <comment ref="CN83" authorId="14">
      <text>
        <r>
          <rPr>
            <b/>
            <sz val="9"/>
            <color indexed="81"/>
            <rFont val="Tahoma"/>
            <family val="2"/>
          </rPr>
          <t>Cassel, Lauren (Research):</t>
        </r>
        <r>
          <rPr>
            <sz val="9"/>
            <color indexed="81"/>
            <rFont val="Tahoma"/>
            <family val="2"/>
          </rPr>
          <t xml:space="preserve">
3/8/18: excludes $1.347M of pre tax benefit related to the exit of a joint business venture</t>
        </r>
      </text>
    </comment>
    <comment ref="AV84" authorId="17">
      <text>
        <r>
          <rPr>
            <b/>
            <sz val="8"/>
            <color indexed="81"/>
            <rFont val="Tahoma"/>
            <family val="2"/>
          </rPr>
          <t>mm98285:</t>
        </r>
        <r>
          <rPr>
            <sz val="8"/>
            <color indexed="81"/>
            <rFont val="Tahoma"/>
            <family val="2"/>
          </rPr>
          <t xml:space="preserve">
10K: Other income, net increased to $42.3 million from $18.3 million due primarily to increased investment income resulting from higher cash and investmentbalances this year vs. LY, as well as improved investment returns. Beginning in 2Q06, recorded gift card service fee income in other income, net. These amounts were previously recorded as a reduction to SG&amp;A. For 2006, recorded gift card service fee income of $2.3mm. For 2005, reclassified gift card service fee income of $2.4 million from SG&amp;A to other income, net
</t>
        </r>
      </text>
    </comment>
    <comment ref="BD84" authorId="18">
      <text>
        <r>
          <rPr>
            <b/>
            <sz val="8"/>
            <color indexed="81"/>
            <rFont val="Tahoma"/>
            <family val="2"/>
          </rPr>
          <t>oc48540:</t>
        </r>
        <r>
          <rPr>
            <sz val="8"/>
            <color indexed="81"/>
            <rFont val="Tahoma"/>
            <family val="2"/>
          </rPr>
          <t xml:space="preserve">
Other income, net decreased to $17.8 million from $37.6 million, due primarily to interest income decreasing to $18.9 million from $39.3 million. This resulted from decreased interest rates and lower investment balances compared to last year. Additionally, interest expense relating to our borrowings increased. Partially offsetting this decrease was a net $1.1 million foreign currency transaction gain compared to a $1.2 million loss last year. This is the result of a stronger U.S. dollar.</t>
        </r>
      </text>
    </comment>
    <comment ref="X91" authorId="1">
      <text>
        <r>
          <rPr>
            <b/>
            <sz val="8"/>
            <color indexed="81"/>
            <rFont val="Tahoma"/>
            <family val="2"/>
          </rPr>
          <t>Debbie Ong:</t>
        </r>
        <r>
          <rPr>
            <sz val="8"/>
            <color indexed="81"/>
            <rFont val="Tahoma"/>
            <family val="2"/>
          </rPr>
          <t xml:space="preserve">
had 1.5% and $3.2 mm b4 2Q rptd</t>
        </r>
      </text>
    </comment>
    <comment ref="BT92" authorId="9">
      <text>
        <r>
          <rPr>
            <b/>
            <sz val="8"/>
            <color indexed="81"/>
            <rFont val="Tahoma"/>
            <family val="2"/>
          </rPr>
          <t>P Kahng:</t>
        </r>
        <r>
          <rPr>
            <sz val="8"/>
            <color indexed="81"/>
            <rFont val="Tahoma"/>
            <family val="2"/>
          </rPr>
          <t xml:space="preserve">
103.3</t>
        </r>
      </text>
    </comment>
    <comment ref="BT93" authorId="9">
      <text>
        <r>
          <rPr>
            <b/>
            <sz val="8"/>
            <color indexed="81"/>
            <rFont val="Tahoma"/>
            <family val="2"/>
          </rPr>
          <t>P Kahng:</t>
        </r>
        <r>
          <rPr>
            <sz val="8"/>
            <color indexed="81"/>
            <rFont val="Tahoma"/>
            <family val="2"/>
          </rPr>
          <t xml:space="preserve">
161.2
</t>
        </r>
      </text>
    </comment>
    <comment ref="X110" authorId="21">
      <text>
        <r>
          <rPr>
            <sz val="8"/>
            <color indexed="81"/>
            <rFont val="Tahoma"/>
            <family val="2"/>
          </rPr>
          <t>est at 39%</t>
        </r>
      </text>
    </comment>
    <comment ref="AW110" authorId="5">
      <text>
        <r>
          <rPr>
            <b/>
            <sz val="8"/>
            <color indexed="81"/>
            <rFont val="Tahoma"/>
            <family val="2"/>
          </rPr>
          <t>MB33100:</t>
        </r>
        <r>
          <rPr>
            <sz val="8"/>
            <color indexed="81"/>
            <rFont val="Tahoma"/>
            <family val="2"/>
          </rPr>
          <t xml:space="preserve">
2/06 guided to ~39% for 1Q</t>
        </r>
      </text>
    </comment>
    <comment ref="BH110" authorId="22">
      <text>
        <r>
          <rPr>
            <b/>
            <sz val="8"/>
            <color indexed="81"/>
            <rFont val="Tahoma"/>
            <family val="2"/>
          </rPr>
          <t xml:space="preserve">lr73192:
</t>
        </r>
        <r>
          <rPr>
            <sz val="8"/>
            <color indexed="81"/>
            <rFont val="Tahoma"/>
            <family val="2"/>
          </rPr>
          <t>5/26/10: Excl M+O (-$4.376)</t>
        </r>
        <r>
          <rPr>
            <b/>
            <sz val="8"/>
            <color indexed="81"/>
            <rFont val="Tahoma"/>
            <family val="2"/>
          </rPr>
          <t xml:space="preserve">
ns66486:</t>
        </r>
        <r>
          <rPr>
            <sz val="8"/>
            <color indexed="81"/>
            <rFont val="Tahoma"/>
            <family val="2"/>
          </rPr>
          <t xml:space="preserve">
excludes tax benefit of $0.04 and tax affected for investment securities</t>
        </r>
      </text>
    </comment>
    <comment ref="BL110" authorId="8">
      <text>
        <r>
          <rPr>
            <b/>
            <sz val="8"/>
            <color indexed="81"/>
            <rFont val="Tahoma"/>
            <family val="2"/>
          </rPr>
          <t>lr73192:</t>
        </r>
        <r>
          <rPr>
            <sz val="8"/>
            <color indexed="81"/>
            <rFont val="Tahoma"/>
            <family val="2"/>
          </rPr>
          <t xml:space="preserve">
5/26/10: Excl. M+O (-$15.525M) </t>
        </r>
      </text>
    </comment>
    <comment ref="BP110" authorId="9">
      <text>
        <r>
          <rPr>
            <b/>
            <sz val="8"/>
            <color indexed="81"/>
            <rFont val="Tahoma"/>
            <family val="2"/>
          </rPr>
          <t>P Kahng: 5/23/12: excludes 77kids. GAAP was $14.577M at 33.9% tax rate</t>
        </r>
        <r>
          <rPr>
            <sz val="8"/>
            <color indexed="81"/>
            <rFont val="Tahoma"/>
            <family val="2"/>
          </rPr>
          <t xml:space="preserve">
</t>
        </r>
      </text>
    </comment>
    <comment ref="BT110" authorId="9">
      <text>
        <r>
          <rPr>
            <b/>
            <sz val="8"/>
            <color indexed="81"/>
            <rFont val="Tahoma"/>
            <family val="2"/>
          </rPr>
          <t>P Kahng:</t>
        </r>
        <r>
          <rPr>
            <sz val="8"/>
            <color indexed="81"/>
            <rFont val="Tahoma"/>
            <family val="2"/>
          </rPr>
          <t xml:space="preserve">
5/23/12: excludes 77kids
GAAP taxes are $21.070. tax rate is 34.7%</t>
        </r>
      </text>
    </comment>
    <comment ref="BU110" authorId="11">
      <text>
        <r>
          <rPr>
            <b/>
            <sz val="8"/>
            <color indexed="81"/>
            <rFont val="Tahoma"/>
            <family val="2"/>
          </rPr>
          <t xml:space="preserve">3/7/12: </t>
        </r>
        <r>
          <rPr>
            <sz val="8"/>
            <color indexed="81"/>
            <rFont val="Tahoma"/>
            <family val="2"/>
          </rPr>
          <t>expect 2012 effective tax rate 38%</t>
        </r>
        <r>
          <rPr>
            <b/>
            <sz val="8"/>
            <color indexed="81"/>
            <rFont val="Tahoma"/>
            <family val="2"/>
          </rPr>
          <t xml:space="preserve">
prior: </t>
        </r>
        <r>
          <rPr>
            <sz val="8"/>
            <color indexed="81"/>
            <rFont val="Tahoma"/>
            <family val="2"/>
          </rPr>
          <t>38.5% est as per guidance</t>
        </r>
      </text>
    </comment>
    <comment ref="BY110" authorId="11">
      <text>
        <r>
          <rPr>
            <b/>
            <sz val="8"/>
            <color indexed="81"/>
            <rFont val="Tahoma"/>
            <family val="2"/>
          </rPr>
          <t xml:space="preserve">3/7/12: </t>
        </r>
        <r>
          <rPr>
            <sz val="8"/>
            <color indexed="81"/>
            <rFont val="Tahoma"/>
            <family val="2"/>
          </rPr>
          <t>expect 2012 effective tax rate 38%</t>
        </r>
        <r>
          <rPr>
            <b/>
            <sz val="8"/>
            <color indexed="81"/>
            <rFont val="Tahoma"/>
            <family val="2"/>
          </rPr>
          <t xml:space="preserve">
prior: </t>
        </r>
        <r>
          <rPr>
            <sz val="8"/>
            <color indexed="81"/>
            <rFont val="Tahoma"/>
            <family val="2"/>
          </rPr>
          <t>38.5% est as per guidance</t>
        </r>
      </text>
    </comment>
    <comment ref="CS110" authorId="14">
      <text>
        <r>
          <rPr>
            <b/>
            <sz val="9"/>
            <color indexed="81"/>
            <rFont val="Tahoma"/>
            <family val="2"/>
          </rPr>
          <t>Cassel, Lauren (Research):</t>
        </r>
        <r>
          <rPr>
            <sz val="9"/>
            <color indexed="81"/>
            <rFont val="Tahoma"/>
            <family val="2"/>
          </rPr>
          <t xml:space="preserve">
3/8/18: guidance mid-20s </t>
        </r>
      </text>
    </comment>
    <comment ref="X111" authorId="1">
      <text>
        <r>
          <rPr>
            <b/>
            <sz val="8"/>
            <color indexed="81"/>
            <rFont val="Tahoma"/>
            <family val="2"/>
          </rPr>
          <t>Debbie Ong:</t>
        </r>
        <r>
          <rPr>
            <sz val="8"/>
            <color indexed="81"/>
            <rFont val="Tahoma"/>
            <family val="2"/>
          </rPr>
          <t xml:space="preserve">
had 39.0% b4 2Q rptd 8/17</t>
        </r>
      </text>
    </comment>
    <comment ref="BA111" authorId="17">
      <text>
        <r>
          <rPr>
            <b/>
            <sz val="8"/>
            <color indexed="81"/>
            <rFont val="Tahoma"/>
            <family val="2"/>
          </rPr>
          <t>mm98285:</t>
        </r>
        <r>
          <rPr>
            <sz val="8"/>
            <color indexed="81"/>
            <rFont val="Tahoma"/>
            <family val="2"/>
          </rPr>
          <t xml:space="preserve">
5/07: expect 38%</t>
        </r>
      </text>
    </comment>
    <comment ref="BI111" authorId="18">
      <text>
        <r>
          <rPr>
            <b/>
            <sz val="8"/>
            <color indexed="81"/>
            <rFont val="Tahoma"/>
            <family val="2"/>
          </rPr>
          <t>oc48540:</t>
        </r>
        <r>
          <rPr>
            <sz val="8"/>
            <color indexed="81"/>
            <rFont val="Tahoma"/>
            <family val="2"/>
          </rPr>
          <t xml:space="preserve">
8/6/09:  now guiding to a 2c tax benefit = ~$4mm</t>
        </r>
      </text>
    </comment>
    <comment ref="BT111" authorId="29">
      <text>
        <r>
          <rPr>
            <b/>
            <sz val="8"/>
            <color indexed="81"/>
            <rFont val="Tahoma"/>
            <family val="2"/>
          </rPr>
          <t xml:space="preserve">8/22/2012: </t>
        </r>
        <r>
          <rPr>
            <sz val="8"/>
            <color indexed="81"/>
            <rFont val="Tahoma"/>
            <family val="2"/>
          </rPr>
          <t>Adjusted for restructuring (SG&amp;A/D&amp;A), $4.4M tax benefits from audits offset by $3.9M of pre-tax severance &amp; $1.2M of pre-tax impairment and asset write offs.</t>
        </r>
      </text>
    </comment>
    <comment ref="BU111" authorId="11">
      <text>
        <r>
          <rPr>
            <b/>
            <sz val="8"/>
            <color indexed="81"/>
            <rFont val="Tahoma"/>
            <family val="2"/>
          </rPr>
          <t xml:space="preserve">3/7/12: </t>
        </r>
        <r>
          <rPr>
            <sz val="8"/>
            <color indexed="81"/>
            <rFont val="Tahoma"/>
            <family val="2"/>
          </rPr>
          <t>expect 2012 effective tax rate 38%</t>
        </r>
        <r>
          <rPr>
            <b/>
            <sz val="8"/>
            <color indexed="81"/>
            <rFont val="Tahoma"/>
            <family val="2"/>
          </rPr>
          <t xml:space="preserve">
prior: </t>
        </r>
        <r>
          <rPr>
            <sz val="8"/>
            <color indexed="81"/>
            <rFont val="Tahoma"/>
            <family val="2"/>
          </rPr>
          <t>38.5% est as per guidance</t>
        </r>
      </text>
    </comment>
    <comment ref="CC111" authorId="13">
      <text>
        <r>
          <rPr>
            <b/>
            <sz val="8"/>
            <color indexed="81"/>
            <rFont val="Tahoma"/>
            <family val="2"/>
          </rPr>
          <t>casselau:</t>
        </r>
        <r>
          <rPr>
            <sz val="8"/>
            <color indexed="81"/>
            <rFont val="Tahoma"/>
            <family val="2"/>
          </rPr>
          <t xml:space="preserve">
same as 1Q</t>
        </r>
      </text>
    </comment>
    <comment ref="CG111" authorId="13">
      <text>
        <r>
          <rPr>
            <b/>
            <sz val="9"/>
            <color indexed="81"/>
            <rFont val="Tahoma"/>
            <family val="2"/>
          </rPr>
          <t>casselau:</t>
        </r>
        <r>
          <rPr>
            <sz val="9"/>
            <color indexed="81"/>
            <rFont val="Tahoma"/>
            <family val="2"/>
          </rPr>
          <t xml:space="preserve">
8/19/15: includes a $2.5M benefit, primarily due to an income tax settlement</t>
        </r>
      </text>
    </comment>
    <comment ref="CO111" authorId="14">
      <text>
        <r>
          <rPr>
            <b/>
            <sz val="9"/>
            <color indexed="81"/>
            <rFont val="Tahoma"/>
            <family val="2"/>
          </rPr>
          <t>Cassel, Lauren (Research):</t>
        </r>
        <r>
          <rPr>
            <sz val="9"/>
            <color indexed="81"/>
            <rFont val="Tahoma"/>
            <family val="2"/>
          </rPr>
          <t xml:space="preserve">
effective 34.7%</t>
        </r>
      </text>
    </comment>
    <comment ref="X112" authorId="21">
      <text>
        <r>
          <rPr>
            <sz val="8"/>
            <color indexed="81"/>
            <rFont val="Tahoma"/>
            <family val="2"/>
          </rPr>
          <t>modeled 39.0 b/f rptd</t>
        </r>
      </text>
    </comment>
    <comment ref="AC112" authorId="2">
      <text>
        <r>
          <rPr>
            <b/>
            <sz val="8"/>
            <color indexed="81"/>
            <rFont val="Tahoma"/>
            <family val="2"/>
          </rPr>
          <t>dong2:</t>
        </r>
        <r>
          <rPr>
            <sz val="8"/>
            <color indexed="81"/>
            <rFont val="Tahoma"/>
            <family val="2"/>
          </rPr>
          <t xml:space="preserve">
8/20: reduce to 38.0 from 38.5 based on guidance on 2Q01 conf. call</t>
        </r>
      </text>
    </comment>
    <comment ref="AK112" authorId="3">
      <text>
        <r>
          <rPr>
            <b/>
            <sz val="8"/>
            <color indexed="81"/>
            <rFont val="Tahoma"/>
            <family val="2"/>
          </rPr>
          <t>dliu:</t>
        </r>
        <r>
          <rPr>
            <sz val="8"/>
            <color indexed="81"/>
            <rFont val="Tahoma"/>
            <family val="2"/>
          </rPr>
          <t xml:space="preserve">
38.8% excluding the non-cash impairment chg</t>
        </r>
      </text>
    </comment>
    <comment ref="AS112" authorId="4">
      <text>
        <r>
          <rPr>
            <b/>
            <sz val="8"/>
            <color indexed="81"/>
            <rFont val="Tahoma"/>
            <family val="2"/>
          </rPr>
          <t>Corinna Freedman:</t>
        </r>
        <r>
          <rPr>
            <sz val="8"/>
            <color indexed="81"/>
            <rFont val="Tahoma"/>
            <family val="2"/>
          </rPr>
          <t xml:space="preserve">
lowered from 39% to 38%, new tax rate to be provided during 3Q conf call…</t>
        </r>
      </text>
    </comment>
    <comment ref="AW112" authorId="5">
      <text>
        <r>
          <rPr>
            <b/>
            <sz val="8"/>
            <color indexed="81"/>
            <rFont val="Tahoma"/>
            <family val="2"/>
          </rPr>
          <t>MB33100:</t>
        </r>
        <r>
          <rPr>
            <sz val="8"/>
            <color indexed="81"/>
            <rFont val="Tahoma"/>
            <family val="2"/>
          </rPr>
          <t xml:space="preserve">
8/15: guided 3Q tax rate to 38%</t>
        </r>
      </text>
    </comment>
    <comment ref="BA112" authorId="17">
      <text>
        <r>
          <rPr>
            <b/>
            <sz val="8"/>
            <color indexed="81"/>
            <rFont val="Tahoma"/>
            <family val="2"/>
          </rPr>
          <t>mm98285:</t>
        </r>
        <r>
          <rPr>
            <sz val="8"/>
            <color indexed="81"/>
            <rFont val="Tahoma"/>
            <family val="2"/>
          </rPr>
          <t xml:space="preserve">
12/07: decreased to 37% from 38% given recognition of benefit relating to utilization of a net operating loss carry forward in Canada</t>
        </r>
      </text>
    </comment>
    <comment ref="BE112" authorId="18">
      <text>
        <r>
          <rPr>
            <b/>
            <sz val="8"/>
            <color indexed="81"/>
            <rFont val="Tahoma"/>
            <family val="2"/>
          </rPr>
          <t xml:space="preserve">oc48540:
</t>
        </r>
        <r>
          <rPr>
            <sz val="8"/>
            <color indexed="81"/>
            <rFont val="Tahoma"/>
            <family val="2"/>
          </rPr>
          <t>8/26:</t>
        </r>
        <r>
          <rPr>
            <sz val="8"/>
            <color indexed="81"/>
            <rFont val="Tahoma"/>
            <family val="2"/>
          </rPr>
          <t xml:space="preserve">
Also, AEO is expecting a
~+38% effective tax rate in 3Q08.</t>
        </r>
      </text>
    </comment>
    <comment ref="BM112" authorId="10">
      <text>
        <r>
          <rPr>
            <b/>
            <sz val="8"/>
            <color indexed="81"/>
            <rFont val="Tahoma"/>
            <family val="2"/>
          </rPr>
          <t>nicholjs:</t>
        </r>
        <r>
          <rPr>
            <sz val="8"/>
            <color indexed="81"/>
            <rFont val="Tahoma"/>
            <family val="2"/>
          </rPr>
          <t xml:space="preserve">
8/2010: expects 38%</t>
        </r>
      </text>
    </comment>
    <comment ref="BQ112" authorId="10">
      <text>
        <r>
          <rPr>
            <b/>
            <sz val="8"/>
            <color indexed="81"/>
            <rFont val="Tahoma"/>
            <family val="2"/>
          </rPr>
          <t>nicholjs:</t>
        </r>
        <r>
          <rPr>
            <sz val="8"/>
            <color indexed="81"/>
            <rFont val="Tahoma"/>
            <family val="2"/>
          </rPr>
          <t xml:space="preserve">
8/2011: use 38.5%</t>
        </r>
      </text>
    </comment>
    <comment ref="BU112" authorId="11">
      <text>
        <r>
          <rPr>
            <b/>
            <sz val="8"/>
            <color indexed="81"/>
            <rFont val="Tahoma"/>
            <family val="2"/>
          </rPr>
          <t xml:space="preserve">8/22/2012: </t>
        </r>
        <r>
          <rPr>
            <sz val="8"/>
            <color indexed="81"/>
            <rFont val="Tahoma"/>
            <family val="2"/>
          </rPr>
          <t>37-38% 2H</t>
        </r>
        <r>
          <rPr>
            <b/>
            <sz val="8"/>
            <color indexed="81"/>
            <rFont val="Tahoma"/>
            <family val="2"/>
          </rPr>
          <t xml:space="preserve">
3/7/12: </t>
        </r>
        <r>
          <rPr>
            <sz val="8"/>
            <color indexed="81"/>
            <rFont val="Tahoma"/>
            <family val="2"/>
          </rPr>
          <t>expect 2012 effective tax rate 38%</t>
        </r>
        <r>
          <rPr>
            <b/>
            <sz val="8"/>
            <color indexed="81"/>
            <rFont val="Tahoma"/>
            <family val="2"/>
          </rPr>
          <t xml:space="preserve">
prior: </t>
        </r>
        <r>
          <rPr>
            <sz val="8"/>
            <color indexed="81"/>
            <rFont val="Tahoma"/>
            <family val="2"/>
          </rPr>
          <t>38.5% est as per guidance</t>
        </r>
      </text>
    </comment>
    <comment ref="CC112" authorId="13">
      <text>
        <r>
          <rPr>
            <b/>
            <sz val="9"/>
            <color indexed="81"/>
            <rFont val="Tahoma"/>
            <family val="2"/>
          </rPr>
          <t>casselau:</t>
        </r>
        <r>
          <rPr>
            <sz val="9"/>
            <color indexed="81"/>
            <rFont val="Tahoma"/>
            <family val="2"/>
          </rPr>
          <t xml:space="preserve">
GAAP basis 42.4%</t>
        </r>
      </text>
    </comment>
    <comment ref="AS113" authorId="4">
      <text>
        <r>
          <rPr>
            <b/>
            <sz val="8"/>
            <color indexed="81"/>
            <rFont val="Tahoma"/>
            <family val="2"/>
          </rPr>
          <t>Corinna Freedman:</t>
        </r>
        <r>
          <rPr>
            <sz val="8"/>
            <color indexed="81"/>
            <rFont val="Tahoma"/>
            <family val="2"/>
          </rPr>
          <t xml:space="preserve">
11/15 potential repatriation of past for earnings could result in tax rate slightly higher than 40%</t>
        </r>
      </text>
    </comment>
    <comment ref="AW113" authorId="5">
      <text>
        <r>
          <rPr>
            <b/>
            <sz val="8"/>
            <color indexed="81"/>
            <rFont val="Tahoma"/>
            <family val="2"/>
          </rPr>
          <t>MB33100:</t>
        </r>
        <r>
          <rPr>
            <sz val="8"/>
            <color indexed="81"/>
            <rFont val="Tahoma"/>
            <family val="2"/>
          </rPr>
          <t xml:space="preserve">
guided to 37.0%</t>
        </r>
      </text>
    </comment>
    <comment ref="BA113" authorId="6">
      <text>
        <r>
          <rPr>
            <b/>
            <sz val="8"/>
            <color indexed="81"/>
            <rFont val="Tahoma"/>
            <family val="2"/>
          </rPr>
          <t>OC48540:</t>
        </r>
        <r>
          <rPr>
            <sz val="8"/>
            <color indexed="81"/>
            <rFont val="Tahoma"/>
            <family val="2"/>
          </rPr>
          <t xml:space="preserve">
3/08: Guided to 36%</t>
        </r>
      </text>
    </comment>
    <comment ref="BH113" authorId="22">
      <text>
        <r>
          <rPr>
            <b/>
            <sz val="8"/>
            <color indexed="81"/>
            <rFont val="Tahoma"/>
            <family val="2"/>
          </rPr>
          <t>ns66486:</t>
        </r>
        <r>
          <rPr>
            <sz val="8"/>
            <color indexed="81"/>
            <rFont val="Tahoma"/>
            <family val="2"/>
          </rPr>
          <t xml:space="preserve">
restated from $56.4
excludes $0.05 effect of store impairments and other impairment charges at normalized tax rate</t>
        </r>
      </text>
    </comment>
    <comment ref="BP113" authorId="11">
      <text>
        <r>
          <rPr>
            <b/>
            <sz val="8"/>
            <color indexed="81"/>
            <rFont val="Tahoma"/>
            <family val="2"/>
          </rPr>
          <t>kahng:</t>
        </r>
        <r>
          <rPr>
            <sz val="8"/>
            <color indexed="81"/>
            <rFont val="Tahoma"/>
            <family val="2"/>
          </rPr>
          <t xml:space="preserve">
Adjusted for $20.730M in store impairment charges for aerie and $6M in executive transition costs at a 36% tax rate</t>
        </r>
      </text>
    </comment>
    <comment ref="BQ113" authorId="10">
      <text>
        <r>
          <rPr>
            <b/>
            <sz val="8"/>
            <color indexed="81"/>
            <rFont val="Tahoma"/>
            <family val="2"/>
          </rPr>
          <t>nicholjs:</t>
        </r>
        <r>
          <rPr>
            <sz val="8"/>
            <color indexed="81"/>
            <rFont val="Tahoma"/>
            <family val="2"/>
          </rPr>
          <t xml:space="preserve">
8/2011: use 38.5%</t>
        </r>
      </text>
    </comment>
    <comment ref="BU113" authorId="11">
      <text>
        <r>
          <rPr>
            <b/>
            <sz val="8"/>
            <color indexed="81"/>
            <rFont val="Tahoma"/>
            <family val="2"/>
          </rPr>
          <t>8/22/2012:</t>
        </r>
        <r>
          <rPr>
            <sz val="8"/>
            <color indexed="81"/>
            <rFont val="Tahoma"/>
            <family val="2"/>
          </rPr>
          <t xml:space="preserve"> 37-38% 2H</t>
        </r>
        <r>
          <rPr>
            <b/>
            <sz val="8"/>
            <color indexed="81"/>
            <rFont val="Tahoma"/>
            <family val="2"/>
          </rPr>
          <t xml:space="preserve">
3/7/12: </t>
        </r>
        <r>
          <rPr>
            <sz val="8"/>
            <color indexed="81"/>
            <rFont val="Tahoma"/>
            <family val="2"/>
          </rPr>
          <t>expect 2012 effective tax rate 38%</t>
        </r>
        <r>
          <rPr>
            <b/>
            <sz val="8"/>
            <color indexed="81"/>
            <rFont val="Tahoma"/>
            <family val="2"/>
          </rPr>
          <t xml:space="preserve">
prior: </t>
        </r>
        <r>
          <rPr>
            <sz val="8"/>
            <color indexed="81"/>
            <rFont val="Tahoma"/>
            <family val="2"/>
          </rPr>
          <t>38.5% est as per guidance</t>
        </r>
      </text>
    </comment>
    <comment ref="CG113" authorId="13">
      <text>
        <r>
          <rPr>
            <b/>
            <sz val="9"/>
            <color indexed="81"/>
            <rFont val="Tahoma"/>
            <family val="2"/>
          </rPr>
          <t>casselau:</t>
        </r>
        <r>
          <rPr>
            <sz val="9"/>
            <color indexed="81"/>
            <rFont val="Tahoma"/>
            <family val="2"/>
          </rPr>
          <t xml:space="preserve">
3/2/16: lower as the result of income tax settlements, higher federal tax credits, and tax strategies. (excluding the impact of these items would have resulted in a 35.1% tax rate)</t>
        </r>
      </text>
    </comment>
    <comment ref="CK113" authorId="14">
      <text>
        <r>
          <rPr>
            <b/>
            <sz val="9"/>
            <color indexed="81"/>
            <rFont val="Tahoma"/>
            <family val="2"/>
          </rPr>
          <t>Cassel, Lauren (Research):</t>
        </r>
        <r>
          <rPr>
            <sz val="9"/>
            <color indexed="81"/>
            <rFont val="Tahoma"/>
            <family val="2"/>
          </rPr>
          <t xml:space="preserve">
11/30/16: expect 35%</t>
        </r>
      </text>
    </comment>
    <comment ref="X114" authorId="21">
      <text>
        <r>
          <rPr>
            <sz val="8"/>
            <color indexed="81"/>
            <rFont val="Tahoma"/>
            <family val="2"/>
          </rPr>
          <t>doing tax rate restructuring so should be lower TY</t>
        </r>
      </text>
    </comment>
    <comment ref="BE114" authorId="6">
      <text>
        <r>
          <rPr>
            <sz val="8"/>
            <color indexed="81"/>
            <rFont val="Tahoma"/>
            <family val="2"/>
          </rPr>
          <t>The effective tax rate increased to approximately 40% from 37% last year. The increase in the effective tax rate is primarily related to the OTTI charges recorded in connection with the valuation of our investment securities in which no income tax benefit was recognized.
3/12/08: 1Q08: Expect tax rate to be ~38%.</t>
        </r>
      </text>
    </comment>
    <comment ref="BQ114" authorId="10">
      <text>
        <r>
          <rPr>
            <b/>
            <sz val="8"/>
            <color indexed="81"/>
            <rFont val="Tahoma"/>
            <family val="2"/>
          </rPr>
          <t>nicholjs:</t>
        </r>
        <r>
          <rPr>
            <sz val="8"/>
            <color indexed="81"/>
            <rFont val="Tahoma"/>
            <family val="2"/>
          </rPr>
          <t xml:space="preserve">
5/2011: expect 38%
3/2011: expect 38%</t>
        </r>
      </text>
    </comment>
    <comment ref="BU114" authorId="29">
      <text>
        <r>
          <rPr>
            <b/>
            <sz val="8"/>
            <color indexed="81"/>
            <rFont val="Tahoma"/>
            <family val="2"/>
          </rPr>
          <t xml:space="preserve">11/28: 37-28% guidance
8/22/2012: </t>
        </r>
        <r>
          <rPr>
            <sz val="8"/>
            <color indexed="81"/>
            <rFont val="Tahoma"/>
            <family val="2"/>
          </rPr>
          <t>Expect 37-38%</t>
        </r>
      </text>
    </comment>
    <comment ref="BY114" authorId="13">
      <text>
        <r>
          <rPr>
            <b/>
            <sz val="8"/>
            <color indexed="81"/>
            <rFont val="Tahoma"/>
            <family val="2"/>
          </rPr>
          <t>casselau:</t>
        </r>
        <r>
          <rPr>
            <sz val="8"/>
            <color indexed="81"/>
            <rFont val="Tahoma"/>
            <family val="2"/>
          </rPr>
          <t xml:space="preserve">
expect 38%</t>
        </r>
      </text>
    </comment>
    <comment ref="CC114" authorId="13">
      <text>
        <r>
          <rPr>
            <b/>
            <sz val="8"/>
            <color indexed="81"/>
            <rFont val="Tahoma"/>
            <family val="2"/>
          </rPr>
          <t xml:space="preserve">casselau:
</t>
        </r>
        <r>
          <rPr>
            <sz val="8"/>
            <color indexed="81"/>
            <rFont val="Tahoma"/>
            <family val="2"/>
          </rPr>
          <t xml:space="preserve">8/20/14: ~44%
low 40's for the year </t>
        </r>
      </text>
    </comment>
    <comment ref="CG114" authorId="13">
      <text>
        <r>
          <rPr>
            <b/>
            <sz val="9"/>
            <color indexed="81"/>
            <rFont val="Tahoma"/>
            <family val="2"/>
          </rPr>
          <t>casselau:
5/20/15: per Judy 39% for the year</t>
        </r>
        <r>
          <rPr>
            <sz val="9"/>
            <color indexed="81"/>
            <rFont val="Tahoma"/>
            <family val="2"/>
          </rPr>
          <t xml:space="preserve">
12/4/14: expect to get back to 40% tax rate
</t>
        </r>
      </text>
    </comment>
    <comment ref="CK114" authorId="13">
      <text>
        <r>
          <rPr>
            <b/>
            <sz val="9"/>
            <color indexed="81"/>
            <rFont val="Tahoma"/>
            <family val="2"/>
          </rPr>
          <t>casselau:</t>
        </r>
        <r>
          <rPr>
            <sz val="9"/>
            <color indexed="81"/>
            <rFont val="Tahoma"/>
            <family val="2"/>
          </rPr>
          <t xml:space="preserve">
3/2/16: expect 36-37% driven by tax blending strategies</t>
        </r>
      </text>
    </comment>
    <comment ref="CS114" authorId="14">
      <text>
        <r>
          <rPr>
            <b/>
            <sz val="9"/>
            <color indexed="81"/>
            <rFont val="Tahoma"/>
            <family val="2"/>
          </rPr>
          <t>Cassel, Lauren (Research):</t>
        </r>
        <r>
          <rPr>
            <sz val="9"/>
            <color indexed="81"/>
            <rFont val="Tahoma"/>
            <family val="2"/>
          </rPr>
          <t xml:space="preserve">
3/8/18: guidance mid-20s </t>
        </r>
      </text>
    </comment>
    <comment ref="W121" authorId="1">
      <text>
        <r>
          <rPr>
            <b/>
            <sz val="8"/>
            <color indexed="81"/>
            <rFont val="Tahoma"/>
            <family val="2"/>
          </rPr>
          <t>Debbie Ong:</t>
        </r>
        <r>
          <rPr>
            <sz val="8"/>
            <color indexed="81"/>
            <rFont val="Tahoma"/>
            <family val="2"/>
          </rPr>
          <t xml:space="preserve">
had $1.9 mm b4 2Q rptd 8/17</t>
        </r>
      </text>
    </comment>
    <comment ref="BH121" authorId="31">
      <text>
        <r>
          <rPr>
            <b/>
            <sz val="8"/>
            <color indexed="81"/>
            <rFont val="Tahoma"/>
            <family val="2"/>
          </rPr>
          <t>KG51925:</t>
        </r>
        <r>
          <rPr>
            <sz val="8"/>
            <color indexed="81"/>
            <rFont val="Tahoma"/>
            <family val="2"/>
          </rPr>
          <t xml:space="preserve">
LY as reported was $28.6M incl. M+O</t>
        </r>
      </text>
    </comment>
    <comment ref="BH122" authorId="31">
      <text>
        <r>
          <rPr>
            <b/>
            <sz val="8"/>
            <color indexed="81"/>
            <rFont val="Tahoma"/>
            <family val="2"/>
          </rPr>
          <t>KG51925:</t>
        </r>
        <r>
          <rPr>
            <sz val="8"/>
            <color indexed="81"/>
            <rFont val="Tahoma"/>
            <family val="2"/>
          </rPr>
          <t xml:space="preserve">
LY as reported incl M+O was 59.2M</t>
        </r>
      </text>
    </comment>
    <comment ref="BH123" authorId="31">
      <text>
        <r>
          <rPr>
            <b/>
            <sz val="8"/>
            <color indexed="81"/>
            <rFont val="Tahoma"/>
            <family val="2"/>
          </rPr>
          <t>KG51925:</t>
        </r>
        <r>
          <rPr>
            <sz val="8"/>
            <color indexed="81"/>
            <rFont val="Tahoma"/>
            <family val="2"/>
          </rPr>
          <t xml:space="preserve">
LY as reported was $70.3M incl M+O</t>
        </r>
      </text>
    </comment>
    <comment ref="BX123" authorId="13">
      <text>
        <r>
          <rPr>
            <sz val="9"/>
            <color indexed="81"/>
            <rFont val="Tahoma"/>
            <family val="2"/>
          </rPr>
          <t xml:space="preserve">Pre-tax charges include $24.1M of charges related to fabric and product liabilities and the discontinuation of the AE Performance line, $9.1M of corporate &amp; store asset write-offs, $3.3M of employee severance &amp; related costs and $1.3M for the write-down of the Company's corporate jet. </t>
        </r>
      </text>
    </comment>
    <comment ref="BT131" authorId="29">
      <text>
        <r>
          <rPr>
            <b/>
            <sz val="8"/>
            <color indexed="81"/>
            <rFont val="Tahoma"/>
            <family val="2"/>
          </rPr>
          <t xml:space="preserve">8/22/2012: </t>
        </r>
        <r>
          <rPr>
            <sz val="8"/>
            <color indexed="81"/>
            <rFont val="Tahoma"/>
            <family val="2"/>
          </rPr>
          <t>Loss from discontinued ops</t>
        </r>
      </text>
    </comment>
    <comment ref="BX132" authorId="13">
      <text>
        <r>
          <rPr>
            <b/>
            <sz val="9"/>
            <color indexed="81"/>
            <rFont val="Tahoma"/>
            <family val="2"/>
          </rPr>
          <t>casselau:</t>
        </r>
        <r>
          <rPr>
            <sz val="9"/>
            <color indexed="81"/>
            <rFont val="Tahoma"/>
            <family val="2"/>
          </rPr>
          <t xml:space="preserve">
Non-GAAP adjustments consist of $19.3 million of
asset imparments related to the Warrendale Distribution Center.</t>
        </r>
      </text>
    </comment>
    <comment ref="CB132" authorId="13">
      <text>
        <r>
          <rPr>
            <b/>
            <sz val="8"/>
            <color indexed="81"/>
            <rFont val="Tahoma"/>
            <family val="2"/>
          </rPr>
          <t>casselau:</t>
        </r>
        <r>
          <rPr>
            <sz val="8"/>
            <color indexed="81"/>
            <rFont val="Tahoma"/>
            <family val="2"/>
          </rPr>
          <t xml:space="preserve">
Non-GAAP adjustments this year consist of $33.5 million of corporate and store asset impairments and $17.7 million of
severance and related employee costs and corporate charges.</t>
        </r>
      </text>
    </comment>
    <comment ref="AJ133" authorId="27">
      <text>
        <r>
          <rPr>
            <b/>
            <sz val="8"/>
            <color indexed="81"/>
            <rFont val="Tahoma"/>
            <family val="2"/>
          </rPr>
          <t>Morry Brown:</t>
        </r>
        <r>
          <rPr>
            <sz val="8"/>
            <color indexed="81"/>
            <rFont val="Tahoma"/>
            <family val="2"/>
          </rPr>
          <t xml:space="preserve">
from blue notes</t>
        </r>
      </text>
    </comment>
    <comment ref="AN133" authorId="27">
      <text>
        <r>
          <rPr>
            <b/>
            <sz val="8"/>
            <color indexed="81"/>
            <rFont val="Tahoma"/>
            <family val="2"/>
          </rPr>
          <t>Morry Brown:</t>
        </r>
        <r>
          <rPr>
            <sz val="8"/>
            <color indexed="81"/>
            <rFont val="Tahoma"/>
            <family val="2"/>
          </rPr>
          <t xml:space="preserve">
discontinued ops from bluenotes</t>
        </r>
      </text>
    </comment>
    <comment ref="CN142" authorId="14">
      <text>
        <r>
          <rPr>
            <b/>
            <sz val="9"/>
            <color indexed="81"/>
            <rFont val="Tahoma"/>
            <family val="2"/>
          </rPr>
          <t>Cassel, Lauren (Research):</t>
        </r>
        <r>
          <rPr>
            <sz val="9"/>
            <color indexed="81"/>
            <rFont val="Tahoma"/>
            <family val="2"/>
          </rPr>
          <t xml:space="preserve">
8/23/17: expect 3Q/4Q net income to be roughly similar</t>
        </r>
      </text>
    </comment>
    <comment ref="CN143" authorId="14">
      <text>
        <r>
          <rPr>
            <b/>
            <sz val="9"/>
            <color indexed="81"/>
            <rFont val="Tahoma"/>
            <family val="2"/>
          </rPr>
          <t>Cassel, Lauren (Research):</t>
        </r>
        <r>
          <rPr>
            <sz val="9"/>
            <color indexed="81"/>
            <rFont val="Tahoma"/>
            <family val="2"/>
          </rPr>
          <t xml:space="preserve">
8/23/17: expect 3Q/4Q net income to be roughly similar</t>
        </r>
      </text>
    </comment>
    <comment ref="AV149" authorId="5">
      <text>
        <r>
          <rPr>
            <b/>
            <sz val="8"/>
            <color indexed="81"/>
            <rFont val="Tahoma"/>
            <family val="2"/>
          </rPr>
          <t>MB33100:</t>
        </r>
        <r>
          <rPr>
            <sz val="8"/>
            <color indexed="81"/>
            <rFont val="Tahoma"/>
            <family val="2"/>
          </rPr>
          <t xml:space="preserve">
5/06 raised guidance to 40-41c on Apr sales call
2/06 mgmt guided to 36-38c including options expense</t>
        </r>
      </text>
    </comment>
    <comment ref="AZ149" authorId="17">
      <text>
        <r>
          <rPr>
            <b/>
            <sz val="8"/>
            <color indexed="81"/>
            <rFont val="Tahoma"/>
            <family val="2"/>
          </rPr>
          <t>mm98285:</t>
        </r>
        <r>
          <rPr>
            <sz val="8"/>
            <color indexed="81"/>
            <rFont val="Tahoma"/>
            <family val="2"/>
          </rPr>
          <t xml:space="preserve">
5/07: reiterated 34-35c
4/07: guid to $0.34-$0.35
3/07: guid of $0.31-$0.33</t>
        </r>
      </text>
    </comment>
    <comment ref="BD149" authorId="6">
      <text>
        <r>
          <rPr>
            <b/>
            <sz val="8"/>
            <color indexed="81"/>
            <rFont val="Tahoma"/>
            <family val="2"/>
          </rPr>
          <t xml:space="preserve">OC48540:
</t>
        </r>
        <r>
          <rPr>
            <sz val="8"/>
            <color indexed="81"/>
            <rFont val="Tahoma"/>
            <family val="2"/>
          </rPr>
          <t>5/08: maintained 18-20c
4/08: guided to 18-20c</t>
        </r>
        <r>
          <rPr>
            <sz val="8"/>
            <color indexed="81"/>
            <rFont val="Tahoma"/>
            <family val="2"/>
          </rPr>
          <t xml:space="preserve">
3/08: reiterate 25-27c
2/08: guided to 25-27c</t>
        </r>
      </text>
    </comment>
    <comment ref="BH149" authorId="18">
      <text>
        <r>
          <rPr>
            <b/>
            <sz val="8"/>
            <color indexed="81"/>
            <rFont val="Tahoma"/>
            <family val="2"/>
          </rPr>
          <t>oc48540:</t>
        </r>
        <r>
          <rPr>
            <sz val="8"/>
            <color indexed="81"/>
            <rFont val="Tahoma"/>
            <family val="2"/>
          </rPr>
          <t xml:space="preserve">
4/09: Raised to 6-7c
3/08:
4-7c</t>
        </r>
      </text>
    </comment>
    <comment ref="BL149" authorId="32">
      <text>
        <r>
          <rPr>
            <b/>
            <sz val="8"/>
            <color indexed="81"/>
            <rFont val="Tahoma"/>
            <family val="2"/>
          </rPr>
          <t xml:space="preserve">5/23/12: </t>
        </r>
        <r>
          <rPr>
            <sz val="8"/>
            <color indexed="81"/>
            <rFont val="Tahoma"/>
            <family val="2"/>
          </rPr>
          <t>excludes 77kids. Prior adj EPS was 17c</t>
        </r>
        <r>
          <rPr>
            <b/>
            <sz val="8"/>
            <color indexed="81"/>
            <rFont val="Tahoma"/>
            <family val="2"/>
          </rPr>
          <t xml:space="preserve">
ti23070:</t>
        </r>
        <r>
          <rPr>
            <sz val="8"/>
            <color indexed="81"/>
            <rFont val="Tahoma"/>
            <family val="2"/>
          </rPr>
          <t xml:space="preserve">
4/10: $0.15-$0.17 excluding charges/loss related to M+O</t>
        </r>
      </text>
    </comment>
    <comment ref="BP149" authorId="10">
      <text>
        <r>
          <rPr>
            <b/>
            <sz val="8"/>
            <color indexed="81"/>
            <rFont val="Tahoma"/>
            <family val="2"/>
          </rPr>
          <t xml:space="preserve">5/23/12: </t>
        </r>
        <r>
          <rPr>
            <sz val="8"/>
            <color indexed="81"/>
            <rFont val="Tahoma"/>
            <family val="2"/>
          </rPr>
          <t>excludes 77kids. reported EPS was 14c</t>
        </r>
        <r>
          <rPr>
            <b/>
            <sz val="8"/>
            <color indexed="81"/>
            <rFont val="Tahoma"/>
            <family val="2"/>
          </rPr>
          <t xml:space="preserve">
nicholjs:</t>
        </r>
        <r>
          <rPr>
            <sz val="8"/>
            <color indexed="81"/>
            <rFont val="Tahoma"/>
            <family val="2"/>
          </rPr>
          <t xml:space="preserve">
3/2011: expect $0.13-0.17</t>
        </r>
      </text>
    </comment>
    <comment ref="BT149" authorId="11">
      <text>
        <r>
          <rPr>
            <b/>
            <sz val="8"/>
            <color indexed="81"/>
            <rFont val="Tahoma"/>
            <family val="2"/>
          </rPr>
          <t xml:space="preserve">5/1/12: </t>
        </r>
        <r>
          <rPr>
            <sz val="8"/>
            <color indexed="81"/>
            <rFont val="Tahoma"/>
            <family val="2"/>
          </rPr>
          <t>1Q guidance $0.18-$0.20</t>
        </r>
        <r>
          <rPr>
            <b/>
            <sz val="8"/>
            <color indexed="81"/>
            <rFont val="Tahoma"/>
            <family val="2"/>
          </rPr>
          <t xml:space="preserve">
3/7/12 4Q: </t>
        </r>
        <r>
          <rPr>
            <sz val="8"/>
            <color indexed="81"/>
            <rFont val="Tahoma"/>
            <family val="2"/>
          </rPr>
          <t>$0.08 - $0.10 assumes continued margin pressure from product costs, higher markdowns and potential for increased promotions</t>
        </r>
      </text>
    </comment>
    <comment ref="BX149" authorId="13">
      <text>
        <r>
          <rPr>
            <b/>
            <sz val="8"/>
            <color indexed="81"/>
            <rFont val="Tahoma"/>
            <family val="2"/>
          </rPr>
          <t>casselau:</t>
        </r>
        <r>
          <rPr>
            <sz val="8"/>
            <color indexed="81"/>
            <rFont val="Tahoma"/>
            <family val="2"/>
          </rPr>
          <t xml:space="preserve">
3/6/13: guidance $0.16-$0.19</t>
        </r>
      </text>
    </comment>
    <comment ref="CB149" authorId="13">
      <text>
        <r>
          <rPr>
            <b/>
            <sz val="8"/>
            <color indexed="81"/>
            <rFont val="Tahoma"/>
            <family val="2"/>
          </rPr>
          <t>casselau:</t>
        </r>
        <r>
          <rPr>
            <sz val="8"/>
            <color indexed="81"/>
            <rFont val="Tahoma"/>
            <family val="2"/>
          </rPr>
          <t xml:space="preserve">
3/11/13: guidance $0.00</t>
        </r>
      </text>
    </comment>
    <comment ref="CF149" authorId="13">
      <text>
        <r>
          <rPr>
            <b/>
            <sz val="9"/>
            <color indexed="81"/>
            <rFont val="Tahoma"/>
            <family val="2"/>
          </rPr>
          <t>casselau:</t>
        </r>
        <r>
          <rPr>
            <sz val="9"/>
            <color indexed="81"/>
            <rFont val="Tahoma"/>
            <family val="2"/>
          </rPr>
          <t xml:space="preserve">
3/3/15: guidance 9-12c (includes 2c negative impact from west port slowdown)</t>
        </r>
      </text>
    </comment>
    <comment ref="CJ149" authorId="13">
      <text>
        <r>
          <rPr>
            <b/>
            <sz val="9"/>
            <color indexed="81"/>
            <rFont val="Tahoma"/>
            <family val="2"/>
          </rPr>
          <t>casselau:</t>
        </r>
        <r>
          <rPr>
            <sz val="9"/>
            <color indexed="81"/>
            <rFont val="Tahoma"/>
            <family val="2"/>
          </rPr>
          <t xml:space="preserve">
3/2/16: guidance 17-19c</t>
        </r>
      </text>
    </comment>
    <comment ref="CN149" authorId="14">
      <text>
        <r>
          <rPr>
            <b/>
            <sz val="9"/>
            <color indexed="81"/>
            <rFont val="Tahoma"/>
            <family val="2"/>
          </rPr>
          <t>Cassel, Lauren (Research):
5/17/17: 14c ex. restructuring charges</t>
        </r>
        <r>
          <rPr>
            <sz val="9"/>
            <color indexed="81"/>
            <rFont val="Tahoma"/>
            <family val="2"/>
          </rPr>
          <t xml:space="preserve">
3/1/17: guidance 15-17c</t>
        </r>
      </text>
    </comment>
    <comment ref="CR149" authorId="14">
      <text>
        <r>
          <rPr>
            <b/>
            <sz val="9"/>
            <color indexed="81"/>
            <rFont val="Tahoma"/>
            <family val="2"/>
          </rPr>
          <t>Cassel, Lauren (Research):</t>
        </r>
        <r>
          <rPr>
            <sz val="9"/>
            <color indexed="81"/>
            <rFont val="Tahoma"/>
            <family val="2"/>
          </rPr>
          <t xml:space="preserve">
3/8/18: guidance 20-22c</t>
        </r>
      </text>
    </comment>
    <comment ref="AV150" authorId="5">
      <text>
        <r>
          <rPr>
            <b/>
            <sz val="8"/>
            <color indexed="81"/>
            <rFont val="Tahoma"/>
            <family val="2"/>
          </rPr>
          <t>MB33100:</t>
        </r>
        <r>
          <rPr>
            <sz val="8"/>
            <color indexed="81"/>
            <rFont val="Tahoma"/>
            <family val="2"/>
          </rPr>
          <t xml:space="preserve">
8/2: increased guidance to $0.45-$0.46
7/6/06: increased guidance to $0.41-$0.43
5/16/06: guided to $0.39-$0.41</t>
        </r>
      </text>
    </comment>
    <comment ref="AZ150" authorId="17">
      <text>
        <r>
          <rPr>
            <b/>
            <sz val="8"/>
            <color indexed="81"/>
            <rFont val="Tahoma"/>
            <family val="2"/>
          </rPr>
          <t>mm98285:</t>
        </r>
        <r>
          <rPr>
            <sz val="8"/>
            <color indexed="81"/>
            <rFont val="Tahoma"/>
            <family val="2"/>
          </rPr>
          <t xml:space="preserve">
8/07: reaffirm 35-36c
7/07: Updated to 35-36c 
5/07: guid to 34-36c</t>
        </r>
      </text>
    </comment>
    <comment ref="BD150" authorId="17">
      <text>
        <r>
          <rPr>
            <b/>
            <sz val="8"/>
            <color indexed="81"/>
            <rFont val="Tahoma"/>
            <family val="2"/>
          </rPr>
          <t xml:space="preserve">mm98285:
</t>
        </r>
        <r>
          <rPr>
            <sz val="8"/>
            <color indexed="81"/>
            <rFont val="Tahoma"/>
            <family val="2"/>
          </rPr>
          <t>7/8: Expect $0.28</t>
        </r>
        <r>
          <rPr>
            <b/>
            <sz val="8"/>
            <color indexed="81"/>
            <rFont val="Tahoma"/>
            <family val="2"/>
          </rPr>
          <t xml:space="preserve">
</t>
        </r>
        <r>
          <rPr>
            <sz val="8"/>
            <color indexed="81"/>
            <rFont val="Tahoma"/>
            <family val="2"/>
          </rPr>
          <t>6/5: Maintaining $0.28-$0.30</t>
        </r>
        <r>
          <rPr>
            <sz val="8"/>
            <color indexed="81"/>
            <rFont val="Tahoma"/>
            <family val="2"/>
          </rPr>
          <t xml:space="preserve">
5/08: EPS guidance of $0.28-$0.30 </t>
        </r>
      </text>
    </comment>
    <comment ref="BH150" authorId="18">
      <text>
        <r>
          <rPr>
            <b/>
            <sz val="8"/>
            <color indexed="81"/>
            <rFont val="Tahoma"/>
            <family val="2"/>
          </rPr>
          <t>oc48540:</t>
        </r>
        <r>
          <rPr>
            <sz val="8"/>
            <color indexed="81"/>
            <rFont val="Tahoma"/>
            <family val="2"/>
          </rPr>
          <t xml:space="preserve">
5/10: had rept'd 14c incl M+O or 18c excl M+O
8/09: raised to 16c (incl 2c tax benefit)
7/09: reit 12-15c
6/09: reit 12-15c
5/27: $0.12-$0.15</t>
        </r>
      </text>
    </comment>
    <comment ref="BL150" authorId="8">
      <text>
        <r>
          <rPr>
            <sz val="8"/>
            <color indexed="81"/>
            <rFont val="Tahoma"/>
            <family val="2"/>
          </rPr>
          <t xml:space="preserve">5/23/12: </t>
        </r>
        <r>
          <rPr>
            <sz val="8"/>
            <color indexed="81"/>
            <rFont val="Tahoma"/>
            <family val="2"/>
          </rPr>
          <t>excludes 77kids. Prior adj EPS was 13c</t>
        </r>
        <r>
          <rPr>
            <sz val="8"/>
            <color indexed="81"/>
            <rFont val="Tahoma"/>
            <family val="2"/>
          </rPr>
          <t xml:space="preserve">
8/10: expects $0.12-$0.13, consistent with previous guidance of low end of range
7/10: now expect low end of $0.12-$0.16
6/10: no update to 12-16c
5/10: Exp 12-16c</t>
        </r>
      </text>
    </comment>
    <comment ref="BP150" authorId="10">
      <text>
        <r>
          <rPr>
            <b/>
            <sz val="8"/>
            <color indexed="81"/>
            <rFont val="Tahoma"/>
            <family val="2"/>
          </rPr>
          <t xml:space="preserve">5/23/12: </t>
        </r>
        <r>
          <rPr>
            <sz val="8"/>
            <color indexed="81"/>
            <rFont val="Tahoma"/>
            <family val="2"/>
          </rPr>
          <t>excludes 77kids. Reported EPS 10c</t>
        </r>
        <r>
          <rPr>
            <b/>
            <sz val="8"/>
            <color indexed="81"/>
            <rFont val="Tahoma"/>
            <family val="2"/>
          </rPr>
          <t xml:space="preserve">
nicholjs:</t>
        </r>
        <r>
          <rPr>
            <sz val="8"/>
            <color indexed="81"/>
            <rFont val="Tahoma"/>
            <family val="2"/>
          </rPr>
          <t xml:space="preserve">
5/2011: expect $0.10-0.13</t>
        </r>
      </text>
    </comment>
    <comment ref="BT150" authorId="9">
      <text>
        <r>
          <rPr>
            <b/>
            <sz val="8"/>
            <color indexed="81"/>
            <rFont val="Tahoma"/>
            <family val="2"/>
          </rPr>
          <t xml:space="preserve">8/1/12 pk: </t>
        </r>
        <r>
          <rPr>
            <sz val="8"/>
            <color indexed="81"/>
            <rFont val="Tahoma"/>
            <family val="2"/>
          </rPr>
          <t>was 14c. Guidance raised to 19-21c</t>
        </r>
        <r>
          <rPr>
            <b/>
            <sz val="8"/>
            <color indexed="81"/>
            <rFont val="Tahoma"/>
            <family val="2"/>
          </rPr>
          <t xml:space="preserve">
5/23/12 pk: </t>
        </r>
        <r>
          <rPr>
            <sz val="8"/>
            <color indexed="81"/>
            <rFont val="Tahoma"/>
            <family val="2"/>
          </rPr>
          <t>expect 2Q $0.13 - $0.15</t>
        </r>
        <r>
          <rPr>
            <b/>
            <sz val="8"/>
            <color indexed="81"/>
            <rFont val="Tahoma"/>
            <family val="2"/>
          </rPr>
          <t xml:space="preserve">
</t>
        </r>
        <r>
          <rPr>
            <b/>
            <sz val="8"/>
            <color indexed="81"/>
            <rFont val="Tahoma"/>
            <family val="2"/>
          </rPr>
          <t>5/1/12 pk:</t>
        </r>
        <r>
          <rPr>
            <sz val="8"/>
            <color indexed="81"/>
            <rFont val="Tahoma"/>
            <family val="2"/>
          </rPr>
          <t xml:space="preserve"> was at 10c</t>
        </r>
      </text>
    </comment>
    <comment ref="BX150" authorId="13">
      <text>
        <r>
          <rPr>
            <b/>
            <sz val="8"/>
            <color indexed="81"/>
            <rFont val="Tahoma"/>
            <family val="2"/>
          </rPr>
          <t>casselau:
8/5/13: preannounce ~$0.10</t>
        </r>
        <r>
          <rPr>
            <sz val="8"/>
            <color indexed="81"/>
            <rFont val="Tahoma"/>
            <family val="2"/>
          </rPr>
          <t xml:space="preserve">
5/22/13: guidance $0.19-$0.21</t>
        </r>
      </text>
    </comment>
    <comment ref="CB150" authorId="13">
      <text>
        <r>
          <rPr>
            <b/>
            <sz val="9"/>
            <color indexed="81"/>
            <rFont val="Tahoma"/>
            <family val="2"/>
          </rPr>
          <t>casselau:</t>
        </r>
        <r>
          <rPr>
            <sz val="9"/>
            <color indexed="81"/>
            <rFont val="Tahoma"/>
            <family val="2"/>
          </rPr>
          <t xml:space="preserve">
5/21/14: guidance $0.00</t>
        </r>
      </text>
    </comment>
    <comment ref="CF150" authorId="13">
      <text>
        <r>
          <rPr>
            <b/>
            <sz val="9"/>
            <color indexed="81"/>
            <rFont val="Tahoma"/>
            <family val="2"/>
          </rPr>
          <t>casselau:</t>
        </r>
        <r>
          <rPr>
            <sz val="9"/>
            <color indexed="81"/>
            <rFont val="Tahoma"/>
            <family val="2"/>
          </rPr>
          <t xml:space="preserve">
5/20/15: guidance 11-14c </t>
        </r>
      </text>
    </comment>
    <comment ref="CJ150" authorId="14">
      <text>
        <r>
          <rPr>
            <b/>
            <sz val="9"/>
            <color indexed="81"/>
            <rFont val="Tahoma"/>
            <family val="2"/>
          </rPr>
          <t>Cassel, Lauren (Research):</t>
        </r>
        <r>
          <rPr>
            <sz val="9"/>
            <color indexed="81"/>
            <rFont val="Tahoma"/>
            <family val="2"/>
          </rPr>
          <t xml:space="preserve">
5/18/16: guidance 20-21c</t>
        </r>
      </text>
    </comment>
    <comment ref="CN150" authorId="14">
      <text>
        <r>
          <rPr>
            <b/>
            <sz val="9"/>
            <color indexed="81"/>
            <rFont val="Tahoma"/>
            <family val="2"/>
          </rPr>
          <t>Cassel, Lauren (Research):
8/23/17: GAAP 12c</t>
        </r>
        <r>
          <rPr>
            <sz val="9"/>
            <color indexed="81"/>
            <rFont val="Tahoma"/>
            <family val="2"/>
          </rPr>
          <t xml:space="preserve">
5/17/17: guidance 15-17c</t>
        </r>
      </text>
    </comment>
    <comment ref="AV151" authorId="5">
      <text>
        <r>
          <rPr>
            <b/>
            <sz val="8"/>
            <color indexed="81"/>
            <rFont val="Tahoma"/>
            <family val="2"/>
          </rPr>
          <t>MB33100:</t>
        </r>
        <r>
          <rPr>
            <sz val="8"/>
            <color indexed="81"/>
            <rFont val="Tahoma"/>
            <family val="2"/>
          </rPr>
          <t xml:space="preserve">
11/1: raised guidance to $0.64-$0.65
10/3: raised guidance to $0.61-$0.63
8/30: upped guidance to 56-58c
2Q Call: provided guidance of 52-54c.</t>
        </r>
      </text>
    </comment>
    <comment ref="AZ151" authorId="17">
      <text>
        <r>
          <rPr>
            <b/>
            <sz val="8"/>
            <color indexed="81"/>
            <rFont val="Tahoma"/>
            <family val="2"/>
          </rPr>
          <t>mm98285:</t>
        </r>
        <r>
          <rPr>
            <sz val="8"/>
            <color indexed="81"/>
            <rFont val="Tahoma"/>
            <family val="2"/>
          </rPr>
          <t xml:space="preserve">
10/07: guided to $0.44-$0.45
8/07: guided to $0.47-$0.48</t>
        </r>
      </text>
    </comment>
    <comment ref="BD151" authorId="18">
      <text>
        <r>
          <rPr>
            <b/>
            <sz val="8"/>
            <color indexed="81"/>
            <rFont val="Tahoma"/>
            <family val="2"/>
          </rPr>
          <t>oc48540:</t>
        </r>
        <r>
          <rPr>
            <sz val="8"/>
            <color indexed="81"/>
            <rFont val="Tahoma"/>
            <family val="2"/>
          </rPr>
          <t xml:space="preserve">
11/08:Now expects $0.30
10/08: $0.31-$0.34
9/4/08:$0.031-$0.36
8/26:
$0.31-$0.36</t>
        </r>
      </text>
    </comment>
    <comment ref="BH151" authorId="19">
      <text>
        <r>
          <rPr>
            <b/>
            <sz val="8"/>
            <color indexed="81"/>
            <rFont val="Tahoma"/>
            <family val="2"/>
          </rPr>
          <t>TI23070:</t>
        </r>
        <r>
          <rPr>
            <sz val="8"/>
            <color indexed="81"/>
            <rFont val="Tahoma"/>
            <family val="2"/>
          </rPr>
          <t xml:space="preserve">
5/10: had reported 28c incl M+O or 32c excl M+O
11/09: raised to 27-28c (incl 7c repatriation tax)
10/09: Raised to 24-26c
9/09: reit 22-25c (including a tax benefit of ~5c associated with repartriation of Canada earnings)
8/09: 22-25c</t>
        </r>
      </text>
    </comment>
    <comment ref="BL151" authorId="10">
      <text>
        <r>
          <rPr>
            <sz val="8"/>
            <color indexed="81"/>
            <rFont val="Tahoma"/>
            <family val="2"/>
          </rPr>
          <t>5/23/12: excludes 77kids. Prior adj EPS was 29c</t>
        </r>
        <r>
          <rPr>
            <b/>
            <sz val="8"/>
            <color indexed="81"/>
            <rFont val="Tahoma"/>
            <family val="2"/>
          </rPr>
          <t xml:space="preserve">
nicholjs:</t>
        </r>
        <r>
          <rPr>
            <sz val="8"/>
            <color indexed="81"/>
            <rFont val="Tahoma"/>
            <family val="2"/>
          </rPr>
          <t xml:space="preserve">
adjusted income excludes a realized loss from the sale of investment securities of $0.12
11/10: raised to $0.28-0.29
10/10: raised to 27-28c
8/2010: expects $0.23-$0.26</t>
        </r>
      </text>
    </comment>
    <comment ref="BP151" authorId="10">
      <text>
        <r>
          <rPr>
            <b/>
            <sz val="8"/>
            <color indexed="81"/>
            <rFont val="Tahoma"/>
            <family val="2"/>
          </rPr>
          <t xml:space="preserve">5/23/12: </t>
        </r>
        <r>
          <rPr>
            <sz val="8"/>
            <color indexed="81"/>
            <rFont val="Tahoma"/>
            <family val="2"/>
          </rPr>
          <t>excludes 77kids. Reported EPS 27c</t>
        </r>
        <r>
          <rPr>
            <b/>
            <sz val="8"/>
            <color indexed="81"/>
            <rFont val="Tahoma"/>
            <family val="2"/>
          </rPr>
          <t xml:space="preserve">
nicholjs:</t>
        </r>
        <r>
          <rPr>
            <sz val="8"/>
            <color indexed="81"/>
            <rFont val="Tahoma"/>
            <family val="2"/>
          </rPr>
          <t xml:space="preserve">
8/2011: $0.22-0.27
11/2011: $0.26-0.27</t>
        </r>
      </text>
    </comment>
    <comment ref="BT151" authorId="9">
      <text>
        <r>
          <rPr>
            <b/>
            <sz val="8"/>
            <color indexed="81"/>
            <rFont val="Tahoma"/>
            <family val="2"/>
          </rPr>
          <t xml:space="preserve">8/22/2012: </t>
        </r>
        <r>
          <rPr>
            <sz val="8"/>
            <color indexed="81"/>
            <rFont val="Tahoma"/>
            <family val="2"/>
          </rPr>
          <t>37-38c</t>
        </r>
      </text>
    </comment>
    <comment ref="BX151" authorId="13">
      <text>
        <r>
          <rPr>
            <b/>
            <sz val="8"/>
            <color indexed="81"/>
            <rFont val="Tahoma"/>
            <family val="2"/>
          </rPr>
          <t xml:space="preserve">11/6/13: </t>
        </r>
        <r>
          <rPr>
            <sz val="8"/>
            <color indexed="81"/>
            <rFont val="Tahoma"/>
            <family val="2"/>
          </rPr>
          <t>preannounce: $0.19, ex. 6c of asset impairment charges</t>
        </r>
        <r>
          <rPr>
            <b/>
            <sz val="8"/>
            <color indexed="81"/>
            <rFont val="Tahoma"/>
            <family val="2"/>
          </rPr>
          <t xml:space="preserve">
casselau:</t>
        </r>
        <r>
          <rPr>
            <sz val="8"/>
            <color indexed="81"/>
            <rFont val="Tahoma"/>
            <family val="2"/>
          </rPr>
          <t xml:space="preserve">
8/21/13: guidance $0.14-$0.16</t>
        </r>
      </text>
    </comment>
    <comment ref="CB151" authorId="13">
      <text>
        <r>
          <rPr>
            <b/>
            <sz val="9"/>
            <color indexed="81"/>
            <rFont val="Tahoma"/>
            <family val="2"/>
          </rPr>
          <t>casselau:</t>
        </r>
        <r>
          <rPr>
            <sz val="9"/>
            <color indexed="81"/>
            <rFont val="Tahoma"/>
            <family val="2"/>
          </rPr>
          <t xml:space="preserve">
</t>
        </r>
        <r>
          <rPr>
            <b/>
            <sz val="9"/>
            <color indexed="81"/>
            <rFont val="Tahoma"/>
            <family val="2"/>
          </rPr>
          <t xml:space="preserve">11/12/14: </t>
        </r>
        <r>
          <rPr>
            <sz val="9"/>
            <color indexed="81"/>
            <rFont val="Tahoma"/>
            <family val="2"/>
          </rPr>
          <t xml:space="preserve">preannounced adjusted EPS of 22c; GAAP EPS 5c (17c of restructuring and asset impairment charges)
</t>
        </r>
        <r>
          <rPr>
            <b/>
            <sz val="9"/>
            <color indexed="81"/>
            <rFont val="Tahoma"/>
            <family val="2"/>
          </rPr>
          <t xml:space="preserve">8/20/14: </t>
        </r>
        <r>
          <rPr>
            <sz val="9"/>
            <color indexed="81"/>
            <rFont val="Tahoma"/>
            <family val="2"/>
          </rPr>
          <t>guidance $0.17-$0.19</t>
        </r>
      </text>
    </comment>
    <comment ref="CF151" authorId="13">
      <text>
        <r>
          <rPr>
            <b/>
            <sz val="9"/>
            <color indexed="81"/>
            <rFont val="Tahoma"/>
            <family val="2"/>
          </rPr>
          <t>casselau:
11/3/15: preannounced 34c</t>
        </r>
        <r>
          <rPr>
            <sz val="9"/>
            <color indexed="81"/>
            <rFont val="Tahoma"/>
            <family val="2"/>
          </rPr>
          <t xml:space="preserve">
8/9/15: guidance 28-31c</t>
        </r>
      </text>
    </comment>
    <comment ref="CJ151" authorId="14">
      <text>
        <r>
          <rPr>
            <b/>
            <sz val="9"/>
            <color indexed="81"/>
            <rFont val="Tahoma"/>
            <family val="2"/>
          </rPr>
          <t>Cassel, Lauren (Research):</t>
        </r>
        <r>
          <rPr>
            <sz val="9"/>
            <color indexed="81"/>
            <rFont val="Tahoma"/>
            <family val="2"/>
          </rPr>
          <t xml:space="preserve">
</t>
        </r>
        <r>
          <rPr>
            <b/>
            <sz val="9"/>
            <color indexed="81"/>
            <rFont val="Tahoma"/>
            <family val="2"/>
          </rPr>
          <t>8/17/16: guidance 40-41c</t>
        </r>
        <r>
          <rPr>
            <sz val="9"/>
            <color indexed="81"/>
            <rFont val="Tahoma"/>
            <family val="2"/>
          </rPr>
          <t xml:space="preserve"> </t>
        </r>
      </text>
    </comment>
    <comment ref="CN151" authorId="14">
      <text>
        <r>
          <rPr>
            <b/>
            <sz val="9"/>
            <color indexed="81"/>
            <rFont val="Tahoma"/>
            <family val="2"/>
          </rPr>
          <t>Cassel, Lauren (Research):</t>
        </r>
        <r>
          <rPr>
            <sz val="9"/>
            <color indexed="81"/>
            <rFont val="Tahoma"/>
            <family val="2"/>
          </rPr>
          <t xml:space="preserve">
12/6/17: includes 5c headwind from charge to reserve against $14M receivable (in other expense line)
8/23/17: guidance 36-38c</t>
        </r>
      </text>
    </comment>
    <comment ref="AR152" authorId="4">
      <text>
        <r>
          <rPr>
            <sz val="8"/>
            <color indexed="81"/>
            <rFont val="Tahoma"/>
            <family val="2"/>
          </rPr>
          <t>Corinna Freedman:</t>
        </r>
        <r>
          <rPr>
            <sz val="8"/>
            <color indexed="81"/>
            <rFont val="Tahoma"/>
            <family val="2"/>
          </rPr>
          <t xml:space="preserve">
</t>
        </r>
        <r>
          <rPr>
            <b/>
            <sz val="8"/>
            <color indexed="81"/>
            <rFont val="Tahoma"/>
            <family val="2"/>
          </rPr>
          <t>1/4: reit 70-72c incl. 2c charge</t>
        </r>
        <r>
          <rPr>
            <sz val="8"/>
            <color indexed="81"/>
            <rFont val="Tahoma"/>
            <family val="2"/>
          </rPr>
          <t xml:space="preserve">
11/30: exp 70-72 incl 2c charge 
11/15: exp 73-75c incl 2c EPS re: repatriation of foreign inc</t>
        </r>
      </text>
    </comment>
    <comment ref="AV152" authorId="5">
      <text>
        <r>
          <rPr>
            <b/>
            <sz val="8"/>
            <color indexed="81"/>
            <rFont val="Tahoma"/>
            <family val="2"/>
          </rPr>
          <t>MB33100:</t>
        </r>
        <r>
          <rPr>
            <sz val="8"/>
            <color indexed="81"/>
            <rFont val="Tahoma"/>
            <family val="2"/>
          </rPr>
          <t xml:space="preserve">
2/7: raised to $0.66
1/03: raised guidance to $0.64-$0.65 vs. prior $0.63-0.64
11/30: affirmed guidance of $0.94-$0.96… or $0.63-$0.64 after split</t>
        </r>
      </text>
    </comment>
    <comment ref="AZ152" authorId="6">
      <text>
        <r>
          <rPr>
            <b/>
            <sz val="8"/>
            <color indexed="81"/>
            <rFont val="Tahoma"/>
            <family val="2"/>
          </rPr>
          <t xml:space="preserve">OC48540:
</t>
        </r>
        <r>
          <rPr>
            <sz val="8"/>
            <color indexed="81"/>
            <rFont val="Tahoma"/>
            <family val="2"/>
          </rPr>
          <t>2/08: guided to 66c</t>
        </r>
        <r>
          <rPr>
            <sz val="8"/>
            <color indexed="81"/>
            <rFont val="Tahoma"/>
            <family val="2"/>
          </rPr>
          <t xml:space="preserve">
1/08: guided to 64-65c
11/27: Guided to 67c-70c</t>
        </r>
      </text>
    </comment>
    <comment ref="BD152" authorId="18">
      <text>
        <r>
          <rPr>
            <b/>
            <sz val="8"/>
            <color indexed="81"/>
            <rFont val="Tahoma"/>
            <family val="2"/>
          </rPr>
          <t xml:space="preserve">oc48540:
</t>
        </r>
        <r>
          <rPr>
            <sz val="8"/>
            <color indexed="81"/>
            <rFont val="Tahoma"/>
            <family val="2"/>
          </rPr>
          <t>3/09: 19c</t>
        </r>
        <r>
          <rPr>
            <sz val="8"/>
            <color indexed="81"/>
            <rFont val="Tahoma"/>
            <family val="2"/>
          </rPr>
          <t xml:space="preserve">
2/09: Reit 19-21c
1/09: 19-21c
12/4: 30-36c</t>
        </r>
      </text>
    </comment>
    <comment ref="BH152" authorId="19">
      <text>
        <r>
          <rPr>
            <b/>
            <sz val="8"/>
            <color indexed="81"/>
            <rFont val="Tahoma"/>
            <family val="2"/>
          </rPr>
          <t xml:space="preserve">TI23070:
</t>
        </r>
        <r>
          <rPr>
            <sz val="8"/>
            <color indexed="81"/>
            <rFont val="Tahoma"/>
            <family val="2"/>
          </rPr>
          <t>5/10: had rept'd 33c incl M+O or 43c excl M+O
2/10: raised to 32-33c</t>
        </r>
        <r>
          <rPr>
            <b/>
            <sz val="8"/>
            <color indexed="81"/>
            <rFont val="Tahoma"/>
            <family val="2"/>
          </rPr>
          <t xml:space="preserve">
</t>
        </r>
        <r>
          <rPr>
            <sz val="8"/>
            <color indexed="81"/>
            <rFont val="Tahoma"/>
            <family val="2"/>
          </rPr>
          <t>1/10: guided to 30-32c</t>
        </r>
        <r>
          <rPr>
            <sz val="8"/>
            <color indexed="81"/>
            <rFont val="Tahoma"/>
            <family val="2"/>
          </rPr>
          <t xml:space="preserve">
12/09: giuded to 29-32c</t>
        </r>
      </text>
    </comment>
    <comment ref="BL152" authorId="10">
      <text>
        <r>
          <rPr>
            <b/>
            <sz val="8"/>
            <color indexed="81"/>
            <rFont val="Tahoma"/>
            <family val="2"/>
          </rPr>
          <t xml:space="preserve">5/23/12: </t>
        </r>
        <r>
          <rPr>
            <sz val="8"/>
            <color indexed="81"/>
            <rFont val="Tahoma"/>
            <family val="2"/>
          </rPr>
          <t>excludes 77kids. Prior adj EPS was 44c</t>
        </r>
        <r>
          <rPr>
            <b/>
            <sz val="8"/>
            <color indexed="81"/>
            <rFont val="Tahoma"/>
            <family val="2"/>
          </rPr>
          <t xml:space="preserve">
nicholjs:</t>
        </r>
        <r>
          <rPr>
            <sz val="8"/>
            <color indexed="81"/>
            <rFont val="Tahoma"/>
            <family val="2"/>
          </rPr>
          <t xml:space="preserve">
2/11: expects high end of prior $0.41-$0.43 guidance
1/11: expect $0.41-$0.43
12/10: expect $0.43-0.46</t>
        </r>
      </text>
    </comment>
    <comment ref="BP152" authorId="12">
      <text>
        <r>
          <rPr>
            <sz val="8"/>
            <color indexed="81"/>
            <rFont val="Tahoma"/>
            <family val="2"/>
          </rPr>
          <t xml:space="preserve">5/23/12: excludes 77kids reported EPS 35c
1/5/2012: guidance $0.33 to $0.35
"The holiday season started strong with a nearly 20% increase in comparable store sales in November and record sales over Thanksgiving weekend, fueled by strong unit sales, with customers responding positively to the assortments and promotional events. During the important final two weeks of December, in a significantly more competitive environment, the company made a strategic decision to take a more aggressive promotional stance. While impacting margins, the decision enabled the company to generate strong unit sales, increase market share and achieve targeted inventory levels." Guidance excludes potential impact of store impairment charges, primarily related to aerie stand-alone stores, and executive transition costs.
11/30/2011: guidance $0.40 to $0.44
Strong sales over Thanksgiving weekend were driven by increased traffic and conversion. Powerful unit sales growth reflected a positive customer response to the holiday assortment and planned promotions. The guidance assumes that sales momentum continues, particularly during peak holiday shopping periods. Additionally, the company expects margin pressure related to higher cotton costs and its planned promotional strategy. For the year, SG&amp;A dollars are expected to increase in the low single-digits. 
</t>
        </r>
      </text>
    </comment>
    <comment ref="BT152" authorId="9">
      <text>
        <r>
          <rPr>
            <b/>
            <sz val="8"/>
            <color indexed="81"/>
            <rFont val="Tahoma"/>
            <family val="2"/>
          </rPr>
          <t xml:space="preserve">1/10/13: </t>
        </r>
        <r>
          <rPr>
            <sz val="8"/>
            <color indexed="81"/>
            <rFont val="Tahoma"/>
            <family val="2"/>
          </rPr>
          <t>holiday update reiterate $0.54-$0.56</t>
        </r>
        <r>
          <rPr>
            <b/>
            <sz val="8"/>
            <color indexed="81"/>
            <rFont val="Tahoma"/>
            <family val="2"/>
          </rPr>
          <t xml:space="preserve">
11/28: </t>
        </r>
        <r>
          <rPr>
            <sz val="8"/>
            <color indexed="81"/>
            <rFont val="Tahoma"/>
            <family val="2"/>
          </rPr>
          <t>guidance $0.54-$0.56</t>
        </r>
        <r>
          <rPr>
            <b/>
            <sz val="8"/>
            <color indexed="81"/>
            <rFont val="Tahoma"/>
            <family val="2"/>
          </rPr>
          <t xml:space="preserve">
8/22/2012: </t>
        </r>
        <r>
          <rPr>
            <sz val="8"/>
            <color indexed="81"/>
            <rFont val="Tahoma"/>
            <family val="2"/>
          </rPr>
          <t xml:space="preserve">FY guidance implies 53-55c </t>
        </r>
        <r>
          <rPr>
            <b/>
            <sz val="8"/>
            <color indexed="81"/>
            <rFont val="Tahoma"/>
            <family val="2"/>
          </rPr>
          <t xml:space="preserve">
P Kahng:</t>
        </r>
        <r>
          <rPr>
            <sz val="8"/>
            <color indexed="81"/>
            <rFont val="Tahoma"/>
            <family val="2"/>
          </rPr>
          <t xml:space="preserve">
5/1/12: was at 52c</t>
        </r>
      </text>
    </comment>
    <comment ref="BX152" authorId="13">
      <text>
        <r>
          <rPr>
            <b/>
            <sz val="8"/>
            <color indexed="81"/>
            <rFont val="Tahoma"/>
            <family val="2"/>
          </rPr>
          <t xml:space="preserve">casselau:
</t>
        </r>
        <r>
          <rPr>
            <sz val="8"/>
            <color indexed="81"/>
            <rFont val="Tahoma"/>
            <family val="2"/>
          </rPr>
          <t>1/9/13: expect EPS to be $0.26</t>
        </r>
        <r>
          <rPr>
            <sz val="8"/>
            <color indexed="81"/>
            <rFont val="Tahoma"/>
            <family val="2"/>
          </rPr>
          <t xml:space="preserve">
12/6/13: guidance $0.26-$0.30</t>
        </r>
      </text>
    </comment>
    <comment ref="CB152" authorId="13">
      <text>
        <r>
          <rPr>
            <b/>
            <sz val="9"/>
            <color indexed="81"/>
            <rFont val="Tahoma"/>
            <family val="2"/>
          </rPr>
          <t>casselau:
1/8/15: now expect 32-34c</t>
        </r>
        <r>
          <rPr>
            <sz val="9"/>
            <color indexed="81"/>
            <rFont val="Tahoma"/>
            <family val="2"/>
          </rPr>
          <t xml:space="preserve">
12/4/14: guidance 30-33c</t>
        </r>
      </text>
    </comment>
    <comment ref="CF152" authorId="13">
      <text>
        <r>
          <rPr>
            <b/>
            <sz val="9"/>
            <color indexed="81"/>
            <rFont val="Tahoma"/>
            <family val="2"/>
          </rPr>
          <t>casselau:
1/8/16: reiterated 40-42c guidance</t>
        </r>
        <r>
          <rPr>
            <sz val="9"/>
            <color indexed="81"/>
            <rFont val="Tahoma"/>
            <family val="2"/>
          </rPr>
          <t xml:space="preserve">
12/2/15: guidance 40-42c</t>
        </r>
      </text>
    </comment>
    <comment ref="CJ152" authorId="14">
      <text>
        <r>
          <rPr>
            <b/>
            <sz val="9"/>
            <color indexed="81"/>
            <rFont val="Tahoma"/>
            <family val="2"/>
          </rPr>
          <t>Cassel, Lauren (Research):
1/5/17: reaffirms 37-39c range</t>
        </r>
        <r>
          <rPr>
            <sz val="9"/>
            <color indexed="81"/>
            <rFont val="Tahoma"/>
            <family val="2"/>
          </rPr>
          <t xml:space="preserve">
11/30/16: guidance 37-39c</t>
        </r>
      </text>
    </comment>
    <comment ref="CN152" authorId="14">
      <text>
        <r>
          <rPr>
            <b/>
            <sz val="9"/>
            <color indexed="81"/>
            <rFont val="Tahoma"/>
            <family val="2"/>
          </rPr>
          <t xml:space="preserve">Cassel, Lauren (Research):
</t>
        </r>
        <r>
          <rPr>
            <sz val="9"/>
            <color indexed="81"/>
            <rFont val="Tahoma"/>
            <family val="2"/>
          </rPr>
          <t>3/8/18: excludes 8c of tax benefit: • The benefit of a lower blended U.S. corporate tax rate in fiscal 2017; The net benefit from the re-measurement of deferred tax balances and the one-time transition tax on un-repatriated earnings of foreign subsidiaries; the acceleration of certain deductions into fiscal 2017
1/8/18: Guidance reiterated 42-44c
12/6/17: Guidance 42-44c; 53rd week 3c
3/1/17: 53rd week will add ~3c</t>
        </r>
      </text>
    </comment>
    <comment ref="BL153" authorId="22">
      <text>
        <r>
          <rPr>
            <b/>
            <sz val="8"/>
            <color indexed="81"/>
            <rFont val="Tahoma"/>
            <family val="2"/>
          </rPr>
          <t xml:space="preserve">5/23/12: </t>
        </r>
        <r>
          <rPr>
            <sz val="8"/>
            <color indexed="81"/>
            <rFont val="Tahoma"/>
            <family val="2"/>
          </rPr>
          <t>excludes 77kids. Prior adj EPS was 1.02c</t>
        </r>
        <r>
          <rPr>
            <b/>
            <sz val="8"/>
            <color indexed="81"/>
            <rFont val="Tahoma"/>
            <family val="2"/>
          </rPr>
          <t xml:space="preserve">
ns66486:</t>
        </r>
        <r>
          <rPr>
            <sz val="8"/>
            <color indexed="81"/>
            <rFont val="Tahoma"/>
            <family val="2"/>
          </rPr>
          <t xml:space="preserve">
FY09 M+O lost $0.16</t>
        </r>
      </text>
    </comment>
    <comment ref="BP153" authorId="10">
      <text>
        <r>
          <rPr>
            <b/>
            <sz val="8"/>
            <color indexed="81"/>
            <rFont val="Tahoma"/>
            <family val="2"/>
          </rPr>
          <t>nicholjs:</t>
        </r>
        <r>
          <rPr>
            <sz val="8"/>
            <color indexed="81"/>
            <rFont val="Tahoma"/>
            <family val="2"/>
          </rPr>
          <t xml:space="preserve">
8/2011: expect $0.85-0.95
5/2011: expect similar to LY's adjusted EPS of $1.02.  sourcing cost assumptions embedded into $1.02.
3/2011: expect similar to LY's adjusted EPS of $1.02.  sourcing cost assumptions embedded into $1.02.
11/2010: expect aerie to be accretive to earnings</t>
        </r>
      </text>
    </comment>
    <comment ref="BT153" authorId="11">
      <text>
        <r>
          <rPr>
            <b/>
            <sz val="8"/>
            <color indexed="81"/>
            <rFont val="Tahoma"/>
            <family val="2"/>
          </rPr>
          <t xml:space="preserve">11/28/2012: </t>
        </r>
        <r>
          <rPr>
            <sz val="8"/>
            <color indexed="81"/>
            <rFont val="Tahoma"/>
            <family val="2"/>
          </rPr>
          <t>guidance $1.38-$1.40</t>
        </r>
        <r>
          <rPr>
            <b/>
            <sz val="8"/>
            <color indexed="81"/>
            <rFont val="Tahoma"/>
            <family val="2"/>
          </rPr>
          <t xml:space="preserve">
8/22/2012: </t>
        </r>
        <r>
          <rPr>
            <sz val="8"/>
            <color indexed="81"/>
            <rFont val="Tahoma"/>
            <family val="2"/>
          </rPr>
          <t>FY $1.33-$1.36 vs. 97c LY</t>
        </r>
        <r>
          <rPr>
            <b/>
            <sz val="8"/>
            <color indexed="81"/>
            <rFont val="Tahoma"/>
            <family val="2"/>
          </rPr>
          <t xml:space="preserve">
5/23/12: </t>
        </r>
        <r>
          <rPr>
            <sz val="8"/>
            <color indexed="81"/>
            <rFont val="Tahoma"/>
            <family val="2"/>
          </rPr>
          <t xml:space="preserve">FY guidance $1.16-$1.22 from 77kids disposal (10c). </t>
        </r>
        <r>
          <rPr>
            <b/>
            <sz val="8"/>
            <color indexed="81"/>
            <rFont val="Tahoma"/>
            <family val="2"/>
          </rPr>
          <t xml:space="preserve">
5/1/12: </t>
        </r>
        <r>
          <rPr>
            <sz val="8"/>
            <color indexed="81"/>
            <rFont val="Tahoma"/>
            <family val="2"/>
          </rPr>
          <t>FY guidance $1.06 - $1.12</t>
        </r>
        <r>
          <rPr>
            <b/>
            <sz val="8"/>
            <color indexed="81"/>
            <rFont val="Tahoma"/>
            <family val="2"/>
          </rPr>
          <t xml:space="preserve">
3/7/12 4Q:</t>
        </r>
        <r>
          <rPr>
            <sz val="8"/>
            <color indexed="81"/>
            <rFont val="Tahoma"/>
            <family val="2"/>
          </rPr>
          <t xml:space="preserve"> For the year, the company is planning a modest sales increase, and margin improvement. Increased product costs will continue to pressure margins int eh first half of the yaer and lower product costs should benefit margins in the second half. The cmopany is also targeting lower markdowns driven by improved inventory productivity. The company expects to provide annual EPS guidance along with the first quarter earnings annc in May.
</t>
        </r>
      </text>
    </comment>
    <comment ref="BX153" authorId="13">
      <text>
        <r>
          <rPr>
            <b/>
            <sz val="8"/>
            <color indexed="81"/>
            <rFont val="Tahoma"/>
            <family val="2"/>
          </rPr>
          <t>casselau:</t>
        </r>
        <r>
          <rPr>
            <sz val="8"/>
            <color indexed="81"/>
            <rFont val="Tahoma"/>
            <family val="2"/>
          </rPr>
          <t xml:space="preserve">
5/22/13: $1.42-$1.45</t>
        </r>
      </text>
    </comment>
    <comment ref="CR153" authorId="14">
      <text>
        <r>
          <rPr>
            <b/>
            <sz val="9"/>
            <color indexed="81"/>
            <rFont val="Tahoma"/>
            <family val="2"/>
          </rPr>
          <t>Cassel, Lauren (Research):</t>
        </r>
        <r>
          <rPr>
            <sz val="9"/>
            <color indexed="81"/>
            <rFont val="Tahoma"/>
            <family val="2"/>
          </rPr>
          <t xml:space="preserve">
3/8/18: lower tax rate should add 20c after additional invesetment</t>
        </r>
      </text>
    </comment>
    <comment ref="AB167" authorId="21">
      <text>
        <r>
          <rPr>
            <sz val="8"/>
            <color indexed="81"/>
            <rFont val="Tahoma"/>
            <family val="2"/>
          </rPr>
          <t>27-28c is o.k. For Q1, but will have 3c dilution from Canada, so prob won't be more than that.
had $0.28 b4 rolling in Canada. had 0.18 b4 Feb, Mar and Apr</t>
        </r>
      </text>
    </comment>
    <comment ref="AF167" authorId="2">
      <text>
        <r>
          <rPr>
            <b/>
            <sz val="8"/>
            <color indexed="81"/>
            <rFont val="Tahoma"/>
            <family val="2"/>
          </rPr>
          <t>dong2:</t>
        </r>
        <r>
          <rPr>
            <sz val="8"/>
            <color indexed="81"/>
            <rFont val="Tahoma"/>
            <family val="2"/>
          </rPr>
          <t xml:space="preserve">
co. guidance is 0.22-0.23.
4/5: Had 0.22, but take down to 0.16 given spotty biz in March and difficult comparison in Apr (store checks and conv. W./ mgmt)
5/6: had $0.16
5/13/03: BN lost $0.03</t>
        </r>
      </text>
    </comment>
    <comment ref="AJ167" authorId="3">
      <text>
        <r>
          <rPr>
            <b/>
            <sz val="8"/>
            <color indexed="81"/>
            <rFont val="Tahoma"/>
            <family val="2"/>
          </rPr>
          <t>dliu:</t>
        </r>
        <r>
          <rPr>
            <sz val="8"/>
            <color indexed="81"/>
            <rFont val="Tahoma"/>
            <family val="2"/>
          </rPr>
          <t xml:space="preserve">
0.18, 0.11. Bluenotes lost $0.05 (vs. $0.03 LY)</t>
        </r>
      </text>
    </comment>
    <comment ref="AN167" authorId="3">
      <text>
        <r>
          <rPr>
            <b/>
            <sz val="8"/>
            <color indexed="81"/>
            <rFont val="Tahoma"/>
            <family val="2"/>
          </rPr>
          <t>dliu:</t>
        </r>
        <r>
          <rPr>
            <sz val="8"/>
            <color indexed="81"/>
            <rFont val="Tahoma"/>
            <family val="2"/>
          </rPr>
          <t xml:space="preserve">
0.18, 0.28</t>
        </r>
      </text>
    </comment>
    <comment ref="W168" authorId="1">
      <text>
        <r>
          <rPr>
            <b/>
            <sz val="8"/>
            <color indexed="81"/>
            <rFont val="Tahoma"/>
            <family val="2"/>
          </rPr>
          <t>Debbie Ong:</t>
        </r>
        <r>
          <rPr>
            <sz val="8"/>
            <color indexed="81"/>
            <rFont val="Tahoma"/>
            <family val="2"/>
          </rPr>
          <t xml:space="preserve">
had $0.04 b4 2Q rptd</t>
        </r>
      </text>
    </comment>
    <comment ref="AB168" authorId="21">
      <text>
        <r>
          <rPr>
            <sz val="8"/>
            <color indexed="81"/>
            <rFont val="Tahoma"/>
            <family val="2"/>
          </rPr>
          <t>had $0.32 b4 rolling in Canada. had $0.21 b4 Mar comp. Had 0.23 b4 Jun comp. 7/10: reduced from $0.23 to $0.21 because co. had to take higher MDs in June due to below plan sales in May.</t>
        </r>
      </text>
    </comment>
    <comment ref="AF168" authorId="2">
      <text>
        <r>
          <rPr>
            <b/>
            <sz val="8"/>
            <color indexed="81"/>
            <rFont val="Tahoma"/>
            <family val="2"/>
          </rPr>
          <t>dong2:</t>
        </r>
        <r>
          <rPr>
            <sz val="8"/>
            <color indexed="81"/>
            <rFont val="Tahoma"/>
            <family val="2"/>
          </rPr>
          <t xml:space="preserve">
co. guidance is 0.23-0.24. 5/6: co. guided to 0.22. 8/7: had $0.14.
5/15/03: BN lost $0.02</t>
        </r>
      </text>
    </comment>
    <comment ref="AJ168" authorId="3">
      <text>
        <r>
          <rPr>
            <b/>
            <sz val="8"/>
            <color indexed="81"/>
            <rFont val="Tahoma"/>
            <family val="2"/>
          </rPr>
          <t>dliu:</t>
        </r>
        <r>
          <rPr>
            <sz val="8"/>
            <color indexed="81"/>
            <rFont val="Tahoma"/>
            <family val="2"/>
          </rPr>
          <t xml:space="preserve">
0.09, 0.11. BN lost $0.04 (lost $0.02) </t>
        </r>
      </text>
    </comment>
    <comment ref="AN168" authorId="28">
      <text>
        <r>
          <rPr>
            <sz val="8"/>
            <color indexed="81"/>
            <rFont val="Tahoma"/>
            <family val="2"/>
          </rPr>
          <t>8/4/04 guidance for 2Q04 eps of 37-38c</t>
        </r>
      </text>
    </comment>
    <comment ref="AR168" authorId="27">
      <text>
        <r>
          <rPr>
            <b/>
            <sz val="8"/>
            <color indexed="81"/>
            <rFont val="Tahoma"/>
            <family val="2"/>
          </rPr>
          <t>Morry Brown:</t>
        </r>
        <r>
          <rPr>
            <sz val="8"/>
            <color indexed="81"/>
            <rFont val="Tahoma"/>
            <family val="2"/>
          </rPr>
          <t xml:space="preserve">
7/6 guidance raised to 34-35c on June sales call</t>
        </r>
      </text>
    </comment>
    <comment ref="BD168" authorId="18">
      <text>
        <r>
          <rPr>
            <b/>
            <sz val="8"/>
            <color indexed="81"/>
            <rFont val="Tahoma"/>
            <family val="2"/>
          </rPr>
          <t>oc48540:</t>
        </r>
        <r>
          <rPr>
            <sz val="8"/>
            <color indexed="81"/>
            <rFont val="Tahoma"/>
            <family val="2"/>
          </rPr>
          <t xml:space="preserve">
8/7: Now expect $0.28 (from $0.28-$0.30)</t>
        </r>
      </text>
    </comment>
    <comment ref="W169" authorId="1">
      <text>
        <r>
          <rPr>
            <b/>
            <sz val="8"/>
            <color indexed="81"/>
            <rFont val="Tahoma"/>
            <family val="2"/>
          </rPr>
          <t xml:space="preserve">Debbie Ong:
</t>
        </r>
        <r>
          <rPr>
            <sz val="8"/>
            <color indexed="81"/>
            <rFont val="Tahoma"/>
            <family val="2"/>
          </rPr>
          <t>Had $0.52 b4 Oct comp and b/f Q3 rptd.  Street at $0.54</t>
        </r>
      </text>
    </comment>
    <comment ref="AB169" authorId="21">
      <text>
        <r>
          <rPr>
            <sz val="8"/>
            <color indexed="81"/>
            <rFont val="Tahoma"/>
            <family val="2"/>
          </rPr>
          <t>had $0.71 b4 rolling in Canada. had $0.47 b4 Mar comp. 10/10: had $0.44. 11/7: $0.41</t>
        </r>
      </text>
    </comment>
    <comment ref="AF169" authorId="2">
      <text>
        <r>
          <rPr>
            <b/>
            <sz val="8"/>
            <color indexed="81"/>
            <rFont val="Tahoma"/>
            <family val="2"/>
          </rPr>
          <t>dong2:</t>
        </r>
        <r>
          <rPr>
            <sz val="8"/>
            <color indexed="81"/>
            <rFont val="Tahoma"/>
            <family val="2"/>
          </rPr>
          <t xml:space="preserve">
early 2002 (before april): co. guidance was 0.48-0.49
0.43
5/15/03: BN lost $0.06</t>
        </r>
      </text>
    </comment>
    <comment ref="AJ169" authorId="15">
      <text>
        <r>
          <rPr>
            <sz val="8"/>
            <color indexed="81"/>
            <rFont val="Tahoma"/>
            <family val="2"/>
          </rPr>
          <t>0.39, 0.34 BN lost $0.06 LY). 10/8: $0.26. $0.25 before BN $0.11 impairmt charge</t>
        </r>
      </text>
    </comment>
    <comment ref="AN169" authorId="28">
      <text>
        <r>
          <rPr>
            <b/>
            <sz val="8"/>
            <color indexed="81"/>
            <rFont val="Tahoma"/>
            <family val="2"/>
          </rPr>
          <t>Kimberly Greenberger:</t>
        </r>
        <r>
          <rPr>
            <sz val="8"/>
            <color indexed="81"/>
            <rFont val="Tahoma"/>
            <family val="2"/>
          </rPr>
          <t xml:space="preserve">
8/4/04 guidance for 3Q04 eps of 43-47c</t>
        </r>
      </text>
    </comment>
    <comment ref="AR169" authorId="28">
      <text>
        <r>
          <rPr>
            <b/>
            <sz val="8"/>
            <color indexed="81"/>
            <rFont val="Tahoma"/>
            <family val="2"/>
          </rPr>
          <t>Kimberly Greenberger:</t>
        </r>
        <r>
          <rPr>
            <sz val="8"/>
            <color indexed="81"/>
            <rFont val="Tahoma"/>
            <family val="2"/>
          </rPr>
          <t xml:space="preserve">
9/19/05 mgmt guided down to 43-44c from prior guidance 45-46c</t>
        </r>
      </text>
    </comment>
    <comment ref="W170" authorId="1">
      <text>
        <r>
          <rPr>
            <b/>
            <sz val="8"/>
            <color indexed="81"/>
            <rFont val="Tahoma"/>
            <family val="2"/>
          </rPr>
          <t>Debbie Ong:</t>
        </r>
        <r>
          <rPr>
            <sz val="8"/>
            <color indexed="81"/>
            <rFont val="Tahoma"/>
            <family val="2"/>
          </rPr>
          <t xml:space="preserve">
had $0.91 b4 Nov. comp. had $0.92 b4 Dec comp. had $0.98 b4 Jan comp.</t>
        </r>
      </text>
    </comment>
    <comment ref="AB170" authorId="1">
      <text>
        <r>
          <rPr>
            <b/>
            <sz val="8"/>
            <color indexed="81"/>
            <rFont val="Tahoma"/>
            <family val="2"/>
          </rPr>
          <t>Debbie Ong:</t>
        </r>
        <r>
          <rPr>
            <sz val="8"/>
            <color indexed="81"/>
            <rFont val="Tahoma"/>
            <family val="2"/>
          </rPr>
          <t xml:space="preserve">
had 1.05 b4 Dec comps. had $1.09 b4 Jan comps. Had $1.14 b4 rolling in Canada. had $0.77 b4 Mar comp. 10/10: had $0.74. 12/2: had 0.70, take down based on our belief that below-plan sales will pressure op. mgn.
1/9: had 0.60
2.6L haf $0.60</t>
        </r>
      </text>
    </comment>
    <comment ref="AF170" authorId="2">
      <text>
        <r>
          <rPr>
            <b/>
            <sz val="8"/>
            <color indexed="81"/>
            <rFont val="Tahoma"/>
            <family val="2"/>
          </rPr>
          <t>dong2:</t>
        </r>
        <r>
          <rPr>
            <sz val="8"/>
            <color indexed="81"/>
            <rFont val="Tahoma"/>
            <family val="2"/>
          </rPr>
          <t xml:space="preserve">
early 2002 (before april): co. guidance was 0.67-0.68. 12/04: 0.58
1/8/03: 0.52. 2/5/03: 0.53
5/15/03: BN lost $0.05</t>
        </r>
      </text>
    </comment>
    <comment ref="AJ170" authorId="15">
      <text>
        <r>
          <rPr>
            <sz val="8"/>
            <color indexed="81"/>
            <rFont val="Tahoma"/>
            <family val="2"/>
          </rPr>
          <t>0.63 BN lost $0.05 LY. 0.54. 1/5/04: 0.48. 2/4/04: changed to $0.55, w/in mgmt's guided range of $0.53-0.56. BN impairmt chg is $0.08, so that takes it down to $0.47.</t>
        </r>
      </text>
    </comment>
    <comment ref="AN170" authorId="4">
      <text>
        <r>
          <rPr>
            <b/>
            <sz val="8"/>
            <color indexed="81"/>
            <rFont val="Tahoma"/>
            <family val="2"/>
          </rPr>
          <t>Corinna Freedman:</t>
        </r>
        <r>
          <rPr>
            <sz val="8"/>
            <color indexed="81"/>
            <rFont val="Tahoma"/>
            <family val="2"/>
          </rPr>
          <t xml:space="preserve">
Sale of BNs to have 8-11 impact</t>
        </r>
      </text>
    </comment>
    <comment ref="AZ170" authorId="6">
      <text>
        <r>
          <rPr>
            <b/>
            <sz val="8"/>
            <color indexed="81"/>
            <rFont val="Tahoma"/>
            <family val="2"/>
          </rPr>
          <t>OC48540:</t>
        </r>
        <r>
          <rPr>
            <sz val="8"/>
            <color indexed="81"/>
            <rFont val="Tahoma"/>
            <family val="2"/>
          </rPr>
          <t xml:space="preserve">
</t>
        </r>
      </text>
    </comment>
    <comment ref="W171" authorId="1">
      <text>
        <r>
          <rPr>
            <b/>
            <sz val="8"/>
            <color indexed="81"/>
            <rFont val="Tahoma"/>
            <family val="2"/>
          </rPr>
          <t>Debbie Ong:</t>
        </r>
        <r>
          <rPr>
            <sz val="8"/>
            <color indexed="81"/>
            <rFont val="Tahoma"/>
            <family val="2"/>
          </rPr>
          <t xml:space="preserve">
had $1.84 b4 Nov comp. had $1.85 b4 Dec comp. had $1.91 b4 Jan comp.</t>
        </r>
      </text>
    </comment>
    <comment ref="AB171" authorId="1">
      <text>
        <r>
          <rPr>
            <b/>
            <sz val="8"/>
            <color indexed="81"/>
            <rFont val="Tahoma"/>
            <family val="2"/>
          </rPr>
          <t>Debbie Ong:</t>
        </r>
        <r>
          <rPr>
            <sz val="8"/>
            <color indexed="81"/>
            <rFont val="Tahoma"/>
            <family val="2"/>
          </rPr>
          <t xml:space="preserve">
had $2.25 b4 Nov comp. had $2.28 b4 Dec comp. had $2.35 b4 Jan comp.. Had $2.41 b4 rolling in Canada. had $1.63 b4 Feb comp, $1.66 b4 Jul comp. 10/10: had $1.60 
1/9/02: had $1.44</t>
        </r>
      </text>
    </comment>
    <comment ref="AF171" authorId="2">
      <text>
        <r>
          <rPr>
            <b/>
            <sz val="8"/>
            <color indexed="81"/>
            <rFont val="Tahoma"/>
            <family val="2"/>
          </rPr>
          <t>dong2:</t>
        </r>
        <r>
          <rPr>
            <sz val="8"/>
            <color indexed="81"/>
            <rFont val="Tahoma"/>
            <family val="2"/>
          </rPr>
          <t xml:space="preserve">
co. guidance from 1/11/02 is 1.60-1.64, or 12-18% growth over LY
5/6: had $1.64. 9/4: $1.40
5/15/03: BN lost $0.16</t>
        </r>
      </text>
    </comment>
    <comment ref="AJ171" authorId="3">
      <text>
        <r>
          <rPr>
            <b/>
            <sz val="8"/>
            <color indexed="81"/>
            <rFont val="Tahoma"/>
            <family val="2"/>
          </rPr>
          <t>dliu:</t>
        </r>
        <r>
          <rPr>
            <sz val="8"/>
            <color indexed="81"/>
            <rFont val="Tahoma"/>
            <family val="2"/>
          </rPr>
          <t xml:space="preserve">
1.37, 1.22, 0.82. $0.93E before BN $0.11 impairmt chg</t>
        </r>
      </text>
    </comment>
    <comment ref="AN171" authorId="3">
      <text>
        <r>
          <rPr>
            <b/>
            <sz val="8"/>
            <color indexed="81"/>
            <rFont val="Tahoma"/>
            <family val="2"/>
          </rPr>
          <t>dliu:</t>
        </r>
        <r>
          <rPr>
            <sz val="8"/>
            <color indexed="81"/>
            <rFont val="Tahoma"/>
            <family val="2"/>
          </rPr>
          <t xml:space="preserve">
1.32</t>
        </r>
      </text>
    </comment>
    <comment ref="AZ177" authorId="25">
      <text>
        <r>
          <rPr>
            <b/>
            <sz val="8"/>
            <color indexed="81"/>
            <rFont val="Tahoma"/>
            <family val="2"/>
          </rPr>
          <t>kg51925:</t>
        </r>
        <r>
          <rPr>
            <sz val="8"/>
            <color indexed="81"/>
            <rFont val="Tahoma"/>
            <family val="2"/>
          </rPr>
          <t xml:space="preserve">
1Q repo'd 2.8mm shares for $85.2mm ($30.43/share)</t>
        </r>
      </text>
    </comment>
    <comment ref="BD177" authorId="17">
      <text>
        <r>
          <rPr>
            <sz val="8"/>
            <color indexed="81"/>
            <rFont val="Tahoma"/>
            <family val="2"/>
          </rPr>
          <t xml:space="preserve">3/08: 210mm shares outstanding at END of 4Q07
</t>
        </r>
        <r>
          <rPr>
            <b/>
            <sz val="8"/>
            <color indexed="81"/>
            <rFont val="Tahoma"/>
            <family val="2"/>
          </rPr>
          <t xml:space="preserve">
mm98285:</t>
        </r>
        <r>
          <rPr>
            <sz val="8"/>
            <color indexed="81"/>
            <rFont val="Tahoma"/>
            <family val="2"/>
          </rPr>
          <t xml:space="preserve">
1/28/08: new 30mm share authorization through 2010; 41.2mm shares available for repurcahse through 2010 -- assume repurchased equally over this period (12 quarters), or 3.4mm shares repurchased per quarter 
1/08: assume get 1/2 of 4Q repurchase (3.25mm)
8/07: assume 23.5mm shares left under current authorization (through end of 2009) will be repurchased evenly over next 10 quarters, or ~2.35mm shares per quarter. Assume option creep of 1.5 per quarter (inline with 2006), therefore we assume shares decline by ~4mm in 2008 and 2009 (~2.35 x 4 - ~1.5 x 4)
</t>
        </r>
      </text>
    </comment>
    <comment ref="BH177" authorId="18">
      <text>
        <r>
          <rPr>
            <b/>
            <sz val="8"/>
            <color indexed="81"/>
            <rFont val="Tahoma"/>
            <family val="2"/>
          </rPr>
          <t xml:space="preserve">lr73192:
</t>
        </r>
        <r>
          <rPr>
            <sz val="8"/>
            <color indexed="81"/>
            <rFont val="Tahoma"/>
            <family val="2"/>
          </rPr>
          <t>5/26/10: No change for M+O</t>
        </r>
        <r>
          <rPr>
            <b/>
            <sz val="8"/>
            <color indexed="81"/>
            <rFont val="Tahoma"/>
            <family val="2"/>
          </rPr>
          <t xml:space="preserve">
oc48540:</t>
        </r>
        <r>
          <rPr>
            <sz val="8"/>
            <color indexed="81"/>
            <rFont val="Tahoma"/>
            <family val="2"/>
          </rPr>
          <t xml:space="preserve">
For the 13 weeks ended May 2, 2009 and May 3, 2008, respectively, ~1.1 million and 0.6 million shares of performance-based restricted stock were not included in the computation of weighted average diluted common share amounts because the number of shares ultimately issued is contingent on the Company’s performance compared to pre-established annual performance goals. Additionally, for the 13 weeks ended May 2, 2009, there were 1.2 million shares of time-based restricted stock units that were outstanding, but not included in the computation of weighted average diluted common share amounts as the effect of doing so would have been anti-dilutive.</t>
        </r>
      </text>
    </comment>
    <comment ref="BL177" authorId="8">
      <text>
        <r>
          <rPr>
            <b/>
            <sz val="8"/>
            <color indexed="81"/>
            <rFont val="Tahoma"/>
            <family val="2"/>
          </rPr>
          <t>lr73192:</t>
        </r>
        <r>
          <rPr>
            <sz val="8"/>
            <color indexed="81"/>
            <rFont val="Tahoma"/>
            <family val="2"/>
          </rPr>
          <t xml:space="preserve">
In April, 4 mm shares repurchased ($72 mm) in share buyback, 26 million shares for repurchase remain
</t>
        </r>
      </text>
    </comment>
    <comment ref="BP177" authorId="10">
      <text>
        <r>
          <rPr>
            <b/>
            <sz val="8"/>
            <color indexed="81"/>
            <rFont val="Tahoma"/>
            <family val="2"/>
          </rPr>
          <t>nicholjs:</t>
        </r>
        <r>
          <rPr>
            <sz val="8"/>
            <color indexed="81"/>
            <rFont val="Tahoma"/>
            <family val="2"/>
          </rPr>
          <t xml:space="preserve">
did not repurchase any shares
~80mm share repo spread evenly through qtrs at ~$15 stock price
As of January 29, 2011, the Company had 14.5 million shares remaining authorized for repurchase. </t>
        </r>
      </text>
    </comment>
    <comment ref="BT177" authorId="9">
      <text>
        <r>
          <rPr>
            <b/>
            <sz val="8"/>
            <color indexed="81"/>
            <rFont val="Tahoma"/>
            <family val="2"/>
          </rPr>
          <t>P Kahng:</t>
        </r>
        <r>
          <rPr>
            <sz val="8"/>
            <color indexed="81"/>
            <rFont val="Tahoma"/>
            <family val="2"/>
          </rPr>
          <t xml:space="preserve">
5/1/12: Reduced share buyback from 600K to 500K based on stock price at $20</t>
        </r>
      </text>
    </comment>
    <comment ref="BX177" authorId="13">
      <text>
        <r>
          <rPr>
            <b/>
            <sz val="8"/>
            <color indexed="81"/>
            <rFont val="Tahoma"/>
            <family val="2"/>
          </rPr>
          <t>casselau:</t>
        </r>
        <r>
          <rPr>
            <sz val="8"/>
            <color indexed="81"/>
            <rFont val="Tahoma"/>
            <family val="2"/>
          </rPr>
          <t xml:space="preserve">
3/6/13: share count is assumed to be flat to LY; repurchased $33M</t>
        </r>
      </text>
    </comment>
    <comment ref="CB177" authorId="26">
      <text>
        <r>
          <rPr>
            <b/>
            <sz val="8"/>
            <color indexed="81"/>
            <rFont val="Tahoma"/>
            <family val="2"/>
          </rPr>
          <t>kimberlg:</t>
        </r>
        <r>
          <rPr>
            <sz val="8"/>
            <color indexed="81"/>
            <rFont val="Tahoma"/>
            <family val="2"/>
          </rPr>
          <t xml:space="preserve">
3/11/14 Judy indicated they would try to repurchase shares to offset dilution</t>
        </r>
      </text>
    </comment>
    <comment ref="CN177" authorId="14">
      <text>
        <r>
          <rPr>
            <b/>
            <sz val="9"/>
            <color indexed="81"/>
            <rFont val="Tahoma"/>
            <family val="2"/>
          </rPr>
          <t>Cassel, Lauren (Research):</t>
        </r>
        <r>
          <rPr>
            <sz val="9"/>
            <color indexed="81"/>
            <rFont val="Tahoma"/>
            <family val="2"/>
          </rPr>
          <t xml:space="preserve">
5/17/17: repurchased 6M shares for $87.8M; 19M shares remain on the authorization</t>
        </r>
      </text>
    </comment>
    <comment ref="W178" authorId="1">
      <text>
        <r>
          <rPr>
            <b/>
            <sz val="8"/>
            <color indexed="81"/>
            <rFont val="Tahoma"/>
            <family val="2"/>
          </rPr>
          <t>Debbie Ong:</t>
        </r>
        <r>
          <rPr>
            <sz val="8"/>
            <color indexed="81"/>
            <rFont val="Tahoma"/>
            <family val="2"/>
          </rPr>
          <t xml:space="preserve">
had 48.6 mm b4 2Q rptd</t>
        </r>
      </text>
    </comment>
    <comment ref="AR178" authorId="28">
      <text>
        <r>
          <rPr>
            <b/>
            <sz val="8"/>
            <color indexed="81"/>
            <rFont val="Tahoma"/>
            <family val="2"/>
          </rPr>
          <t>Kimberly Greenberger:</t>
        </r>
        <r>
          <rPr>
            <sz val="8"/>
            <color indexed="81"/>
            <rFont val="Tahoma"/>
            <family val="2"/>
          </rPr>
          <t xml:space="preserve">
5/12/05 looks like should increase by 2mm per qtr, but assume share repurch auth gets appvd by Board and co starts buying back stock in 2Q05.</t>
        </r>
      </text>
    </comment>
    <comment ref="AZ178" authorId="25">
      <text>
        <r>
          <rPr>
            <b/>
            <sz val="8"/>
            <color indexed="81"/>
            <rFont val="Tahoma"/>
            <family val="2"/>
          </rPr>
          <t>kg51925:</t>
        </r>
        <r>
          <rPr>
            <sz val="8"/>
            <color indexed="81"/>
            <rFont val="Tahoma"/>
            <family val="2"/>
          </rPr>
          <t xml:space="preserve">
2Q repo'd 3.7mm shares for $99.5mm ($26.89/share)</t>
        </r>
      </text>
    </comment>
    <comment ref="BD178" authorId="17">
      <text>
        <r>
          <rPr>
            <b/>
            <sz val="8"/>
            <color indexed="81"/>
            <rFont val="Tahoma"/>
            <family val="2"/>
          </rPr>
          <t>mm98285:</t>
        </r>
        <r>
          <rPr>
            <sz val="8"/>
            <color indexed="81"/>
            <rFont val="Tahoma"/>
            <family val="2"/>
          </rPr>
          <t xml:space="preserve">
1/28/08: new 30mm share authorization through 2010; 41.2mm shares available for repurcahse through 2010 -- assume repurchased equally over this period (12 quarters), or 3.4mm shares repurchased per quarter 
8/07: assume 23.5mm shares left under current authorization (through end of 2009) will be repurchased evenly over next 10 quarters, or ~2.35mm shares per quarter. Assume option creep of 1.5 per quarter (inline with 2006), therefore we assume shares decline by ~4mm in 2008 and 2009 (~2.35 x 4 - ~1.5 x 4)
</t>
        </r>
      </text>
    </comment>
    <comment ref="BL178" authorId="33">
      <text>
        <r>
          <rPr>
            <b/>
            <sz val="8"/>
            <color indexed="81"/>
            <rFont val="Tahoma"/>
            <family val="2"/>
          </rPr>
          <t>NS66486:</t>
        </r>
        <r>
          <rPr>
            <sz val="8"/>
            <color indexed="81"/>
            <rFont val="Tahoma"/>
            <family val="2"/>
          </rPr>
          <t xml:space="preserve">
2Q: repo'ed 10mm shares, bringing YTD total to 14mm shares for ~$192mm
8/10: during the month of July repo'ed 3.3mm shares
7/10: during month of June repo'ed 6.7mm shares, 19.3mm shares remaining under authorization
6/9/2010: company has repurchased 5.9mm shares YTD for approx $96mm, 24.1mm shares remain under authorization
</t>
        </r>
      </text>
    </comment>
    <comment ref="BT178" authorId="9">
      <text>
        <r>
          <rPr>
            <b/>
            <sz val="8"/>
            <color indexed="81"/>
            <rFont val="Tahoma"/>
            <family val="2"/>
          </rPr>
          <t>P Kahng:</t>
        </r>
        <r>
          <rPr>
            <sz val="8"/>
            <color indexed="81"/>
            <rFont val="Tahoma"/>
            <family val="2"/>
          </rPr>
          <t xml:space="preserve">
5/1/12: Reduced share buyback from 600K to 500K based on stock price at $20</t>
        </r>
      </text>
    </comment>
    <comment ref="AR179" authorId="28">
      <text>
        <r>
          <rPr>
            <b/>
            <sz val="8"/>
            <color indexed="81"/>
            <rFont val="Tahoma"/>
            <family val="2"/>
          </rPr>
          <t>Corinna Freedman:</t>
        </r>
        <r>
          <rPr>
            <sz val="8"/>
            <color indexed="81"/>
            <rFont val="Tahoma"/>
            <family val="2"/>
          </rPr>
          <t xml:space="preserve"> increased share repurch auth by 2.1m for total of 3.5m authorized as of 9/6</t>
        </r>
        <r>
          <rPr>
            <b/>
            <sz val="8"/>
            <color indexed="81"/>
            <rFont val="Tahoma"/>
            <family val="2"/>
          </rPr>
          <t xml:space="preserve">
Kimberly Greenberger:</t>
        </r>
        <r>
          <rPr>
            <sz val="8"/>
            <color indexed="81"/>
            <rFont val="Tahoma"/>
            <family val="2"/>
          </rPr>
          <t xml:space="preserve">
5/12/05 looks like should increase by 2mm per qtr, but assume share repurch auth gets appvd by Board and co starts buying back stock in 2Q05.</t>
        </r>
      </text>
    </comment>
    <comment ref="AV179" authorId="5">
      <text>
        <r>
          <rPr>
            <b/>
            <sz val="8"/>
            <color indexed="81"/>
            <rFont val="Tahoma"/>
            <family val="2"/>
          </rPr>
          <t>MB33100:</t>
        </r>
        <r>
          <rPr>
            <sz val="8"/>
            <color indexed="81"/>
            <rFont val="Tahoma"/>
            <family val="2"/>
          </rPr>
          <t xml:space="preserve">
9/1/06: per 10-Q, company repurchased 1.4mm shares for $51.3mm and now has 2.1mm shares remaining on share authorization</t>
        </r>
      </text>
    </comment>
    <comment ref="AZ179" authorId="17">
      <text>
        <r>
          <rPr>
            <b/>
            <sz val="8"/>
            <color indexed="81"/>
            <rFont val="Tahoma"/>
            <family val="2"/>
          </rPr>
          <t>mm98285:</t>
        </r>
        <r>
          <rPr>
            <sz val="8"/>
            <color indexed="81"/>
            <rFont val="Tahoma"/>
            <family val="2"/>
          </rPr>
          <t xml:space="preserve">
11/07: repo'd 2.4mm shares for $58.5mm in 3Q
Subsequent to 3Q, repo'd add'l 1.0mm shares for $21.5mm (Incl. subsequent repo, YTD repo'd 9.9mm shares for $264.7mm leaving 20.1mm shares authorized for repurchase).</t>
        </r>
        <r>
          <rPr>
            <b/>
            <sz val="8"/>
            <color indexed="81"/>
            <rFont val="Tahoma"/>
            <family val="2"/>
          </rPr>
          <t xml:space="preserve">
</t>
        </r>
        <r>
          <rPr>
            <sz val="8"/>
            <color indexed="81"/>
            <rFont val="Tahoma"/>
            <family val="2"/>
          </rPr>
          <t>10/07: Assume get 1.5mm share reduction from 3.7mm share repurchase in 2Q. 
3Q repo: 2.4mm shares by 9/4/07 ($58.5mm) = $24.38 px per share
subsequent to 3Q close, repo'd 1.0mm shares for $21.5mm or $21.50 px per share
8/07: assume 23.5mm shares left under current authorization (through end of 2009) will be repurchased evenly over next 10 quarters, or ~2.35mm shares per quarter. Assume stock remains flat to down slightly in 2H07, so little to no option creep.  Therefore we assume shares decline by ~2mm per quarter in 2H07, to be slightly conservative</t>
        </r>
      </text>
    </comment>
    <comment ref="BA179" authorId="6">
      <text>
        <r>
          <rPr>
            <b/>
            <sz val="8"/>
            <color indexed="81"/>
            <rFont val="Tahoma"/>
            <family val="2"/>
          </rPr>
          <t>OC48540:</t>
        </r>
        <r>
          <rPr>
            <sz val="8"/>
            <color indexed="81"/>
            <rFont val="Tahoma"/>
            <family val="2"/>
          </rPr>
          <t xml:space="preserve">
shares out at Nov 30th</t>
        </r>
      </text>
    </comment>
    <comment ref="BD179" authorId="17">
      <text>
        <r>
          <rPr>
            <b/>
            <sz val="8"/>
            <color indexed="81"/>
            <rFont val="Tahoma"/>
            <family val="2"/>
          </rPr>
          <t>mm98285:</t>
        </r>
        <r>
          <rPr>
            <sz val="8"/>
            <color indexed="81"/>
            <rFont val="Tahoma"/>
            <family val="2"/>
          </rPr>
          <t xml:space="preserve">
1/28/08: new 30mm share authorization through 2010; 41.2mm shares available for repurcahse through 2010 -- assume repurchased equally over this period (12 quarters), or 3.4mm shares repurchased per quarter 
8/07: assume 23.5mm shares left under current authorization (through end of 2009) will be repurchased evenly over next 10 quarters, or ~2.35mm shares per quarter. Assume option creep of 1.5 per quarter (inline with 2006), therefore we assume shares decline by ~4mm in 2008 and 2009 (~2.35 x 4 - ~1.5 x 4)
</t>
        </r>
      </text>
    </comment>
    <comment ref="BL179" authorId="10">
      <text>
        <r>
          <rPr>
            <b/>
            <sz val="8"/>
            <color indexed="81"/>
            <rFont val="Tahoma"/>
            <family val="2"/>
          </rPr>
          <t>nicholjs:</t>
        </r>
        <r>
          <rPr>
            <sz val="8"/>
            <color indexed="81"/>
            <rFont val="Tahoma"/>
            <family val="2"/>
          </rPr>
          <t xml:space="preserve">
did not repurchase any stock during the qtr
8/2010: expect ~199mm
16M shares remain under auth for repo</t>
        </r>
      </text>
    </comment>
    <comment ref="BP179" authorId="12">
      <text>
        <r>
          <rPr>
            <sz val="8"/>
            <color indexed="81"/>
            <rFont val="Tahoma"/>
            <family val="2"/>
          </rPr>
          <t xml:space="preserve">11/2011: The company ended the third quarter with total cash and investments of $482 million. During the quarter, 1.4 million shares were repurchased for a total of $15 million. 
</t>
        </r>
      </text>
    </comment>
    <comment ref="BT179" authorId="9">
      <text>
        <r>
          <rPr>
            <b/>
            <sz val="8"/>
            <color indexed="81"/>
            <rFont val="Tahoma"/>
            <family val="2"/>
          </rPr>
          <t xml:space="preserve">8/22/2012: </t>
        </r>
        <r>
          <rPr>
            <sz val="8"/>
            <color indexed="81"/>
            <rFont val="Tahoma"/>
            <family val="2"/>
          </rPr>
          <t>2H 200M shares (guidance)</t>
        </r>
        <r>
          <rPr>
            <b/>
            <sz val="8"/>
            <color indexed="81"/>
            <rFont val="Tahoma"/>
            <family val="2"/>
          </rPr>
          <t xml:space="preserve">
P Kahng:</t>
        </r>
        <r>
          <rPr>
            <sz val="8"/>
            <color indexed="81"/>
            <rFont val="Tahoma"/>
            <family val="2"/>
          </rPr>
          <t xml:space="preserve">
5/1/12: Reduced share buyback from 600K to 500K based on stock price at $20</t>
        </r>
      </text>
    </comment>
    <comment ref="CF179" authorId="13">
      <text>
        <r>
          <rPr>
            <b/>
            <sz val="9"/>
            <color indexed="81"/>
            <rFont val="Tahoma"/>
            <family val="2"/>
          </rPr>
          <t>casselau:</t>
        </r>
        <r>
          <rPr>
            <sz val="9"/>
            <color indexed="81"/>
            <rFont val="Tahoma"/>
            <family val="2"/>
          </rPr>
          <t xml:space="preserve">
12/2/15: repurchased 1M shares for $15 million. The remaining authorization under the current repurchase program is for 17.4M shares, which expires on January 28, 2017. </t>
        </r>
      </text>
    </comment>
    <comment ref="W180" authorId="21">
      <text>
        <r>
          <rPr>
            <sz val="8"/>
            <color indexed="81"/>
            <rFont val="Tahoma"/>
            <family val="2"/>
          </rPr>
          <t>2/8/01 had 47.749, but incr b/c of in-the-money options and higher stock price to 48.3</t>
        </r>
      </text>
    </comment>
    <comment ref="AR180" authorId="28">
      <text>
        <r>
          <rPr>
            <b/>
            <sz val="8"/>
            <color indexed="81"/>
            <rFont val="Tahoma"/>
            <family val="2"/>
          </rPr>
          <t>Kimberly Greenberger:</t>
        </r>
        <r>
          <rPr>
            <sz val="8"/>
            <color indexed="81"/>
            <rFont val="Tahoma"/>
            <family val="2"/>
          </rPr>
          <t xml:space="preserve">
11/15/05 mgmt guided to 152-153mm shares for 4Q05
9/20/05 mgmt indicated they are buying back shares, so assume they will be aggressive at $21
5/12/05 looks like should increase by 2mm per qtr, but assume share repurch auth gets appvd by Board and co starts buying back stock in 2Q05.</t>
        </r>
      </text>
    </comment>
    <comment ref="AZ180" authorId="17">
      <text>
        <r>
          <rPr>
            <b/>
            <sz val="8"/>
            <color indexed="81"/>
            <rFont val="Tahoma"/>
            <family val="2"/>
          </rPr>
          <t>mm98285:</t>
        </r>
        <r>
          <rPr>
            <sz val="8"/>
            <color indexed="81"/>
            <rFont val="Tahoma"/>
            <family val="2"/>
          </rPr>
          <t xml:space="preserve">
1/28/08: est. repurch'd another 8.9 shares in addition to 1mm in Nov. in 4Q07
1/08: expect ~215
1/08: 4Q we assume 1/2 of 3Q repo (1.2mm) and full benefit of early 4Q 1.0mm repo, plus assume 1/2 benefit of additional 6.5mm shares assumed they will repo over balance of quarter
10/07: assume company aggressively repurchases stock given share price decline.
4Q we assume 1/2 of 3Q repo (1.2mm) and full benefit of early 4Q 1.0mm repo, plus assume 1/2 benefit of additional 1.5mm shares assumed they will repo over balance of quarter
8/07: assume 23.5mm shares left under current authorization (through end of 2009) will be repurchased evenly over next 10 quarters, or ~2.35mm shares per quarter. Assume stock remains flat to down slightly in 2H07, so little to no option creep.  Therefore we assume shares decline by ~2mm per quarter in 2H07, to be slightly conservative
</t>
        </r>
      </text>
    </comment>
    <comment ref="BD180" authorId="17">
      <text>
        <r>
          <rPr>
            <b/>
            <sz val="8"/>
            <color indexed="81"/>
            <rFont val="Tahoma"/>
            <family val="2"/>
          </rPr>
          <t>mm98285:</t>
        </r>
        <r>
          <rPr>
            <sz val="8"/>
            <color indexed="81"/>
            <rFont val="Tahoma"/>
            <family val="2"/>
          </rPr>
          <t xml:space="preserve">
1/28/08: new 30mm share authorization through 2010; 41.2mm shares available for repurcahse through 2010 -- assume repurchased equally over this period (12 quarters), or 3.4mm shares repurchased per quarter 
8/07: assume 23.5mm shares left under current authorization (through end of 2009) will be repurchased evenly over next 10 quarters, or ~2.35mm shares per quarter. Assume option creep of 1.5 per quarter (inline with 2006), therefore we assume shares decline by ~4mm in 2008 and 2009 (~2.35 x 4 - ~1.5 x 4)
</t>
        </r>
      </text>
    </comment>
    <comment ref="BT180" authorId="9">
      <text>
        <r>
          <rPr>
            <b/>
            <sz val="8"/>
            <color indexed="81"/>
            <rFont val="Tahoma"/>
            <family val="2"/>
          </rPr>
          <t xml:space="preserve">1/10/13: </t>
        </r>
        <r>
          <rPr>
            <sz val="8"/>
            <color indexed="81"/>
            <rFont val="Tahoma"/>
            <family val="2"/>
          </rPr>
          <t>during Dec, repurchased 5M shares for a total of $105M; expect 202M shares at end of 4Q</t>
        </r>
        <r>
          <rPr>
            <b/>
            <sz val="8"/>
            <color indexed="81"/>
            <rFont val="Tahoma"/>
            <family val="2"/>
          </rPr>
          <t xml:space="preserve">
8/22/2012: </t>
        </r>
        <r>
          <rPr>
            <sz val="8"/>
            <color indexed="81"/>
            <rFont val="Tahoma"/>
            <family val="2"/>
          </rPr>
          <t>2H 200M shares (guidance)</t>
        </r>
        <r>
          <rPr>
            <b/>
            <sz val="8"/>
            <color indexed="81"/>
            <rFont val="Tahoma"/>
            <family val="2"/>
          </rPr>
          <t xml:space="preserve">
P Kahng:</t>
        </r>
        <r>
          <rPr>
            <sz val="8"/>
            <color indexed="81"/>
            <rFont val="Tahoma"/>
            <family val="2"/>
          </rPr>
          <t xml:space="preserve">
5/1/12: Reduced share buyback from 600K to 500K based on stock price at $20</t>
        </r>
      </text>
    </comment>
    <comment ref="CF180" authorId="13">
      <text>
        <r>
          <rPr>
            <b/>
            <sz val="9"/>
            <color indexed="81"/>
            <rFont val="Tahoma"/>
            <family val="2"/>
          </rPr>
          <t>casselau:
3/8/16: Board authorized additional 25M shares 1/2021. Combined with the
company`s existing authorization of 2.8 million shares, which expires on January 28, 2017, the company has 27.8M shares available for repurchase</t>
        </r>
        <r>
          <rPr>
            <sz val="9"/>
            <color indexed="81"/>
            <rFont val="Tahoma"/>
            <family val="2"/>
          </rPr>
          <t xml:space="preserve">
3/2/16: During the quarter, the company repurchased 14.6 million shares for $212 million. The remaining authorization under the current repurchase program is for 2.8 million shares, which expires on January 28, 2017. </t>
        </r>
      </text>
    </comment>
    <comment ref="BL181" authorId="10">
      <text>
        <r>
          <rPr>
            <b/>
            <sz val="8"/>
            <color indexed="81"/>
            <rFont val="Tahoma"/>
            <family val="2"/>
          </rPr>
          <t>nicholjs:</t>
        </r>
        <r>
          <rPr>
            <sz val="8"/>
            <color indexed="81"/>
            <rFont val="Tahoma"/>
            <family val="2"/>
          </rPr>
          <t xml:space="preserve">
During FY2010, repurchased 15.5 million shares for approximately $216.1 million, at a weighted average price of $13.94 per share. As of January 29, 2011, the Company had 14.5 million shares remaining authorized for repurchase. </t>
        </r>
      </text>
    </comment>
    <comment ref="BT181" authorId="13">
      <text>
        <r>
          <rPr>
            <b/>
            <sz val="8"/>
            <color indexed="81"/>
            <rFont val="Tahoma"/>
            <family val="2"/>
          </rPr>
          <t xml:space="preserve">3/6/13: </t>
        </r>
        <r>
          <rPr>
            <sz val="8"/>
            <color indexed="81"/>
            <rFont val="Tahoma"/>
            <family val="2"/>
          </rPr>
          <t>the BOD authorized 20M shares under a new share repurchase program; in 2012, repurchased 8.4M shares for $174M</t>
        </r>
        <r>
          <rPr>
            <b/>
            <sz val="8"/>
            <color indexed="81"/>
            <rFont val="Tahoma"/>
            <family val="2"/>
          </rPr>
          <t xml:space="preserve">
1/10/13: </t>
        </r>
        <r>
          <rPr>
            <sz val="8"/>
            <color indexed="81"/>
            <rFont val="Tahoma"/>
            <family val="2"/>
          </rPr>
          <t>expect 201M</t>
        </r>
        <r>
          <rPr>
            <sz val="8"/>
            <color indexed="81"/>
            <rFont val="Tahoma"/>
            <family val="2"/>
          </rPr>
          <t xml:space="preserve">
11/28: expect 203M shares</t>
        </r>
      </text>
    </comment>
    <comment ref="CB181" authorId="26">
      <text>
        <r>
          <rPr>
            <b/>
            <sz val="8"/>
            <color indexed="81"/>
            <rFont val="Tahoma"/>
            <family val="2"/>
          </rPr>
          <t>kimberlg:</t>
        </r>
        <r>
          <rPr>
            <sz val="8"/>
            <color indexed="81"/>
            <rFont val="Tahoma"/>
            <family val="2"/>
          </rPr>
          <t xml:space="preserve">
3/11/14 Judy indicated they would try to repurchase shares to offset dilution</t>
        </r>
      </text>
    </comment>
    <comment ref="CF181" authorId="26">
      <text>
        <r>
          <rPr>
            <b/>
            <sz val="8"/>
            <color indexed="81"/>
            <rFont val="Tahoma"/>
            <family val="2"/>
          </rPr>
          <t>kimberlg:
3/2/16: In 2015, we repurchased 15.6 million shares for $227 million</t>
        </r>
        <r>
          <rPr>
            <sz val="8"/>
            <color indexed="81"/>
            <rFont val="Tahoma"/>
            <family val="2"/>
          </rPr>
          <t xml:space="preserve">
3/11/14 Judy indicated they would try to repurchase shares to offset dilution</t>
        </r>
      </text>
    </comment>
    <comment ref="CJ181" authorId="13">
      <text>
        <r>
          <rPr>
            <b/>
            <sz val="9"/>
            <color indexed="81"/>
            <rFont val="Tahoma"/>
            <family val="2"/>
          </rPr>
          <t>casselau:</t>
        </r>
        <r>
          <rPr>
            <sz val="9"/>
            <color indexed="81"/>
            <rFont val="Tahoma"/>
            <family val="2"/>
          </rPr>
          <t xml:space="preserve">
3/2/16: 184M for the year</t>
        </r>
      </text>
    </comment>
    <comment ref="BD195" authorId="6">
      <text>
        <r>
          <rPr>
            <b/>
            <u/>
            <sz val="8"/>
            <color indexed="81"/>
            <rFont val="Tahoma"/>
            <family val="2"/>
          </rPr>
          <t>2007 10-K:</t>
        </r>
        <r>
          <rPr>
            <sz val="8"/>
            <color indexed="81"/>
            <rFont val="Tahoma"/>
            <family val="2"/>
          </rPr>
          <t xml:space="preserve">
204.899265 basic shares outstanding</t>
        </r>
      </text>
    </comment>
    <comment ref="BH195" authorId="18">
      <text>
        <r>
          <rPr>
            <b/>
            <sz val="8"/>
            <color indexed="81"/>
            <rFont val="Tahoma"/>
            <family val="2"/>
          </rPr>
          <t>oc48540:</t>
        </r>
        <r>
          <rPr>
            <sz val="8"/>
            <color indexed="81"/>
            <rFont val="Tahoma"/>
            <family val="2"/>
          </rPr>
          <t xml:space="preserve">
206,380,486 Common Shares were outstanding at March 13, 2009.</t>
        </r>
      </text>
    </comment>
    <comment ref="BL195" authorId="10">
      <text>
        <r>
          <rPr>
            <b/>
            <sz val="8"/>
            <color indexed="81"/>
            <rFont val="Tahoma"/>
            <family val="2"/>
          </rPr>
          <t>nicholjs:</t>
        </r>
        <r>
          <rPr>
            <sz val="8"/>
            <color indexed="81"/>
            <rFont val="Tahoma"/>
            <family val="2"/>
          </rPr>
          <t xml:space="preserve">
209,044,166
Common Shares were outstanding at March 19, 2010</t>
        </r>
      </text>
    </comment>
    <comment ref="BD196" authorId="6">
      <text>
        <r>
          <rPr>
            <b/>
            <sz val="8"/>
            <color indexed="81"/>
            <rFont val="Tahoma"/>
            <family val="2"/>
          </rPr>
          <t>OC48540:</t>
        </r>
        <r>
          <rPr>
            <sz val="8"/>
            <color indexed="81"/>
            <rFont val="Tahoma"/>
            <family val="2"/>
          </rPr>
          <t xml:space="preserve">
1Q08 10Q at May 30th = 205.823268mm shares out</t>
        </r>
      </text>
    </comment>
    <comment ref="BH196" authorId="18">
      <text>
        <r>
          <rPr>
            <b/>
            <sz val="8"/>
            <color indexed="81"/>
            <rFont val="Tahoma"/>
            <family val="2"/>
          </rPr>
          <t>oc48540:</t>
        </r>
        <r>
          <rPr>
            <sz val="8"/>
            <color indexed="81"/>
            <rFont val="Tahoma"/>
            <family val="2"/>
          </rPr>
          <t xml:space="preserve">
206,785,601 Common Shares were outstanding at May 29, 2009</t>
        </r>
      </text>
    </comment>
    <comment ref="BL196" authorId="10">
      <text>
        <r>
          <rPr>
            <b/>
            <sz val="8"/>
            <color indexed="81"/>
            <rFont val="Tahoma"/>
            <family val="2"/>
          </rPr>
          <t>nicholjs:</t>
        </r>
        <r>
          <rPr>
            <sz val="8"/>
            <color indexed="81"/>
            <rFont val="Tahoma"/>
            <family val="2"/>
          </rPr>
          <t xml:space="preserve">
205,421,259 Common Shares were outstanding at June 4, 2010</t>
        </r>
      </text>
    </comment>
    <comment ref="BP196" authorId="10">
      <text>
        <r>
          <rPr>
            <b/>
            <sz val="8"/>
            <color indexed="81"/>
            <rFont val="Tahoma"/>
            <family val="2"/>
          </rPr>
          <t>nicholjs:</t>
        </r>
        <r>
          <rPr>
            <sz val="8"/>
            <color indexed="81"/>
            <rFont val="Tahoma"/>
            <family val="2"/>
          </rPr>
          <t xml:space="preserve">
194,871,695
Common Shares were outstanding at May 23, 2011.</t>
        </r>
      </text>
    </comment>
    <comment ref="BH197" authorId="18">
      <text>
        <r>
          <rPr>
            <b/>
            <sz val="8"/>
            <color indexed="81"/>
            <rFont val="Tahoma"/>
            <family val="2"/>
          </rPr>
          <t>oc48540:</t>
        </r>
        <r>
          <rPr>
            <sz val="8"/>
            <color indexed="81"/>
            <rFont val="Tahoma"/>
            <family val="2"/>
          </rPr>
          <t xml:space="preserve">
207,375,883 were outstanding as of Aug 31, 2009</t>
        </r>
      </text>
    </comment>
    <comment ref="BL197" authorId="10">
      <text>
        <r>
          <rPr>
            <b/>
            <sz val="8"/>
            <color indexed="81"/>
            <rFont val="Tahoma"/>
            <family val="2"/>
          </rPr>
          <t>nicholjs:</t>
        </r>
        <r>
          <rPr>
            <sz val="8"/>
            <color indexed="81"/>
            <rFont val="Tahoma"/>
            <family val="2"/>
          </rPr>
          <t xml:space="preserve">
did not repurchase any stock during the quarter
195,544,821 Common Shares were outstanding at August 20, 2010</t>
        </r>
      </text>
    </comment>
    <comment ref="BP197" authorId="10">
      <text>
        <r>
          <rPr>
            <b/>
            <sz val="8"/>
            <color indexed="81"/>
            <rFont val="Tahoma"/>
            <family val="2"/>
          </rPr>
          <t>nicholjs:</t>
        </r>
        <r>
          <rPr>
            <sz val="8"/>
            <color indexed="81"/>
            <rFont val="Tahoma"/>
            <family val="2"/>
          </rPr>
          <t xml:space="preserve">
194,901,192 common shares outstanding as of Aug 22</t>
        </r>
      </text>
    </comment>
    <comment ref="BD198" authorId="18">
      <text>
        <r>
          <rPr>
            <b/>
            <sz val="8"/>
            <color indexed="81"/>
            <rFont val="Tahoma"/>
            <family val="2"/>
          </rPr>
          <t>oc48540:</t>
        </r>
        <r>
          <rPr>
            <sz val="8"/>
            <color indexed="81"/>
            <rFont val="Tahoma"/>
            <family val="2"/>
          </rPr>
          <t xml:space="preserve">
common shares out at Nov 30, 2008… 206,163,075 shares</t>
        </r>
      </text>
    </comment>
    <comment ref="BH198" authorId="18">
      <text>
        <r>
          <rPr>
            <sz val="8"/>
            <color indexed="81"/>
            <rFont val="Tahoma"/>
            <family val="2"/>
          </rPr>
          <t>207,772,852 Common Shares were outstanding at November 30, 2009.</t>
        </r>
      </text>
    </comment>
    <comment ref="BH199" authorId="22">
      <text>
        <r>
          <rPr>
            <b/>
            <sz val="8"/>
            <color indexed="81"/>
            <rFont val="Tahoma"/>
            <family val="2"/>
          </rPr>
          <t>ns66486:</t>
        </r>
        <r>
          <rPr>
            <sz val="8"/>
            <color indexed="81"/>
            <rFont val="Tahoma"/>
            <family val="2"/>
          </rPr>
          <t xml:space="preserve">
209,044,166 shares outstanding as of Mar 19, 2010</t>
        </r>
      </text>
    </comment>
    <comment ref="CB199" authorId="26">
      <text>
        <r>
          <rPr>
            <b/>
            <sz val="8"/>
            <color indexed="81"/>
            <rFont val="Tahoma"/>
            <family val="2"/>
          </rPr>
          <t>kimberlg:</t>
        </r>
        <r>
          <rPr>
            <sz val="8"/>
            <color indexed="81"/>
            <rFont val="Tahoma"/>
            <family val="2"/>
          </rPr>
          <t xml:space="preserve">
3/11/14 Judy indicated they would try to repurchase shares to offset dilution</t>
        </r>
      </text>
    </comment>
    <comment ref="CF199" authorId="26">
      <text>
        <r>
          <rPr>
            <b/>
            <sz val="8"/>
            <color indexed="81"/>
            <rFont val="Tahoma"/>
            <family val="2"/>
          </rPr>
          <t>kimberlg:</t>
        </r>
        <r>
          <rPr>
            <sz val="8"/>
            <color indexed="81"/>
            <rFont val="Tahoma"/>
            <family val="2"/>
          </rPr>
          <t xml:space="preserve">
3/11/14 Judy indicated they would try to repurchase shares to offset dilution</t>
        </r>
      </text>
    </comment>
    <comment ref="BH204" authorId="18">
      <text>
        <r>
          <rPr>
            <b/>
            <sz val="8"/>
            <color indexed="81"/>
            <rFont val="Tahoma"/>
            <family val="2"/>
          </rPr>
          <t>oc48540:</t>
        </r>
        <r>
          <rPr>
            <sz val="8"/>
            <color indexed="81"/>
            <rFont val="Tahoma"/>
            <family val="2"/>
          </rPr>
          <t xml:space="preserve">
During the 13 weeks ended May 2, 2009, our Board declared a quarterly cash dividend of $0.10 per share, which was paid on April 10, 2009. </t>
        </r>
      </text>
    </comment>
    <comment ref="BP204" authorId="10">
      <text>
        <r>
          <rPr>
            <b/>
            <sz val="8"/>
            <color indexed="81"/>
            <rFont val="Tahoma"/>
            <family val="2"/>
          </rPr>
          <t>nicholjs:</t>
        </r>
        <r>
          <rPr>
            <sz val="8"/>
            <color indexed="81"/>
            <rFont val="Tahoma"/>
            <family val="2"/>
          </rPr>
          <t xml:space="preserve">
3/2/2011: announced a quarterly cash dividend of $0.11 per share. The dividend was declared on March 1, 2011 and is payable on April 8, 2011 to stockholders of record at the close of business on March 28, 2011. 
</t>
        </r>
      </text>
    </comment>
    <comment ref="CR204" authorId="14">
      <text>
        <r>
          <rPr>
            <b/>
            <sz val="9"/>
            <color indexed="81"/>
            <rFont val="Tahoma"/>
            <family val="2"/>
          </rPr>
          <t>Cassel, Lauren (Research):</t>
        </r>
        <r>
          <rPr>
            <sz val="9"/>
            <color indexed="81"/>
            <rFont val="Tahoma"/>
            <family val="2"/>
          </rPr>
          <t xml:space="preserve">
3/8/18: As a result of our strong cash position, positive free cash flow, and the benefits associated with U.S. tax legislation, we are raising the quarterly dividend 10%, to $0.1375 per share. This marks the company’s 55th consecutive quarterly dividend. The $0.1375 dividend was declared on March 7, 2018 and is payable on April 27, 2018 to stockholders of record at the close of business on April 13, 2018. </t>
        </r>
      </text>
    </comment>
    <comment ref="AV205" authorId="17">
      <text>
        <r>
          <rPr>
            <b/>
            <sz val="8"/>
            <color indexed="81"/>
            <rFont val="Tahoma"/>
            <family val="2"/>
          </rPr>
          <t>mm98285:</t>
        </r>
        <r>
          <rPr>
            <sz val="8"/>
            <color indexed="81"/>
            <rFont val="Tahoma"/>
            <family val="2"/>
          </rPr>
          <t xml:space="preserve">
6/06: raised div. 50% to annual rate of $0.45 per share; quarterly div. of $0.1125 per share</t>
        </r>
      </text>
    </comment>
    <comment ref="AZ205" authorId="17">
      <text>
        <r>
          <rPr>
            <b/>
            <sz val="8"/>
            <color indexed="81"/>
            <rFont val="Tahoma"/>
            <family val="2"/>
          </rPr>
          <t>mm98285:</t>
        </r>
        <r>
          <rPr>
            <sz val="8"/>
            <color indexed="81"/>
            <rFont val="Tahoma"/>
            <family val="2"/>
          </rPr>
          <t xml:space="preserve">
6/12/07: increases quarterly dividend to 10c from 7.5c payable 13-Jul; record 2-Jul</t>
        </r>
      </text>
    </comment>
    <comment ref="BL205" authorId="33">
      <text>
        <r>
          <rPr>
            <b/>
            <sz val="8"/>
            <color indexed="81"/>
            <rFont val="Tahoma"/>
            <family val="2"/>
          </rPr>
          <t>NS66486:</t>
        </r>
        <r>
          <rPr>
            <sz val="8"/>
            <color indexed="81"/>
            <rFont val="Tahoma"/>
            <family val="2"/>
          </rPr>
          <t xml:space="preserve">
raised quarterly cash dividend to $0.11 per share; declared and payable on July 9, 2010 to stockholders of record at the close of business on June 28, 2010. </t>
        </r>
      </text>
    </comment>
    <comment ref="BP205" authorId="10">
      <text>
        <r>
          <rPr>
            <b/>
            <sz val="8"/>
            <color indexed="81"/>
            <rFont val="Tahoma"/>
            <family val="2"/>
          </rPr>
          <t>nicholjs:</t>
        </r>
        <r>
          <rPr>
            <sz val="8"/>
            <color indexed="81"/>
            <rFont val="Tahoma"/>
            <family val="2"/>
          </rPr>
          <t xml:space="preserve">
6/22: 
announced a quarterly cash dividend of $0.11 per share, marketing the company's 28th consecutive quarterly dividend. The dividend was declared on June 21, 2011 and is payable on July 22, 2011 to stockholders of record at the close of business on July 8, 2011. 
</t>
        </r>
      </text>
    </comment>
    <comment ref="BX205" authorId="13">
      <text>
        <r>
          <rPr>
            <b/>
            <sz val="8"/>
            <color indexed="81"/>
            <rFont val="Tahoma"/>
            <family val="2"/>
          </rPr>
          <t>casselau:</t>
        </r>
        <r>
          <rPr>
            <sz val="8"/>
            <color indexed="81"/>
            <rFont val="Tahoma"/>
            <family val="2"/>
          </rPr>
          <t xml:space="preserve">
5/30/13: $0.125 represents a 14% increase from the 1Q dividend of $0.11</t>
        </r>
      </text>
    </comment>
    <comment ref="BP206" authorId="10">
      <text>
        <r>
          <rPr>
            <b/>
            <sz val="8"/>
            <color indexed="81"/>
            <rFont val="Tahoma"/>
            <family val="2"/>
          </rPr>
          <t>nicholjs:</t>
        </r>
        <r>
          <rPr>
            <sz val="8"/>
            <color indexed="81"/>
            <rFont val="Tahoma"/>
            <family val="2"/>
          </rPr>
          <t xml:space="preserve">
Sep 01, 2011 (BUSINESS WIRE) -- announced a quarterly cash dividend of $0.11 per share, marking the company's 29th consecutive quarterly dividend. The dividend was declared on August 31, 2011 and is payable on October 7, 2011 to stockholders of record at the close of business on September 26, 2011. 
</t>
        </r>
      </text>
    </comment>
    <comment ref="BD207" authorId="18">
      <text>
        <r>
          <rPr>
            <b/>
            <sz val="8"/>
            <color indexed="81"/>
            <rFont val="Tahoma"/>
            <family val="2"/>
          </rPr>
          <t>oc48540:</t>
        </r>
        <r>
          <rPr>
            <sz val="8"/>
            <color indexed="81"/>
            <rFont val="Tahoma"/>
            <family val="2"/>
          </rPr>
          <t xml:space="preserve">
Subsequent to the fourth quarter of Fiscal 2008, our Board declared a quarterly cash dividend of $0.10 per share, payable on April 10, 2009, to stockholders of record at the close of business on March 30, 2009. </t>
        </r>
      </text>
    </comment>
    <comment ref="BL207" authorId="10">
      <text>
        <r>
          <rPr>
            <b/>
            <sz val="8"/>
            <color indexed="81"/>
            <rFont val="Tahoma"/>
            <family val="2"/>
          </rPr>
          <t>nicholjs:</t>
        </r>
        <r>
          <rPr>
            <sz val="8"/>
            <color indexed="81"/>
            <rFont val="Tahoma"/>
            <family val="2"/>
          </rPr>
          <t xml:space="preserve">
12/10: dividend will be accelerated into December, so total dividend will be $0.61 (including $0.50 special dividend)</t>
        </r>
      </text>
    </comment>
    <comment ref="BT207" authorId="13">
      <text>
        <r>
          <rPr>
            <b/>
            <sz val="8"/>
            <color indexed="81"/>
            <rFont val="Tahoma"/>
            <family val="2"/>
          </rPr>
          <t>casselau:</t>
        </r>
        <r>
          <rPr>
            <sz val="8"/>
            <color indexed="81"/>
            <rFont val="Tahoma"/>
            <family val="2"/>
          </rPr>
          <t xml:space="preserve">
acceleration of 1Q13 div</t>
        </r>
      </text>
    </comment>
  </commentList>
</comments>
</file>

<file path=xl/comments5.xml><?xml version="1.0" encoding="utf-8"?>
<comments xmlns="http://schemas.openxmlformats.org/spreadsheetml/2006/main">
  <authors>
    <author>OC48540</author>
    <author>kimberlg</author>
    <author>Debbie Ong</author>
    <author>P Kahng</author>
    <author>CREDIT SUISSE FIRST BOSTON</author>
    <author>Cassel, Lauren (Research)</author>
    <author>oc48540</author>
    <author>Lehman Brothers</author>
    <author>Kimberly Greenberger</author>
    <author>nicholjs</author>
    <author>casselau</author>
    <author>dong2</author>
    <author>Corinna Freedman</author>
    <author>ns66486</author>
    <author>kahng</author>
    <author>solejay</author>
    <author>MB33100</author>
    <author>mm98285</author>
    <author>lr73192</author>
    <author>dliu</author>
    <author>marchant</author>
    <author>kg51925</author>
  </authors>
  <commentList>
    <comment ref="P5" authorId="0">
      <text>
        <r>
          <rPr>
            <b/>
            <sz val="8"/>
            <color indexed="81"/>
            <rFont val="Tahoma"/>
            <family val="2"/>
          </rPr>
          <t>OC48540:</t>
        </r>
        <r>
          <rPr>
            <sz val="8"/>
            <color indexed="81"/>
            <rFont val="Tahoma"/>
            <family val="2"/>
          </rPr>
          <t xml:space="preserve">
This supports a minimum of 10% square footage growth through the opening of approximately 135 new and 50 remodeled stores, primarily relating to AE and aerie. </t>
        </r>
      </text>
    </comment>
    <comment ref="U7" authorId="1">
      <text>
        <r>
          <rPr>
            <b/>
            <sz val="8"/>
            <color indexed="81"/>
            <rFont val="Tahoma"/>
            <family val="2"/>
          </rPr>
          <t xml:space="preserve">5/21/12: </t>
        </r>
        <r>
          <rPr>
            <sz val="8"/>
            <color indexed="81"/>
            <rFont val="Tahoma"/>
            <family val="2"/>
          </rPr>
          <t>excludes 77kids which had 5 store openings ($6M) and $40M in annual revenue as of May 2012. Was originally $3050M</t>
        </r>
        <r>
          <rPr>
            <b/>
            <sz val="8"/>
            <color indexed="81"/>
            <rFont val="Tahoma"/>
            <family val="2"/>
          </rPr>
          <t xml:space="preserve">
kimberlg </t>
        </r>
        <r>
          <rPr>
            <sz val="8"/>
            <color indexed="81"/>
            <rFont val="Tahoma"/>
            <family val="2"/>
          </rPr>
          <t>3/7/12: assumes new AE stores $2.5M sales each, new aerie $1.2M sales each, and new 77kids $1.2M each</t>
        </r>
      </text>
    </comment>
    <comment ref="H8" authorId="2">
      <text>
        <r>
          <rPr>
            <b/>
            <sz val="8"/>
            <color indexed="81"/>
            <rFont val="Tahoma"/>
            <family val="2"/>
          </rPr>
          <t>Debbie Ong:</t>
        </r>
        <r>
          <rPr>
            <sz val="8"/>
            <color indexed="81"/>
            <rFont val="Tahoma"/>
            <family val="2"/>
          </rPr>
          <t xml:space="preserve">
could be $15 </t>
        </r>
      </text>
    </comment>
    <comment ref="J8" authorId="2">
      <text>
        <r>
          <rPr>
            <b/>
            <sz val="8"/>
            <color indexed="81"/>
            <rFont val="Tahoma"/>
            <family val="2"/>
          </rPr>
          <t>Debbie Ong:</t>
        </r>
        <r>
          <rPr>
            <sz val="8"/>
            <color indexed="81"/>
            <rFont val="Tahoma"/>
            <family val="2"/>
          </rPr>
          <t xml:space="preserve">
5/24/01: had $30 b4 1Q conf call</t>
        </r>
      </text>
    </comment>
    <comment ref="U8" authorId="3">
      <text>
        <r>
          <rPr>
            <b/>
            <sz val="8"/>
            <color indexed="81"/>
            <rFont val="Tahoma"/>
            <family val="2"/>
          </rPr>
          <t>P Kahng:</t>
        </r>
        <r>
          <rPr>
            <sz val="8"/>
            <color indexed="81"/>
            <rFont val="Tahoma"/>
            <family val="2"/>
          </rPr>
          <t xml:space="preserve">
Growth reduced from 10% to 9% to account for 77kids disposal</t>
        </r>
      </text>
    </comment>
    <comment ref="H9" authorId="4">
      <text>
        <r>
          <rPr>
            <sz val="8"/>
            <color indexed="81"/>
            <rFont val="Tahoma"/>
            <family val="2"/>
          </rPr>
          <t>assumes $12mm internet sales for 2h00.  Make sure to change after each qtr reports</t>
        </r>
      </text>
    </comment>
    <comment ref="W9" authorId="5">
      <text>
        <r>
          <rPr>
            <b/>
            <sz val="9"/>
            <color indexed="81"/>
            <rFont val="Tahoma"/>
            <family val="2"/>
          </rPr>
          <t>Cassel, Lauren (Research):</t>
        </r>
        <r>
          <rPr>
            <sz val="9"/>
            <color indexed="81"/>
            <rFont val="Tahoma"/>
            <family val="2"/>
          </rPr>
          <t xml:space="preserve">
June 2016: Aerie sales are 10% of total revenues (5% standalone stores and 5% aerie merchandise sold in AE stores which is in AE comp) = $350M in revenue
70% bras and panties = $245M
Intimate apparel market is $13.5B = 1.8% marketshare</t>
        </r>
      </text>
    </comment>
    <comment ref="U10" authorId="1">
      <text>
        <r>
          <rPr>
            <b/>
            <sz val="8"/>
            <color indexed="81"/>
            <rFont val="Tahoma"/>
            <family val="2"/>
          </rPr>
          <t>kimberlg:</t>
        </r>
        <r>
          <rPr>
            <sz val="8"/>
            <color indexed="81"/>
            <rFont val="Tahoma"/>
            <family val="2"/>
          </rPr>
          <t xml:space="preserve">
3/7/12: $2961M represents 4.4% sales growth excl $36M from extra week in 2012 </t>
        </r>
      </text>
    </comment>
    <comment ref="P11" authorId="6">
      <text>
        <r>
          <rPr>
            <b/>
            <sz val="8"/>
            <color indexed="81"/>
            <rFont val="Tahoma"/>
            <family val="2"/>
          </rPr>
          <t>oc48540:</t>
        </r>
        <r>
          <rPr>
            <sz val="8"/>
            <color indexed="81"/>
            <rFont val="Tahoma"/>
            <family val="2"/>
          </rPr>
          <t xml:space="preserve">
online Launch of 77kids during fiscal 2008 with opening of US stores planned for 2010</t>
        </r>
      </text>
    </comment>
    <comment ref="J12" authorId="7">
      <text>
        <r>
          <rPr>
            <sz val="8"/>
            <color indexed="81"/>
            <rFont val="Tahoma"/>
            <family val="2"/>
          </rPr>
          <t>46 AE Canada
632 AE US</t>
        </r>
      </text>
    </comment>
    <comment ref="K12" authorId="7">
      <text>
        <r>
          <rPr>
            <sz val="8"/>
            <color indexed="81"/>
            <rFont val="Tahoma"/>
            <family val="2"/>
          </rPr>
          <t xml:space="preserve">56 AE Canada
702 AE US
</t>
        </r>
      </text>
    </comment>
    <comment ref="L12" authorId="7">
      <text>
        <r>
          <rPr>
            <sz val="8"/>
            <color indexed="81"/>
            <rFont val="Tahoma"/>
            <family val="2"/>
          </rPr>
          <t>66 AE Canada
777 AE US</t>
        </r>
      </text>
    </comment>
    <comment ref="M12" authorId="7">
      <text>
        <r>
          <rPr>
            <sz val="8"/>
            <color indexed="81"/>
            <rFont val="Tahoma"/>
            <family val="2"/>
          </rPr>
          <t xml:space="preserve">76 AE Canada
802 AE US </t>
        </r>
      </text>
    </comment>
    <comment ref="O12" authorId="8">
      <text>
        <r>
          <rPr>
            <b/>
            <sz val="9"/>
            <color indexed="81"/>
            <rFont val="Tahoma"/>
            <family val="2"/>
          </rPr>
          <t>Kimberly Greenberger:</t>
        </r>
        <r>
          <rPr>
            <sz val="9"/>
            <color indexed="81"/>
            <rFont val="Tahoma"/>
            <family val="2"/>
          </rPr>
          <t xml:space="preserve">
8/04 mgmt believes can have 900-1000 AE US stores plus 85-90 in Canada </t>
        </r>
      </text>
    </comment>
    <comment ref="P12" authorId="8">
      <text>
        <r>
          <rPr>
            <b/>
            <sz val="9"/>
            <color indexed="81"/>
            <rFont val="Tahoma"/>
            <family val="2"/>
          </rPr>
          <t>Kimberly Greenberger:</t>
        </r>
        <r>
          <rPr>
            <sz val="9"/>
            <color indexed="81"/>
            <rFont val="Tahoma"/>
            <family val="2"/>
          </rPr>
          <t xml:space="preserve">
8/04 mgmt believes can have 900-1000 AE US stores plus 85-90 in Canada </t>
        </r>
      </text>
    </comment>
    <comment ref="Q12" authorId="8">
      <text>
        <r>
          <rPr>
            <b/>
            <sz val="9"/>
            <color indexed="81"/>
            <rFont val="Tahoma"/>
            <family val="2"/>
          </rPr>
          <t>Kimberly Greenberger:</t>
        </r>
        <r>
          <rPr>
            <sz val="9"/>
            <color indexed="81"/>
            <rFont val="Tahoma"/>
            <family val="2"/>
          </rPr>
          <t xml:space="preserve">
8/04 mgmt believes can have 900-1000 AE US stores plus 85-90 in Canada </t>
        </r>
      </text>
    </comment>
    <comment ref="S12" authorId="9">
      <text>
        <r>
          <rPr>
            <sz val="8"/>
            <color indexed="81"/>
            <rFont val="Tahoma"/>
            <family val="2"/>
          </rPr>
          <t>2Q11 10Q: planned opening of 18 new franchised AE stores during Fiscal 2011.  Through franchise agreements, plan to open a series of American Eagle and aerie stores in the Middle East, Northern Africa, Eastern Europe, Japan and Israel. As of the July 30, 2011, we had nine franchised stores operated by franchise partners in Dubai, Kuwait City, Hong Kong, China and Russia. These franchise agreements do not involve a capital investment from AEO and require minimal operational involvement.
1Q11 10Q: planned opening of 20 new franchised AE stores during Fiscal 2011</t>
        </r>
      </text>
    </comment>
    <comment ref="W12" authorId="10">
      <text>
        <r>
          <rPr>
            <b/>
            <sz val="9"/>
            <color indexed="81"/>
            <rFont val="Tahoma"/>
            <family val="2"/>
          </rPr>
          <t>casselau:</t>
        </r>
        <r>
          <rPr>
            <sz val="9"/>
            <color indexed="81"/>
            <rFont val="Tahoma"/>
            <family val="2"/>
          </rPr>
          <t xml:space="preserve">
12/2/15: expect 20 stores in Mexico to reach $100 million in revenue in the next two years.</t>
        </r>
      </text>
    </comment>
    <comment ref="Z12" authorId="5">
      <text>
        <r>
          <rPr>
            <b/>
            <sz val="9"/>
            <color indexed="81"/>
            <rFont val="Tahoma"/>
            <family val="2"/>
          </rPr>
          <t>Cassel, Lauren (Research):</t>
        </r>
        <r>
          <rPr>
            <sz val="9"/>
            <color indexed="81"/>
            <rFont val="Tahoma"/>
            <family val="2"/>
          </rPr>
          <t xml:space="preserve">
3/8/18: 350 leases coming up for renewals</t>
        </r>
      </text>
    </comment>
    <comment ref="I13" authorId="11">
      <text>
        <r>
          <rPr>
            <b/>
            <sz val="10"/>
            <color indexed="81"/>
            <rFont val="Tahoma"/>
            <family val="2"/>
          </rPr>
          <t>dong2:</t>
        </r>
        <r>
          <rPr>
            <sz val="10"/>
            <color indexed="81"/>
            <rFont val="Tahoma"/>
            <family val="2"/>
          </rPr>
          <t xml:space="preserve">
expect to end year with 633 stores. 11/16: ended w/ 632 stores</t>
        </r>
      </text>
    </comment>
    <comment ref="J13" authorId="4">
      <text>
        <r>
          <rPr>
            <sz val="8"/>
            <color indexed="81"/>
            <rFont val="Tahoma"/>
            <family val="2"/>
          </rPr>
          <t>90 expected openings
12/6/00 Judy
11/16: co. indicated plans to open 80 AE U.S. stores. 2/6: includes 10 AE canada stores g.f. only about 100 mall potential in Canada, waiting to see how initial stores perform.
5/13/02: 70-75 US openings planned for F02 plus 10 AE Canada.  0 BN planned for F02.</t>
        </r>
      </text>
    </comment>
    <comment ref="K13" authorId="7">
      <text>
        <r>
          <rPr>
            <sz val="8"/>
            <color indexed="81"/>
            <rFont val="Tahoma"/>
            <family val="2"/>
          </rPr>
          <t>5/02: per co: 70-80 AE US stores plus 10 AE Canada stores
8/02: revise to 50 U.S. plus 10 Canada per co. 2Q conf call</t>
        </r>
      </text>
    </comment>
    <comment ref="L13" authorId="7">
      <text>
        <r>
          <rPr>
            <sz val="8"/>
            <color indexed="81"/>
            <rFont val="Tahoma"/>
            <family val="2"/>
          </rPr>
          <t>5/02 est 75 US plus 10 AE Canada stores
8/02: revise to 50 US plus 10 Canada
11/13: reduce to 40-50 new store openings and 10 store closings
8/04: revise to 45 US + 5 Canada openings and 6 closings (1 Canada, 5 US)</t>
        </r>
      </text>
    </comment>
    <comment ref="M13" authorId="7">
      <text>
        <r>
          <rPr>
            <b/>
            <sz val="8"/>
            <color indexed="81"/>
            <rFont val="Tahoma"/>
            <family val="2"/>
          </rPr>
          <t xml:space="preserve">11/16 </t>
        </r>
        <r>
          <rPr>
            <sz val="8"/>
            <color indexed="81"/>
            <rFont val="Tahoma"/>
            <family val="2"/>
          </rPr>
          <t>28 net new stores, 37 openings and 9 closures expected</t>
        </r>
        <r>
          <rPr>
            <b/>
            <sz val="8"/>
            <color indexed="81"/>
            <rFont val="Tahoma"/>
            <family val="2"/>
          </rPr>
          <t xml:space="preserve">
08/16 </t>
        </r>
        <r>
          <rPr>
            <sz val="8"/>
            <color indexed="81"/>
            <rFont val="Tahoma"/>
            <family val="2"/>
          </rPr>
          <t>closed  10 stores YTD plan add'l 21 for total net stores of 37</t>
        </r>
        <r>
          <rPr>
            <b/>
            <sz val="8"/>
            <color indexed="81"/>
            <rFont val="Tahoma"/>
            <family val="2"/>
          </rPr>
          <t xml:space="preserve">
04/18 </t>
        </r>
        <r>
          <rPr>
            <sz val="8"/>
            <color indexed="81"/>
            <rFont val="Tahoma"/>
            <family val="2"/>
          </rPr>
          <t xml:space="preserve">guidance per 10K = 35-40 new stores with 60 remodels/expansions
</t>
        </r>
        <r>
          <rPr>
            <b/>
            <sz val="8"/>
            <color indexed="81"/>
            <rFont val="Tahoma"/>
            <family val="2"/>
          </rPr>
          <t xml:space="preserve">3/2/05 </t>
        </r>
        <r>
          <rPr>
            <sz val="8"/>
            <color indexed="81"/>
            <rFont val="Tahoma"/>
            <family val="2"/>
          </rPr>
          <t xml:space="preserve">Mgmt guided to 5-7% sq ft growth incl 40 new stores plus 60 remodels/ expansions. End of 2005 will still have 170 stores in old format.
</t>
        </r>
        <r>
          <rPr>
            <b/>
            <sz val="8"/>
            <color indexed="81"/>
            <rFont val="Tahoma"/>
            <family val="2"/>
          </rPr>
          <t>8/04</t>
        </r>
        <r>
          <rPr>
            <sz val="8"/>
            <color indexed="81"/>
            <rFont val="Tahoma"/>
            <family val="2"/>
          </rPr>
          <t xml:space="preserve"> mgmt guided to 30-35 net new stores incl 4-5 closings for 2005.
</t>
        </r>
        <r>
          <rPr>
            <b/>
            <sz val="8"/>
            <color indexed="81"/>
            <rFont val="Tahoma"/>
            <family val="2"/>
          </rPr>
          <t xml:space="preserve">5/02 </t>
        </r>
        <r>
          <rPr>
            <sz val="8"/>
            <color indexed="81"/>
            <rFont val="Tahoma"/>
            <family val="2"/>
          </rPr>
          <t>est 25 US stores to get to my estimated saturation of 800 US stores plus 10 more AE Canada.</t>
        </r>
      </text>
    </comment>
    <comment ref="N13" authorId="8">
      <text>
        <r>
          <rPr>
            <b/>
            <sz val="8"/>
            <color indexed="81"/>
            <rFont val="Tahoma"/>
            <family val="2"/>
          </rPr>
          <t xml:space="preserve">mm98295:
</t>
        </r>
        <r>
          <rPr>
            <sz val="8"/>
            <color indexed="81"/>
            <rFont val="Tahoma"/>
            <family val="2"/>
          </rPr>
          <t xml:space="preserve">10K: opened 41 U.S. and 1 Canada store
11/06: reiterated 46 new stores
5/06: management guided to 46 openings, 4 closings, 4 M+O and 3 aerie.
2/06 50 new stores and 50 remodels for 2006
11/15: guided to 40-50 new stores for next 3 yrs
</t>
        </r>
        <r>
          <rPr>
            <sz val="8"/>
            <color indexed="81"/>
            <rFont val="Tahoma"/>
            <family val="2"/>
          </rPr>
          <t xml:space="preserve">
3/2/05 Mgmt indicated 5-6% sq ft growth in 2005 and 2006. Expect 3-5 store openings from 2nd Concept</t>
        </r>
      </text>
    </comment>
    <comment ref="O13" authorId="12">
      <text>
        <r>
          <rPr>
            <b/>
            <sz val="8"/>
            <color indexed="81"/>
            <rFont val="Tahoma"/>
            <family val="2"/>
          </rPr>
          <t>Corinna Freedman:</t>
        </r>
        <r>
          <rPr>
            <sz val="8"/>
            <color indexed="81"/>
            <rFont val="Tahoma"/>
            <family val="2"/>
          </rPr>
          <t xml:space="preserve">
8/07: +32 new stores and 53 remodels
5/07: open 34 new AE stores
2/07: 45-50 AE stores
8/15/06: guided to 50 AE stores in 2007
11/15/05: guided to 40-50 new stores for next 3 yrs</t>
        </r>
      </text>
    </comment>
    <comment ref="P13" authorId="12">
      <text>
        <r>
          <rPr>
            <sz val="8"/>
            <color indexed="81"/>
            <rFont val="Tahoma"/>
            <family val="2"/>
          </rPr>
          <t>8/08: 36
3/08: 40</t>
        </r>
        <r>
          <rPr>
            <b/>
            <sz val="8"/>
            <color indexed="81"/>
            <rFont val="Tahoma"/>
            <family val="2"/>
          </rPr>
          <t xml:space="preserve">
Corinna Freedman:</t>
        </r>
        <r>
          <rPr>
            <sz val="8"/>
            <color indexed="81"/>
            <rFont val="Tahoma"/>
            <family val="2"/>
          </rPr>
          <t xml:space="preserve">
11/07: 45-50
11/15/05: guided to 40-50 new stores for next 3 yrs</t>
        </r>
      </text>
    </comment>
    <comment ref="Q13" authorId="6">
      <text>
        <r>
          <rPr>
            <sz val="8"/>
            <color indexed="81"/>
            <rFont val="Tahoma"/>
            <family val="2"/>
          </rPr>
          <t>8/27
In the second quarter, the company opened two AE stores, closed one store and completed the renovation of five stores. The company also opened three aerie stores during the quarter. For the year, the company is planning approximately eight new and 25 remodeled AE stores, and 21 new aerie stores for total square footage growth of 3%. 
5/08:
For the year, the company is planning approximately 9 new and 25 to 30 remodeled AE stores, and 21 new aerie stores for total square footage growth of 3%. 
3/08:
FY09: Expects ~11 new and 25 to 35 remodeled AE stores and 17 new aerie stores, for total square footage growth of ~+3%.</t>
        </r>
      </text>
    </comment>
    <comment ref="R13" authorId="13">
      <text>
        <r>
          <rPr>
            <sz val="8"/>
            <color indexed="81"/>
            <rFont val="Tahoma"/>
            <family val="2"/>
          </rPr>
          <t>11/2010: expect to open 14 AE
8/2010: expect to open 14 AE</t>
        </r>
        <r>
          <rPr>
            <b/>
            <sz val="8"/>
            <color indexed="81"/>
            <rFont val="Tahoma"/>
            <family val="2"/>
          </rPr>
          <t xml:space="preserve">
</t>
        </r>
        <r>
          <rPr>
            <sz val="8"/>
            <color indexed="81"/>
            <rFont val="Tahoma"/>
            <family val="2"/>
          </rPr>
          <t>5/26/10: For the year, now expect to open 14 new AE, complete 25-35 AE remodels, close 10-20 AE, open 9 aerie, open 7 77kids</t>
        </r>
        <r>
          <rPr>
            <b/>
            <sz val="8"/>
            <color indexed="81"/>
            <rFont val="Tahoma"/>
            <family val="2"/>
          </rPr>
          <t xml:space="preserve">
ns66486:</t>
        </r>
        <r>
          <rPr>
            <sz val="8"/>
            <color indexed="81"/>
            <rFont val="Tahoma"/>
            <family val="2"/>
          </rPr>
          <t xml:space="preserve">
3/10: open 14 new AE, complete 20 AE remodels, close 15-25 AE</t>
        </r>
      </text>
    </comment>
    <comment ref="S13" authorId="9">
      <text>
        <r>
          <rPr>
            <sz val="8"/>
            <color indexed="81"/>
            <rFont val="Tahoma"/>
            <family val="2"/>
          </rPr>
          <t>3/21/12: 
11/2011: 11 new AE
2Q-10Q: 11 new AE
5/2011: expect +14
3/2011: expect +14</t>
        </r>
      </text>
    </comment>
    <comment ref="T13" authorId="14">
      <text>
        <r>
          <rPr>
            <sz val="8"/>
            <color indexed="81"/>
            <rFont val="Tahoma"/>
            <family val="2"/>
          </rPr>
          <t>3/6/13: 16 AE brand
3Q12: opening 13 AE stores
5/23/12 pk: expect 16 store opening (15 AE Brand, 1 77kids). 1 aeries store was opened in 1Q. Assuming part of AE brand.
3/71/12 pk: expect 14 AE store 
openings primarily outlet</t>
        </r>
      </text>
    </comment>
    <comment ref="U13" authorId="15">
      <text>
        <r>
          <rPr>
            <b/>
            <sz val="8"/>
            <color indexed="81"/>
            <rFont val="Tahoma"/>
            <family val="2"/>
          </rPr>
          <t xml:space="preserve">3/6/13: </t>
        </r>
        <r>
          <rPr>
            <sz val="8"/>
            <color indexed="81"/>
            <rFont val="Tahoma"/>
            <family val="2"/>
          </rPr>
          <t>guidance +50</t>
        </r>
        <r>
          <rPr>
            <b/>
            <sz val="8"/>
            <color indexed="81"/>
            <rFont val="Tahoma"/>
            <family val="2"/>
          </rPr>
          <t xml:space="preserve">
solejay:</t>
        </r>
        <r>
          <rPr>
            <sz val="8"/>
            <color indexed="81"/>
            <rFont val="Tahoma"/>
            <family val="2"/>
          </rPr>
          <t xml:space="preserve">
opening 40 outlets and 6 stores in Mexico, plus 7-10 doors in underpenetrated calss A malls.</t>
        </r>
      </text>
    </comment>
    <comment ref="V13" authorId="15">
      <text>
        <r>
          <rPr>
            <b/>
            <sz val="8"/>
            <color indexed="81"/>
            <rFont val="Tahoma"/>
            <family val="2"/>
          </rPr>
          <t>8/20/14: opening 50-60
3/11/14: guidance 40-50
solejay:</t>
        </r>
        <r>
          <rPr>
            <sz val="8"/>
            <color indexed="81"/>
            <rFont val="Tahoma"/>
            <family val="2"/>
          </rPr>
          <t xml:space="preserve">
adding more factory outlets and mexican stores and more class A mall stores</t>
        </r>
      </text>
    </comment>
    <comment ref="W13" authorId="15">
      <text>
        <r>
          <rPr>
            <b/>
            <sz val="8"/>
            <color indexed="81"/>
            <rFont val="Tahoma"/>
            <family val="2"/>
          </rPr>
          <t xml:space="preserve">3/2/16: 21 AE opened, 1 aerie, 1 tailgate 
5/20/15: 22 stores (21 AE, 1 aerie)
</t>
        </r>
        <r>
          <rPr>
            <sz val="8"/>
            <color indexed="81"/>
            <rFont val="Tahoma"/>
            <family val="2"/>
          </rPr>
          <t xml:space="preserve">3/3/15: expect 20-25 stores  </t>
        </r>
        <r>
          <rPr>
            <b/>
            <sz val="8"/>
            <color indexed="81"/>
            <rFont val="Tahoma"/>
            <family val="2"/>
          </rPr>
          <t xml:space="preserve">
</t>
        </r>
        <r>
          <rPr>
            <sz val="8"/>
            <color indexed="81"/>
            <rFont val="Tahoma"/>
            <family val="2"/>
          </rPr>
          <t xml:space="preserve">
12/4/14: expect to open 20-25 stores, primarily factory and intl</t>
        </r>
      </text>
    </comment>
    <comment ref="X13" authorId="10">
      <text>
        <r>
          <rPr>
            <b/>
            <sz val="9"/>
            <color indexed="81"/>
            <rFont val="Tahoma"/>
            <family val="2"/>
          </rPr>
          <t>casselau:
3/1/17: includes 3 Tailgate openings and 1 Todd Snyder opening
11/30/16: open 10-15 AE, 10-15 aerie, 3 tailgate
8/17/16: open 15-20 AE, 10-15 aerie, 3 tailgate</t>
        </r>
        <r>
          <rPr>
            <sz val="9"/>
            <color indexed="81"/>
            <rFont val="Tahoma"/>
            <family val="2"/>
          </rPr>
          <t xml:space="preserve">
3/2/16: open 15-20 AE; 10 aerie; 1-2 tailgate</t>
        </r>
      </text>
    </comment>
    <comment ref="Y13" authorId="5">
      <text>
        <r>
          <rPr>
            <b/>
            <sz val="9"/>
            <color indexed="81"/>
            <rFont val="Tahoma"/>
            <family val="2"/>
          </rPr>
          <t>Cassel, Lauren (Research):
5/17/17: guidance open 15-20, 1 Tailgate, 1 Todd Snyder</t>
        </r>
        <r>
          <rPr>
            <sz val="9"/>
            <color indexed="81"/>
            <rFont val="Tahoma"/>
            <family val="2"/>
          </rPr>
          <t xml:space="preserve">
3/1/17: guidance: open 15-20 AE brand, 1 Tailgate, 1 Todd Snyder</t>
        </r>
      </text>
    </comment>
    <comment ref="Z13" authorId="5">
      <text>
        <r>
          <rPr>
            <b/>
            <sz val="9"/>
            <color indexed="81"/>
            <rFont val="Tahoma"/>
            <family val="2"/>
          </rPr>
          <t>Cassel, Lauren (Research):</t>
        </r>
        <r>
          <rPr>
            <sz val="9"/>
            <color indexed="81"/>
            <rFont val="Tahoma"/>
            <family val="2"/>
          </rPr>
          <t xml:space="preserve">
3/8/18: guidance AE brand 15-20 openings, 1 tailgate, and 1 todd snyder</t>
        </r>
      </text>
    </comment>
    <comment ref="O14" authorId="16">
      <text>
        <r>
          <rPr>
            <b/>
            <sz val="8"/>
            <color indexed="81"/>
            <rFont val="Tahoma"/>
            <family val="2"/>
          </rPr>
          <t>MB33100:</t>
        </r>
        <r>
          <rPr>
            <sz val="8"/>
            <color indexed="81"/>
            <rFont val="Tahoma"/>
            <family val="2"/>
          </rPr>
          <t xml:space="preserve">
5/07 &amp; 8/07: open 14 M+O stores
3Q06 call: 15+ stores in 2007
2Q06 release: guided to at least 20 total stores at M+O by year end 2007</t>
        </r>
      </text>
    </comment>
    <comment ref="P14" authorId="16">
      <text>
        <r>
          <rPr>
            <b/>
            <sz val="8"/>
            <color indexed="81"/>
            <rFont val="Tahoma"/>
            <family val="2"/>
          </rPr>
          <t>8/08: 10
mm98285:</t>
        </r>
        <r>
          <rPr>
            <sz val="8"/>
            <color indexed="81"/>
            <rFont val="Tahoma"/>
            <family val="2"/>
          </rPr>
          <t xml:space="preserve">
4/08: Judy said expect 10-12 M+O's
3/08: 15</t>
        </r>
        <r>
          <rPr>
            <b/>
            <sz val="8"/>
            <color indexed="81"/>
            <rFont val="Tahoma"/>
            <family val="2"/>
          </rPr>
          <t xml:space="preserve">
MB33100:
</t>
        </r>
        <r>
          <rPr>
            <sz val="8"/>
            <color indexed="81"/>
            <rFont val="Tahoma"/>
            <family val="2"/>
          </rPr>
          <t>11/07: 15</t>
        </r>
        <r>
          <rPr>
            <sz val="8"/>
            <color indexed="81"/>
            <rFont val="Tahoma"/>
            <family val="2"/>
          </rPr>
          <t xml:space="preserve">
2Q06 Call: mgmt indicated 75 total M+O at end of 2008</t>
        </r>
      </text>
    </comment>
    <comment ref="R14" authorId="13">
      <text>
        <r>
          <rPr>
            <sz val="8"/>
            <color indexed="81"/>
            <rFont val="Tahoma"/>
            <family val="2"/>
          </rPr>
          <t xml:space="preserve">closed as of 2Q10
5/26/10: For the year, now expect to open 14 new AE, complete 25-35 AE remodels, close 10-20 AE, open 9 aerie, open 7 77kids
</t>
        </r>
        <r>
          <rPr>
            <b/>
            <sz val="8"/>
            <color indexed="81"/>
            <rFont val="Tahoma"/>
            <family val="2"/>
          </rPr>
          <t>ns66486:</t>
        </r>
        <r>
          <rPr>
            <sz val="8"/>
            <color indexed="81"/>
            <rFont val="Tahoma"/>
            <family val="2"/>
          </rPr>
          <t xml:space="preserve">
3/10:  expect to close all 28 M+O stores by end of 2Q</t>
        </r>
      </text>
    </comment>
    <comment ref="N15" authorId="17">
      <text>
        <r>
          <rPr>
            <b/>
            <sz val="8"/>
            <color indexed="81"/>
            <rFont val="Tahoma"/>
            <family val="2"/>
          </rPr>
          <t>mm98285:</t>
        </r>
        <r>
          <rPr>
            <sz val="8"/>
            <color indexed="81"/>
            <rFont val="Tahoma"/>
            <family val="2"/>
          </rPr>
          <t xml:space="preserve">
could be 350+ store chain by 2012 if new stores perform as well as the test stores</t>
        </r>
      </text>
    </comment>
    <comment ref="O15" authorId="17">
      <text>
        <r>
          <rPr>
            <b/>
            <sz val="8"/>
            <color indexed="81"/>
            <rFont val="Tahoma"/>
            <family val="2"/>
          </rPr>
          <t>mm98285:</t>
        </r>
        <r>
          <rPr>
            <sz val="8"/>
            <color indexed="81"/>
            <rFont val="Tahoma"/>
            <family val="2"/>
          </rPr>
          <t xml:space="preserve">
8/07: +37 stores (11 stores at eo 2Q, expect to open: 2 Aug, 7 Sept, 14 Oct, 5 Nov, 1 Dec)
5/07: expect to open 40 new aerie stand-alone stores beg in July
2/07: 12 new M+O</t>
        </r>
      </text>
    </comment>
    <comment ref="P15" authorId="17">
      <text>
        <r>
          <rPr>
            <b/>
            <sz val="8"/>
            <color indexed="81"/>
            <rFont val="Tahoma"/>
            <family val="2"/>
          </rPr>
          <t>8/08: 77
mm98285:</t>
        </r>
        <r>
          <rPr>
            <sz val="8"/>
            <color indexed="81"/>
            <rFont val="Tahoma"/>
            <family val="2"/>
          </rPr>
          <t xml:space="preserve">
4/08: Judy said 80 new aerie stores
3/08: 70</t>
        </r>
        <r>
          <rPr>
            <b/>
            <sz val="8"/>
            <color indexed="81"/>
            <rFont val="Tahoma"/>
            <family val="2"/>
          </rPr>
          <t xml:space="preserve">
mm98285:
</t>
        </r>
        <r>
          <rPr>
            <sz val="8"/>
            <color indexed="81"/>
            <rFont val="Tahoma"/>
            <family val="2"/>
          </rPr>
          <t>11/07: at least 70</t>
        </r>
        <r>
          <rPr>
            <sz val="8"/>
            <color indexed="81"/>
            <rFont val="Tahoma"/>
            <family val="2"/>
          </rPr>
          <t xml:space="preserve">
8/07: expect to open atleast 50 add'l aerie stores in 2008</t>
        </r>
      </text>
    </comment>
    <comment ref="Q15" authorId="6">
      <text>
        <r>
          <rPr>
            <b/>
            <sz val="8"/>
            <color indexed="81"/>
            <rFont val="Tahoma"/>
            <family val="2"/>
          </rPr>
          <t>oc48540:</t>
        </r>
        <r>
          <rPr>
            <sz val="8"/>
            <color indexed="81"/>
            <rFont val="Tahoma"/>
            <family val="2"/>
          </rPr>
          <t xml:space="preserve">
8/26: 50-60 aerie</t>
        </r>
      </text>
    </comment>
    <comment ref="R15" authorId="13">
      <text>
        <r>
          <rPr>
            <sz val="8"/>
            <color indexed="81"/>
            <rFont val="Tahoma"/>
            <family val="2"/>
          </rPr>
          <t>11/2010: expect to open 11 aerie stores
8/2010: expect to open 11 aerie stores</t>
        </r>
        <r>
          <rPr>
            <b/>
            <sz val="8"/>
            <color indexed="81"/>
            <rFont val="Tahoma"/>
            <family val="2"/>
          </rPr>
          <t xml:space="preserve">
</t>
        </r>
        <r>
          <rPr>
            <sz val="8"/>
            <color indexed="81"/>
            <rFont val="Tahoma"/>
            <family val="2"/>
          </rPr>
          <t xml:space="preserve">5/26/10: For the year, now expect to open 14 new AE, complete 25-35 AE remodels, close 10-20 AE, open 9 aerie, open 7 77kids
</t>
        </r>
        <r>
          <rPr>
            <b/>
            <sz val="8"/>
            <color indexed="81"/>
            <rFont val="Tahoma"/>
            <family val="2"/>
          </rPr>
          <t>ns66486:</t>
        </r>
        <r>
          <rPr>
            <sz val="8"/>
            <color indexed="81"/>
            <rFont val="Tahoma"/>
            <family val="2"/>
          </rPr>
          <t xml:space="preserve">
3/10:  +20 new aerie stores</t>
        </r>
      </text>
    </comment>
    <comment ref="S15" authorId="9">
      <text>
        <r>
          <rPr>
            <sz val="8"/>
            <color indexed="81"/>
            <rFont val="Tahoma"/>
            <family val="2"/>
          </rPr>
          <t>11/2011: 10 new aerie
2Q 10-Q: 10 new aerie
5/2011: expect +10
3/2011: expect +10
11/2010: use around ~12</t>
        </r>
      </text>
    </comment>
    <comment ref="X15" authorId="10">
      <text>
        <r>
          <rPr>
            <b/>
            <sz val="9"/>
            <color indexed="81"/>
            <rFont val="Tahoma"/>
            <family val="2"/>
          </rPr>
          <t xml:space="preserve">casselau:
11/30/16: open 10-15 AE, 10-15 aerie, 3 tailgate
8/17/16: open 15-20 AE, 10-15 aerie, 3 tailgate
</t>
        </r>
        <r>
          <rPr>
            <sz val="9"/>
            <color indexed="81"/>
            <rFont val="Tahoma"/>
            <family val="2"/>
          </rPr>
          <t xml:space="preserve">
3/2/16: open 15-20 AE; 10 aerie; 1-2 tailgate</t>
        </r>
      </text>
    </comment>
    <comment ref="Y15" authorId="5">
      <text>
        <r>
          <rPr>
            <b/>
            <sz val="9"/>
            <color indexed="81"/>
            <rFont val="Tahoma"/>
            <family val="2"/>
          </rPr>
          <t>Cassel, Lauren (Research):</t>
        </r>
        <r>
          <rPr>
            <sz val="9"/>
            <color indexed="81"/>
            <rFont val="Tahoma"/>
            <family val="2"/>
          </rPr>
          <t xml:space="preserve">
3/1/17: guidance 15</t>
        </r>
      </text>
    </comment>
    <comment ref="Z15" authorId="5">
      <text>
        <r>
          <rPr>
            <b/>
            <sz val="9"/>
            <color indexed="81"/>
            <rFont val="Tahoma"/>
            <family val="2"/>
          </rPr>
          <t>Cassel, Lauren (Research):</t>
        </r>
        <r>
          <rPr>
            <sz val="9"/>
            <color indexed="81"/>
            <rFont val="Tahoma"/>
            <family val="2"/>
          </rPr>
          <t xml:space="preserve">
3/8/18: guidance 10-15 openings (standalone only); 35-40 including shop in shop</t>
        </r>
      </text>
    </comment>
    <comment ref="R16" authorId="13">
      <text>
        <r>
          <rPr>
            <sz val="8"/>
            <color indexed="81"/>
            <rFont val="Tahoma"/>
            <family val="2"/>
          </rPr>
          <t>8/2010: expect to open 9 77kids</t>
        </r>
        <r>
          <rPr>
            <b/>
            <sz val="8"/>
            <color indexed="81"/>
            <rFont val="Tahoma"/>
            <family val="2"/>
          </rPr>
          <t xml:space="preserve">
</t>
        </r>
        <r>
          <rPr>
            <sz val="8"/>
            <color indexed="81"/>
            <rFont val="Tahoma"/>
            <family val="2"/>
          </rPr>
          <t xml:space="preserve">5/26/10: For the year, now expect to open 14 new AE, complete 25-35 AE remodels, close 10-20 AE, open 9 aerie, open 7 77kids
</t>
        </r>
        <r>
          <rPr>
            <b/>
            <sz val="8"/>
            <color indexed="81"/>
            <rFont val="Tahoma"/>
            <family val="2"/>
          </rPr>
          <t>ns66486:</t>
        </r>
        <r>
          <rPr>
            <sz val="8"/>
            <color indexed="81"/>
            <rFont val="Tahoma"/>
            <family val="2"/>
          </rPr>
          <t xml:space="preserve">
3/10:  +20 new aerie stores</t>
        </r>
      </text>
    </comment>
    <comment ref="S16" authorId="9">
      <text>
        <r>
          <rPr>
            <sz val="8"/>
            <color indexed="81"/>
            <rFont val="Tahoma"/>
            <family val="2"/>
          </rPr>
          <t>11/2011: expect 12</t>
        </r>
        <r>
          <rPr>
            <sz val="8"/>
            <color indexed="81"/>
            <rFont val="Tahoma"/>
            <family val="2"/>
          </rPr>
          <t xml:space="preserve">
2Q 10Q: expect +12
5/2011: expect +12
3/2011: expect +12</t>
        </r>
      </text>
    </comment>
    <comment ref="T16" authorId="14">
      <text>
        <r>
          <rPr>
            <b/>
            <sz val="8"/>
            <color indexed="81"/>
            <rFont val="Tahoma"/>
            <family val="2"/>
          </rPr>
          <t>kahng:</t>
        </r>
        <r>
          <rPr>
            <sz val="8"/>
            <color indexed="81"/>
            <rFont val="Tahoma"/>
            <family val="2"/>
          </rPr>
          <t xml:space="preserve">
10k: plan to open 1 77kids</t>
        </r>
      </text>
    </comment>
    <comment ref="U16" authorId="3">
      <text>
        <r>
          <rPr>
            <b/>
            <sz val="8"/>
            <color indexed="81"/>
            <rFont val="Tahoma"/>
            <family val="2"/>
          </rPr>
          <t>P Kahng:</t>
        </r>
        <r>
          <rPr>
            <sz val="8"/>
            <color indexed="81"/>
            <rFont val="Tahoma"/>
            <family val="2"/>
          </rPr>
          <t xml:space="preserve">
Was 5 originally</t>
        </r>
      </text>
    </comment>
    <comment ref="H17" authorId="4">
      <text>
        <r>
          <rPr>
            <sz val="8"/>
            <color indexed="81"/>
            <rFont val="Tahoma"/>
            <family val="2"/>
          </rPr>
          <t>2 stores closed Jan '01</t>
        </r>
      </text>
    </comment>
    <comment ref="I17" authorId="11">
      <text>
        <r>
          <rPr>
            <b/>
            <sz val="8"/>
            <color indexed="81"/>
            <rFont val="Tahoma"/>
            <family val="2"/>
          </rPr>
          <t>dong2:</t>
        </r>
        <r>
          <rPr>
            <sz val="8"/>
            <color indexed="81"/>
            <rFont val="Tahoma"/>
            <family val="2"/>
          </rPr>
          <t xml:space="preserve">
2Q01 conf. Call: closed 2 stores to date.</t>
        </r>
      </text>
    </comment>
    <comment ref="L17" authorId="8">
      <text>
        <r>
          <rPr>
            <b/>
            <sz val="8"/>
            <color indexed="81"/>
            <rFont val="Tahoma"/>
            <family val="2"/>
          </rPr>
          <t>Kimberly Greenberger:</t>
        </r>
        <r>
          <rPr>
            <sz val="8"/>
            <color indexed="81"/>
            <rFont val="Tahoma"/>
            <family val="2"/>
          </rPr>
          <t xml:space="preserve">
5 US closures + 1 Canada</t>
        </r>
      </text>
    </comment>
    <comment ref="M17" authorId="16">
      <text>
        <r>
          <rPr>
            <b/>
            <sz val="8"/>
            <color indexed="81"/>
            <rFont val="Tahoma"/>
            <family val="2"/>
          </rPr>
          <t xml:space="preserve">LM:
</t>
        </r>
        <r>
          <rPr>
            <sz val="8"/>
            <color indexed="81"/>
            <rFont val="Tahoma"/>
            <family val="2"/>
          </rPr>
          <t>2005 10-K indicated -13 closings</t>
        </r>
        <r>
          <rPr>
            <b/>
            <sz val="8"/>
            <color indexed="81"/>
            <rFont val="Tahoma"/>
            <family val="2"/>
          </rPr>
          <t xml:space="preserve">
MB33100:</t>
        </r>
        <r>
          <rPr>
            <sz val="8"/>
            <color indexed="81"/>
            <rFont val="Tahoma"/>
            <family val="2"/>
          </rPr>
          <t xml:space="preserve">
2/06 indicated -11 closings on call, but press release said ended year with 870 stores</t>
        </r>
      </text>
    </comment>
    <comment ref="R17" authorId="13">
      <text>
        <r>
          <rPr>
            <sz val="8"/>
            <color indexed="81"/>
            <rFont val="Tahoma"/>
            <family val="2"/>
          </rPr>
          <t>11/2010: expect to close 15-25 AE and 28 M+O, we assume ~20 AE store closures
8/2010: expect to close 15-25 AE and 28 M+O, we assume ~20 AE store closures</t>
        </r>
        <r>
          <rPr>
            <b/>
            <sz val="8"/>
            <color indexed="81"/>
            <rFont val="Tahoma"/>
            <family val="2"/>
          </rPr>
          <t xml:space="preserve">
</t>
        </r>
        <r>
          <rPr>
            <sz val="8"/>
            <color indexed="81"/>
            <rFont val="Tahoma"/>
            <family val="2"/>
          </rPr>
          <t xml:space="preserve">5/26/10: Expect to open 14 new AE stores, close an add'al 10 - 20 AE stores, open 9 new aerie stores, 7 77kids stores. Plan to close 28 M+O stores
</t>
        </r>
        <r>
          <rPr>
            <b/>
            <sz val="8"/>
            <color indexed="81"/>
            <rFont val="Tahoma"/>
            <family val="2"/>
          </rPr>
          <t>ns66486:</t>
        </r>
        <r>
          <rPr>
            <sz val="8"/>
            <color indexed="81"/>
            <rFont val="Tahoma"/>
            <family val="2"/>
          </rPr>
          <t xml:space="preserve">
3/10:  expect to close 15 to 25 AE stores
3/10:  expect to close all 28 M+O stores by end of 2Q</t>
        </r>
      </text>
    </comment>
    <comment ref="S17" authorId="9">
      <text>
        <r>
          <rPr>
            <sz val="8"/>
            <color indexed="81"/>
            <rFont val="Tahoma"/>
            <family val="2"/>
          </rPr>
          <t>3/21/12: Closed 29 AE brand stores
11/2011: Expect to close 15-25 AE brand stores in FY11
2Q 10Q:  expect 15-25 in US and Canada
5/2011: expect 15-25
3/2011: expect 15-25
11/2010: Jim "probably 25-30 stores" and 50-100 in two to three years
8/2010: targets 50-100 closures over the next two to five years</t>
        </r>
      </text>
    </comment>
    <comment ref="T17" authorId="9">
      <text>
        <r>
          <rPr>
            <sz val="8"/>
            <color indexed="81"/>
            <rFont val="Tahoma"/>
            <family val="2"/>
          </rPr>
          <t>3/6/13: closed 41 stores; closed 19 AE brand, closed 7 aerie Brand, remodeled 48 stores
11/28/12: closing 25-30 AE and 5-10 aerie
5/23/12: closing 20-30 AE Brand and aerie stores. Closing 22 77kids stores. 
5/21/12: Shutting down/disposing of an addt'l 22 77kids stores
3/7/12: 15 new stores (1 77kids, rest outlet), roughly 100 remodels, 20-30 store closing
11/2011: on track to close 75-100 stores
5/2011: identified 85-100 stores that are eligble to close over next two years; but may not close all of them
8/2010: targets 50-100 closures over the next two to five years</t>
        </r>
      </text>
    </comment>
    <comment ref="U17" authorId="9">
      <text>
        <r>
          <rPr>
            <sz val="8"/>
            <color indexed="81"/>
            <rFont val="Tahoma"/>
            <family val="2"/>
          </rPr>
          <t>3/11/14: closed 13 AE brand and 29 aerie
8/22/13: on track to close 35-50 stores
3/6/13: guidance closing 20-30 AE and 15-20 aerie
ICR 2013: culling 20-24 bad N.A. doors/yr.</t>
        </r>
      </text>
    </comment>
    <comment ref="V17" authorId="9">
      <text>
        <r>
          <rPr>
            <sz val="8"/>
            <color indexed="81"/>
            <rFont val="Tahoma"/>
            <family val="2"/>
          </rPr>
          <t>5/21/14: identified an additional 150 stores to close in NA over next 3 years - 2014 50 AE stores and 20 Aerie
3/11/14: guidance (40)-(50) (15-20 AE, 25-30 aerie)
ICR 2013: culling 20-24 bad N.A. doors/yr.</t>
        </r>
      </text>
    </comment>
    <comment ref="W17" authorId="10">
      <text>
        <r>
          <rPr>
            <b/>
            <sz val="9"/>
            <color indexed="81"/>
            <rFont val="Tahoma"/>
            <family val="2"/>
          </rPr>
          <t>casselau:
12/2/15: close 27-31
5/20/15: close 45-50</t>
        </r>
        <r>
          <rPr>
            <sz val="9"/>
            <color indexed="81"/>
            <rFont val="Tahoma"/>
            <family val="2"/>
          </rPr>
          <t xml:space="preserve">
3/3/15: close 50</t>
        </r>
      </text>
    </comment>
    <comment ref="X17" authorId="10">
      <text>
        <r>
          <rPr>
            <b/>
            <sz val="9"/>
            <color indexed="81"/>
            <rFont val="Tahoma"/>
            <family val="2"/>
          </rPr>
          <t>casselau:
11/30/16: close 15-20 AE and 8-10 aerie
8/17/16: close 20-25 AE brand, 10 aerie</t>
        </r>
        <r>
          <rPr>
            <sz val="9"/>
            <color indexed="81"/>
            <rFont val="Tahoma"/>
            <family val="2"/>
          </rPr>
          <t xml:space="preserve">
3/2/16: close 30-35 AE stores and 15 aerie; The company continues to expect to meet its goal of closing 150 stores by the end of Fiscal 2016</t>
        </r>
      </text>
    </comment>
    <comment ref="Y17" authorId="5">
      <text>
        <r>
          <rPr>
            <b/>
            <sz val="9"/>
            <color indexed="81"/>
            <rFont val="Tahoma"/>
            <family val="2"/>
          </rPr>
          <t>Cassel, Lauren (Research):
5/17/17: guidance close 20-30</t>
        </r>
        <r>
          <rPr>
            <sz val="9"/>
            <color indexed="81"/>
            <rFont val="Tahoma"/>
            <family val="2"/>
          </rPr>
          <t xml:space="preserve">
3/1/17: guidance close 15-20</t>
        </r>
      </text>
    </comment>
    <comment ref="Z17" authorId="5">
      <text>
        <r>
          <rPr>
            <b/>
            <sz val="9"/>
            <color indexed="81"/>
            <rFont val="Tahoma"/>
            <family val="2"/>
          </rPr>
          <t>Cassel, Lauren (Research):</t>
        </r>
        <r>
          <rPr>
            <sz val="9"/>
            <color indexed="81"/>
            <rFont val="Tahoma"/>
            <family val="2"/>
          </rPr>
          <t xml:space="preserve">
3/8/18: guidance 10-15 closures
</t>
        </r>
      </text>
    </comment>
    <comment ref="V18" authorId="10">
      <text>
        <r>
          <rPr>
            <b/>
            <sz val="9"/>
            <color indexed="81"/>
            <rFont val="Tahoma"/>
            <family val="2"/>
          </rPr>
          <t>casselau:</t>
        </r>
        <r>
          <rPr>
            <sz val="9"/>
            <color indexed="81"/>
            <rFont val="Tahoma"/>
            <family val="2"/>
          </rPr>
          <t xml:space="preserve">
8/20/14: expect -25</t>
        </r>
      </text>
    </comment>
    <comment ref="W18" authorId="10">
      <text>
        <r>
          <rPr>
            <b/>
            <sz val="9"/>
            <color indexed="81"/>
            <rFont val="Tahoma"/>
            <family val="2"/>
          </rPr>
          <t>casselau:
12/2/15: close 7-10
5/20/15: close 20-25</t>
        </r>
        <r>
          <rPr>
            <sz val="9"/>
            <color indexed="81"/>
            <rFont val="Tahoma"/>
            <family val="2"/>
          </rPr>
          <t xml:space="preserve">
3/3/15: close 20</t>
        </r>
      </text>
    </comment>
    <comment ref="X18" authorId="10">
      <text>
        <r>
          <rPr>
            <b/>
            <sz val="9"/>
            <color indexed="81"/>
            <rFont val="Tahoma"/>
            <family val="2"/>
          </rPr>
          <t>casselau:
11/40/16: close 15-20 AE, and 8-10 aerie</t>
        </r>
        <r>
          <rPr>
            <sz val="9"/>
            <color indexed="81"/>
            <rFont val="Tahoma"/>
            <family val="2"/>
          </rPr>
          <t xml:space="preserve">
3/2/16: close 30-35 AE stores and 15 aerie </t>
        </r>
      </text>
    </comment>
    <comment ref="Y18" authorId="5">
      <text>
        <r>
          <rPr>
            <b/>
            <sz val="9"/>
            <color indexed="81"/>
            <rFont val="Tahoma"/>
            <family val="2"/>
          </rPr>
          <t>Cassel, Lauren (Research):
5/17/17: guidance close 5-10</t>
        </r>
        <r>
          <rPr>
            <sz val="9"/>
            <color indexed="81"/>
            <rFont val="Tahoma"/>
            <family val="2"/>
          </rPr>
          <t xml:space="preserve">
3/1/17: guidance close 8-10</t>
        </r>
      </text>
    </comment>
    <comment ref="Z18" authorId="5">
      <text>
        <r>
          <rPr>
            <b/>
            <sz val="9"/>
            <color indexed="81"/>
            <rFont val="Tahoma"/>
            <family val="2"/>
          </rPr>
          <t>Cassel, Lauren (Research):</t>
        </r>
        <r>
          <rPr>
            <sz val="9"/>
            <color indexed="81"/>
            <rFont val="Tahoma"/>
            <family val="2"/>
          </rPr>
          <t xml:space="preserve">
3/8/18: guidance 5-10 closures</t>
        </r>
      </text>
    </comment>
    <comment ref="K19" authorId="8">
      <text>
        <r>
          <rPr>
            <b/>
            <sz val="8"/>
            <color indexed="81"/>
            <rFont val="Tahoma"/>
            <family val="2"/>
          </rPr>
          <t>Kimberly Greenberger:</t>
        </r>
        <r>
          <rPr>
            <sz val="8"/>
            <color indexed="81"/>
            <rFont val="Tahoma"/>
            <family val="2"/>
          </rPr>
          <t xml:space="preserve">
740 U.S. + 65 Canada = 805</t>
        </r>
      </text>
    </comment>
    <comment ref="L19" authorId="4">
      <text>
        <r>
          <rPr>
            <b/>
            <sz val="8"/>
            <color indexed="81"/>
            <rFont val="Tahoma"/>
            <family val="2"/>
          </rPr>
          <t xml:space="preserve">SB: 8/04:
</t>
        </r>
        <r>
          <rPr>
            <sz val="8"/>
            <color indexed="81"/>
            <rFont val="Tahoma"/>
            <family val="2"/>
          </rPr>
          <t>780 US + 69 Canada  = 849 total</t>
        </r>
        <r>
          <rPr>
            <b/>
            <sz val="8"/>
            <color indexed="81"/>
            <rFont val="Tahoma"/>
            <family val="2"/>
          </rPr>
          <t xml:space="preserve">
CSFB:</t>
        </r>
        <r>
          <rPr>
            <sz val="8"/>
            <color indexed="81"/>
            <rFont val="Tahoma"/>
            <family val="2"/>
          </rPr>
          <t xml:space="preserve">
1100 malls identified in US
Judy 12/6/00</t>
        </r>
      </text>
    </comment>
    <comment ref="N19" authorId="17">
      <text>
        <r>
          <rPr>
            <b/>
            <sz val="8"/>
            <color indexed="81"/>
            <rFont val="Tahoma"/>
            <family val="2"/>
          </rPr>
          <t>mm98285:</t>
        </r>
        <r>
          <rPr>
            <sz val="8"/>
            <color indexed="81"/>
            <rFont val="Tahoma"/>
            <family val="2"/>
          </rPr>
          <t xml:space="preserve">
2006 10K:  includes 72 Canadian stores (believe they can support 80)</t>
        </r>
      </text>
    </comment>
    <comment ref="S19" authorId="15">
      <text>
        <r>
          <rPr>
            <b/>
            <sz val="8"/>
            <color indexed="81"/>
            <rFont val="Tahoma"/>
            <family val="2"/>
          </rPr>
          <t>solejay:</t>
        </r>
        <r>
          <rPr>
            <sz val="8"/>
            <color indexed="81"/>
            <rFont val="Tahoma"/>
            <family val="2"/>
          </rPr>
          <t xml:space="preserve">
11/2011: operating 17 franchise stores in 9 countries.  Will be doing more of this.  Franchise stores not included in this number.</t>
        </r>
      </text>
    </comment>
    <comment ref="T19" authorId="15">
      <text>
        <r>
          <rPr>
            <sz val="8"/>
            <color indexed="81"/>
            <rFont val="Tahoma"/>
            <family val="2"/>
          </rPr>
          <t xml:space="preserve">3/6/13: total sq ft -1%; opened 16 stores, closed 41 stores, and completed 48 remodels
</t>
        </r>
        <r>
          <rPr>
            <b/>
            <sz val="8"/>
            <color indexed="81"/>
            <rFont val="Tahoma"/>
            <family val="2"/>
          </rPr>
          <t>solejay:</t>
        </r>
        <r>
          <rPr>
            <sz val="8"/>
            <color indexed="81"/>
            <rFont val="Tahoma"/>
            <family val="2"/>
          </rPr>
          <t xml:space="preserve">
3Q guidance between 1045-1055
Also expect to have 49 international franchise stores</t>
        </r>
      </text>
    </comment>
    <comment ref="U19" authorId="10">
      <text>
        <r>
          <rPr>
            <b/>
            <sz val="8"/>
            <color indexed="81"/>
            <rFont val="Tahoma"/>
            <family val="2"/>
          </rPr>
          <t>casselau:</t>
        </r>
        <r>
          <rPr>
            <sz val="8"/>
            <color indexed="81"/>
            <rFont val="Tahoma"/>
            <family val="2"/>
          </rPr>
          <t xml:space="preserve">
guidance 1054-1069</t>
        </r>
      </text>
    </comment>
    <comment ref="V19" authorId="10">
      <text>
        <r>
          <rPr>
            <b/>
            <sz val="9"/>
            <color indexed="81"/>
            <rFont val="Tahoma"/>
            <family val="2"/>
          </rPr>
          <t>casselau:</t>
        </r>
        <r>
          <rPr>
            <sz val="9"/>
            <color indexed="81"/>
            <rFont val="Tahoma"/>
            <family val="2"/>
          </rPr>
          <t xml:space="preserve">
8/20/14: 1041-1051</t>
        </r>
      </text>
    </comment>
    <comment ref="W19" authorId="10">
      <text>
        <r>
          <rPr>
            <b/>
            <sz val="9"/>
            <color indexed="81"/>
            <rFont val="Tahoma"/>
            <family val="2"/>
          </rPr>
          <t>casselau:</t>
        </r>
        <r>
          <rPr>
            <sz val="9"/>
            <color indexed="81"/>
            <rFont val="Tahoma"/>
            <family val="2"/>
          </rPr>
          <t xml:space="preserve">
5/20/15: 1003-1013</t>
        </r>
      </text>
    </comment>
    <comment ref="X19" authorId="10">
      <text>
        <r>
          <rPr>
            <b/>
            <sz val="9"/>
            <color indexed="81"/>
            <rFont val="Tahoma"/>
            <family val="2"/>
          </rPr>
          <t>casselau:
3/1/17: remodeled 63 stores
8/18/16: guidance 1045-1050</t>
        </r>
        <r>
          <rPr>
            <sz val="9"/>
            <color indexed="81"/>
            <rFont val="Tahoma"/>
            <family val="2"/>
          </rPr>
          <t xml:space="preserve">
3/2/16: guidance 1028-1029</t>
        </r>
      </text>
    </comment>
    <comment ref="Y19" authorId="5">
      <text>
        <r>
          <rPr>
            <b/>
            <sz val="9"/>
            <color indexed="81"/>
            <rFont val="Tahoma"/>
            <family val="2"/>
          </rPr>
          <t>Cassel, Lauren (Research):
3/8/18:  During the year, the company opened 15 AE stores and closed 25, ending the year with 933 AE stores, which included 116 Aerie side-by-side locations. Additionally, the company opened 15 Aerie stand alone stores and closed 8, ending the year with 109 Aerie stand alone stores. Internationally, the company ended the year with 214 licensed stores. 
5/17/17: guidance 1042-1062; plans to open 35 AEO and aerie stores; close between 25-40</t>
        </r>
        <r>
          <rPr>
            <sz val="9"/>
            <color indexed="81"/>
            <rFont val="Tahoma"/>
            <family val="2"/>
          </rPr>
          <t xml:space="preserve">
3/1/17: guidance 1057-1059; will remodel 55-65 stores; For instance, we only have 46 stores that are unprofitable.
And within the course of the next two years, 26 of those stores come up for renewal or lease expiration. Within the entire portfolio of 1,050 stores,
we have got 580 stores that come up for lease expiration over the course of the next three years: 300 in FY17, 200 in FY18, and the remaining 80 in FY19.</t>
        </r>
      </text>
    </comment>
    <comment ref="Z19" authorId="5">
      <text>
        <r>
          <rPr>
            <b/>
            <sz val="9"/>
            <color indexed="81"/>
            <rFont val="Tahoma"/>
            <family val="2"/>
          </rPr>
          <t>Cassel, Lauren (Research):</t>
        </r>
        <r>
          <rPr>
            <sz val="9"/>
            <color indexed="81"/>
            <rFont val="Tahoma"/>
            <family val="2"/>
          </rPr>
          <t xml:space="preserve">
3/8/18: guidance: 1049-1069</t>
        </r>
      </text>
    </comment>
    <comment ref="R23" authorId="18">
      <text>
        <r>
          <rPr>
            <b/>
            <sz val="8"/>
            <color indexed="81"/>
            <rFont val="Tahoma"/>
            <family val="2"/>
          </rPr>
          <t>lr73192:</t>
        </r>
        <r>
          <rPr>
            <sz val="8"/>
            <color indexed="81"/>
            <rFont val="Tahoma"/>
            <family val="2"/>
          </rPr>
          <t xml:space="preserve">
includes 92 stores in Canada
4/2010: Adjusted for M&amp;O closures</t>
        </r>
      </text>
    </comment>
    <comment ref="T23" authorId="3">
      <text>
        <r>
          <rPr>
            <b/>
            <sz val="8"/>
            <color indexed="81"/>
            <rFont val="Tahoma"/>
            <family val="2"/>
          </rPr>
          <t>P Kahng:</t>
        </r>
        <r>
          <rPr>
            <sz val="8"/>
            <color indexed="81"/>
            <rFont val="Tahoma"/>
            <family val="2"/>
          </rPr>
          <t xml:space="preserve">
disposing of 22 77kids stores</t>
        </r>
      </text>
    </comment>
    <comment ref="X23" authorId="5">
      <text>
        <r>
          <rPr>
            <b/>
            <sz val="9"/>
            <color indexed="81"/>
            <rFont val="Tahoma"/>
            <family val="2"/>
          </rPr>
          <t>Cassel, Lauren (Research):</t>
        </r>
        <r>
          <rPr>
            <sz val="9"/>
            <color indexed="81"/>
            <rFont val="Tahoma"/>
            <family val="2"/>
          </rPr>
          <t xml:space="preserve">
3/1/17: including 88 Aerie side-by-side locations</t>
        </r>
      </text>
    </comment>
    <comment ref="R24" authorId="18">
      <text>
        <r>
          <rPr>
            <b/>
            <sz val="8"/>
            <color indexed="81"/>
            <rFont val="Tahoma"/>
            <family val="2"/>
          </rPr>
          <t>lr73192:</t>
        </r>
        <r>
          <rPr>
            <sz val="8"/>
            <color indexed="81"/>
            <rFont val="Tahoma"/>
            <family val="2"/>
          </rPr>
          <t xml:space="preserve">
4/2010: Adjusted for M&amp;O closures</t>
        </r>
      </text>
    </comment>
    <comment ref="N25" authorId="17">
      <text>
        <r>
          <rPr>
            <b/>
            <sz val="8"/>
            <color indexed="81"/>
            <rFont val="Tahoma"/>
            <family val="2"/>
          </rPr>
          <t>mm98285:</t>
        </r>
        <r>
          <rPr>
            <sz val="8"/>
            <color indexed="81"/>
            <rFont val="Tahoma"/>
            <family val="2"/>
          </rPr>
          <t xml:space="preserve">
2006 10K: in addition to 3 stand alone stores, also have 18 side-by-side stores</t>
        </r>
      </text>
    </comment>
    <comment ref="Y25" authorId="5">
      <text>
        <r>
          <rPr>
            <b/>
            <sz val="9"/>
            <color indexed="81"/>
            <rFont val="Tahoma"/>
            <family val="2"/>
          </rPr>
          <t>Cassel, Lauren (Research):</t>
        </r>
        <r>
          <rPr>
            <sz val="9"/>
            <color indexed="81"/>
            <rFont val="Tahoma"/>
            <family val="2"/>
          </rPr>
          <t xml:space="preserve">
3/1/17: see opportunity to expand to 300 stores overtime, including side by side</t>
        </r>
      </text>
    </comment>
    <comment ref="T26" authorId="3">
      <text>
        <r>
          <rPr>
            <b/>
            <sz val="8"/>
            <color indexed="81"/>
            <rFont val="Tahoma"/>
            <family val="2"/>
          </rPr>
          <t>P Kahng:</t>
        </r>
        <r>
          <rPr>
            <sz val="8"/>
            <color indexed="81"/>
            <rFont val="Tahoma"/>
            <family val="2"/>
          </rPr>
          <t xml:space="preserve">
5/18/12: annc exiting 77kids business. Closing/disposing of 22 stores.</t>
        </r>
      </text>
    </comment>
    <comment ref="O27" authorId="0">
      <text>
        <r>
          <rPr>
            <sz val="8"/>
            <color indexed="81"/>
            <rFont val="Tahoma"/>
            <family val="2"/>
          </rPr>
          <t>10-K 2007: Of the 53 remodeled stores 26 stores were relocated to a larger space, 24 expanded in place, and 3 were remodeled within existing locations.  1 dstore was refurbished.</t>
        </r>
      </text>
    </comment>
    <comment ref="P27" authorId="0">
      <text>
        <r>
          <rPr>
            <sz val="8"/>
            <color indexed="81"/>
            <rFont val="Tahoma"/>
            <family val="2"/>
          </rPr>
          <t>3/08: 50-60 from mgmt and erroneously 35-40 in press release</t>
        </r>
        <r>
          <rPr>
            <b/>
            <sz val="8"/>
            <color indexed="81"/>
            <rFont val="Tahoma"/>
            <family val="2"/>
          </rPr>
          <t xml:space="preserve">
OC48540:</t>
        </r>
        <r>
          <rPr>
            <sz val="8"/>
            <color indexed="81"/>
            <rFont val="Tahoma"/>
            <family val="2"/>
          </rPr>
          <t xml:space="preserve">
</t>
        </r>
      </text>
    </comment>
    <comment ref="Q27" authorId="6">
      <text>
        <r>
          <rPr>
            <b/>
            <sz val="8"/>
            <color indexed="81"/>
            <rFont val="Tahoma"/>
            <family val="2"/>
          </rPr>
          <t>oc48540:</t>
        </r>
        <r>
          <rPr>
            <sz val="8"/>
            <color indexed="81"/>
            <rFont val="Tahoma"/>
            <family val="2"/>
          </rPr>
          <t xml:space="preserve">
3/31: Plans to remodel 25-35 existing AE stores</t>
        </r>
      </text>
    </comment>
    <comment ref="R27" authorId="13">
      <text>
        <r>
          <rPr>
            <b/>
            <sz val="8"/>
            <color indexed="81"/>
            <rFont val="Tahoma"/>
            <family val="2"/>
          </rPr>
          <t>ns66486:</t>
        </r>
        <r>
          <rPr>
            <sz val="8"/>
            <color indexed="81"/>
            <rFont val="Tahoma"/>
            <family val="2"/>
          </rPr>
          <t xml:space="preserve">
During Fiscal 2010, we remodeled 18 stores, including 17 AE stores and one aerie store. Of the 18 remodeled stores, nine stores were remodeled or refurbished with an expansion to their existing locations, six stores were relocated to a larger space within the mall and three stores were remodeled within their existing locations. Additionally, 11 stores were refurbished as discussed below.
We maintain a cost effective store refurbishment program targeted towards our lower volume stores, typically located in smaller markets.
Stores selected as part of this program maintain their current location and size but are updated to include certain aspects of our current store format,
including paint and new fixtures.
10K: gross square footage increased by ~2%, excluding the impact of M+O closings, with approximately 71% attributable to new store openings and 29% attributable to square footage from 29 store remodels and refurbishes.
11/2010: remodeled 6 AE stores and 1 aerie store in 3Q, expect to remodel 25-30 for the year
8/10: remodeled 3 stores in 1Q, 10 stores in 2Q, expect 25-35 in 2010
3/10:  guidance 20 AE remodels</t>
        </r>
      </text>
    </comment>
    <comment ref="S27" authorId="9">
      <text>
        <r>
          <rPr>
            <b/>
            <sz val="8"/>
            <color indexed="81"/>
            <rFont val="Tahoma"/>
            <family val="2"/>
          </rPr>
          <t>nicholjs:</t>
        </r>
        <r>
          <rPr>
            <sz val="8"/>
            <color indexed="81"/>
            <rFont val="Tahoma"/>
            <family val="2"/>
          </rPr>
          <t xml:space="preserve">
10K: remodeled and refurbished 106 AE stores (5 expansion to existing lcoations, 10 relocated, 2 remodeled w/in location, 89 store reburbished). enlarged select store to 6,400 gross sqft. 
2Q 10-Q: approx 60-65 in the US and Canada
5/2011: expect 60-65
10K: plan to remodel 55-75 existing AE stores</t>
        </r>
      </text>
    </comment>
    <comment ref="T27" authorId="14">
      <text>
        <r>
          <rPr>
            <sz val="8"/>
            <color indexed="81"/>
            <rFont val="Tahoma"/>
            <family val="2"/>
          </rPr>
          <t>3Q12: expect 48-50 remodels
5/23/12: expect 55-65 remodels
3/7/12: expect 100 remodels</t>
        </r>
      </text>
    </comment>
    <comment ref="U27" authorId="10">
      <text>
        <r>
          <rPr>
            <b/>
            <sz val="8"/>
            <color indexed="81"/>
            <rFont val="Tahoma"/>
            <family val="2"/>
          </rPr>
          <t>casselau:</t>
        </r>
        <r>
          <rPr>
            <sz val="8"/>
            <color indexed="81"/>
            <rFont val="Tahoma"/>
            <family val="2"/>
          </rPr>
          <t xml:space="preserve">
3/6/13: guidance 45-55</t>
        </r>
      </text>
    </comment>
    <comment ref="W27" authorId="10">
      <text>
        <r>
          <rPr>
            <b/>
            <sz val="9"/>
            <color indexed="81"/>
            <rFont val="Tahoma"/>
            <family val="2"/>
          </rPr>
          <t>casselau:</t>
        </r>
        <r>
          <rPr>
            <sz val="9"/>
            <color indexed="81"/>
            <rFont val="Tahoma"/>
            <family val="2"/>
          </rPr>
          <t xml:space="preserve">
25-30</t>
        </r>
      </text>
    </comment>
    <comment ref="X27" authorId="10">
      <text>
        <r>
          <rPr>
            <b/>
            <sz val="9"/>
            <color indexed="81"/>
            <rFont val="Tahoma"/>
            <family val="2"/>
          </rPr>
          <t>casselau:</t>
        </r>
        <r>
          <rPr>
            <sz val="9"/>
            <color indexed="81"/>
            <rFont val="Tahoma"/>
            <family val="2"/>
          </rPr>
          <t xml:space="preserve">
3/2/16: remodel 55-65 stores</t>
        </r>
      </text>
    </comment>
    <comment ref="Z27" authorId="5">
      <text>
        <r>
          <rPr>
            <b/>
            <sz val="9"/>
            <color indexed="81"/>
            <rFont val="Tahoma"/>
            <family val="2"/>
          </rPr>
          <t>Cassel, Lauren (Research):</t>
        </r>
        <r>
          <rPr>
            <sz val="9"/>
            <color indexed="81"/>
            <rFont val="Tahoma"/>
            <family val="2"/>
          </rPr>
          <t xml:space="preserve">
3/8/18: guidance 60-70</t>
        </r>
      </text>
    </comment>
    <comment ref="H32" authorId="4">
      <text>
        <r>
          <rPr>
            <sz val="8"/>
            <color indexed="81"/>
            <rFont val="Tahoma"/>
            <family val="2"/>
          </rPr>
          <t>Laura Weill guidance: should have 23-25% square footage growth per year comprised of 20% growth from new stores and 3-5% growth from expanding existing stores.</t>
        </r>
      </text>
    </comment>
    <comment ref="P32" authorId="0">
      <text>
        <r>
          <rPr>
            <b/>
            <sz val="8"/>
            <color indexed="81"/>
            <rFont val="Tahoma"/>
            <family val="2"/>
          </rPr>
          <t>3/08:</t>
        </r>
        <r>
          <rPr>
            <sz val="8"/>
            <color indexed="81"/>
            <rFont val="Tahoma"/>
            <family val="2"/>
          </rPr>
          <t xml:space="preserve">
In fiscal 2008, the company plans to open approximately 40 AE stores, 70 aerie stores, 15 MARTIN + OSA stores and remodel 35 to 40 AE stores, for approximately 10% square footage growth.
</t>
        </r>
      </text>
    </comment>
    <comment ref="H34" authorId="2">
      <text>
        <r>
          <rPr>
            <b/>
            <sz val="8"/>
            <color indexed="81"/>
            <rFont val="Tahoma"/>
            <family val="2"/>
          </rPr>
          <t>Debbie Ong:</t>
        </r>
        <r>
          <rPr>
            <sz val="8"/>
            <color indexed="81"/>
            <rFont val="Tahoma"/>
            <family val="2"/>
          </rPr>
          <t xml:space="preserve">
plugged an additional 5500 sq ft to get to the 24.5% square footage increase Laura mentioned in 1Q call
3/15: actual from Press release (2.6 mm AE US and .323 Thrifty/BN)</t>
        </r>
      </text>
    </comment>
    <comment ref="I34" authorId="11">
      <text>
        <r>
          <rPr>
            <b/>
            <sz val="8"/>
            <color indexed="81"/>
            <rFont val="Tahoma"/>
            <family val="2"/>
          </rPr>
          <t>dong2:</t>
        </r>
        <r>
          <rPr>
            <sz val="8"/>
            <color indexed="81"/>
            <rFont val="Tahoma"/>
            <family val="2"/>
          </rPr>
          <t xml:space="preserve">
had 3.087 but co. indicated on 3q conf call that they were done w. expansion plans for the year</t>
        </r>
      </text>
    </comment>
    <comment ref="J34" authorId="8">
      <text>
        <r>
          <rPr>
            <b/>
            <sz val="8"/>
            <color indexed="81"/>
            <rFont val="Tahoma"/>
            <family val="2"/>
          </rPr>
          <t>Kimberly Greenberger:</t>
        </r>
        <r>
          <rPr>
            <sz val="8"/>
            <color indexed="81"/>
            <rFont val="Tahoma"/>
            <family val="2"/>
          </rPr>
          <t xml:space="preserve">
3/2/05 3.817442 excludes BN per Judy</t>
        </r>
      </text>
    </comment>
    <comment ref="K34" authorId="7">
      <text>
        <r>
          <rPr>
            <sz val="8"/>
            <color indexed="81"/>
            <rFont val="Tahoma"/>
            <family val="2"/>
          </rPr>
          <t>include 50K for 60 remodels… that is less than 1,000 additional sq. ft. for each store
3/2/05 4.239497 excl BN per Judy</t>
        </r>
      </text>
    </comment>
    <comment ref="L34" authorId="8">
      <text>
        <r>
          <rPr>
            <b/>
            <sz val="8"/>
            <color indexed="81"/>
            <rFont val="Tahoma"/>
            <family val="2"/>
          </rPr>
          <t>Kimberly Greenberger:</t>
        </r>
        <r>
          <rPr>
            <sz val="8"/>
            <color indexed="81"/>
            <rFont val="Tahoma"/>
            <family val="2"/>
          </rPr>
          <t xml:space="preserve">
3/2/05 4.540095 excludes BN per Judy</t>
        </r>
      </text>
    </comment>
    <comment ref="N34" authorId="16">
      <text>
        <r>
          <rPr>
            <b/>
            <sz val="8"/>
            <color indexed="81"/>
            <rFont val="Tahoma"/>
            <family val="2"/>
          </rPr>
          <t>MB33100:</t>
        </r>
        <r>
          <rPr>
            <sz val="8"/>
            <color indexed="81"/>
            <rFont val="Tahoma"/>
            <family val="2"/>
          </rPr>
          <t xml:space="preserve">
2006 10K: 5% from new stores, 3% from 65 store remodels
5/06: guided to +7% sq ftge growth in 2006</t>
        </r>
      </text>
    </comment>
    <comment ref="O34" authorId="16">
      <text>
        <r>
          <rPr>
            <b/>
            <sz val="8"/>
            <color indexed="81"/>
            <rFont val="Tahoma"/>
            <family val="2"/>
          </rPr>
          <t>MB33100:</t>
        </r>
        <r>
          <rPr>
            <sz val="8"/>
            <color indexed="81"/>
            <rFont val="Tahoma"/>
            <family val="2"/>
          </rPr>
          <t xml:space="preserve">
2006 10K: guided to 10% sq ft. growth including 4 existing store remodels (assuming 2K add'l sq ft per store - new stores ~6-6.5K sq ft)
3Q06 call: guided to +8%
2Q06 Call: guided to +7% sq ftge growth in 2007</t>
        </r>
      </text>
    </comment>
    <comment ref="P34" authorId="17">
      <text>
        <r>
          <rPr>
            <b/>
            <sz val="10"/>
            <color indexed="81"/>
            <rFont val="Tahoma"/>
            <family val="2"/>
          </rPr>
          <t>mm98285:</t>
        </r>
        <r>
          <rPr>
            <sz val="10"/>
            <color indexed="81"/>
            <rFont val="Tahoma"/>
            <family val="2"/>
          </rPr>
          <t xml:space="preserve">
4/08: expect 40-50 remodels
8/07: ~250 AE stores targeted for remodel and/or expansion over next serveral years (assume 50 per year)</t>
        </r>
      </text>
    </comment>
    <comment ref="Q34" authorId="17">
      <text>
        <r>
          <rPr>
            <b/>
            <sz val="8"/>
            <color indexed="81"/>
            <rFont val="Tahoma"/>
            <family val="2"/>
          </rPr>
          <t>mm98285:</t>
        </r>
        <r>
          <rPr>
            <sz val="8"/>
            <color indexed="81"/>
            <rFont val="Tahoma"/>
            <family val="2"/>
          </rPr>
          <t xml:space="preserve">
restated 6.404
8/07: ~250 AE stores targeted for remodel and/or expansion over next serveral years (assume 50 per year)</t>
        </r>
      </text>
    </comment>
    <comment ref="R34" authorId="17">
      <text>
        <r>
          <rPr>
            <b/>
            <sz val="8"/>
            <color indexed="81"/>
            <rFont val="Tahoma"/>
            <family val="2"/>
          </rPr>
          <t>adjusted # as of 3/6/13: 6.288425 (AE brand and aerie only)
mm98285:</t>
        </r>
        <r>
          <rPr>
            <sz val="8"/>
            <color indexed="81"/>
            <rFont val="Tahoma"/>
            <family val="2"/>
          </rPr>
          <t xml:space="preserve">
10K: gross square footage increased by 2% during FY10, excluding impact of M+O closings, with approx 71% due to new store openings and 29% attributable to incremental square footage from 29 store remodels and refurbishes
8/07: ~250 AE stores targeted for remodel and/or expansion over next serveral years (assume 50 per year)</t>
        </r>
      </text>
    </comment>
    <comment ref="S34" authorId="17">
      <text>
        <r>
          <rPr>
            <b/>
            <sz val="8"/>
            <color indexed="81"/>
            <rFont val="Tahoma"/>
            <family val="2"/>
          </rPr>
          <t>adjusted # as of 3/6/13: 6.290284 (AE brand and aerie only)
mm98285:</t>
        </r>
        <r>
          <rPr>
            <sz val="8"/>
            <color indexed="81"/>
            <rFont val="Tahoma"/>
            <family val="2"/>
          </rPr>
          <t xml:space="preserve">
10K: 4690 selling sqft; expect increase slightly
enlargnig stores to average 6,400 gross sqft
8/07: ~250 AE stores targeted for remodel and/or expansion over next serveral years (assume 50 per year)</t>
        </r>
      </text>
    </comment>
    <comment ref="T34" authorId="17">
      <text>
        <r>
          <rPr>
            <b/>
            <sz val="8"/>
            <color indexed="81"/>
            <rFont val="Tahoma"/>
            <family val="2"/>
          </rPr>
          <t>mm98285:</t>
        </r>
        <r>
          <rPr>
            <sz val="8"/>
            <color indexed="81"/>
            <rFont val="Tahoma"/>
            <family val="2"/>
          </rPr>
          <t xml:space="preserve">
10k: sqft growth is expected to decrease slightly
8/07: ~250 AE stores targeted for remodel and/or expansion over next serveral years (assume 50 per year)</t>
        </r>
      </text>
    </comment>
    <comment ref="H35" authorId="4">
      <text>
        <r>
          <rPr>
            <sz val="8"/>
            <color indexed="81"/>
            <rFont val="Tahoma"/>
            <family val="2"/>
          </rPr>
          <t>Laura Weill guidance: should have 23-25% square footage growth per year comprised of 20% growth from new stores and 3-5% growth from expanding existing stores.</t>
        </r>
      </text>
    </comment>
    <comment ref="O35" authorId="17">
      <text>
        <r>
          <rPr>
            <b/>
            <sz val="8"/>
            <color indexed="81"/>
            <rFont val="Tahoma"/>
            <family val="2"/>
          </rPr>
          <t>mm98285:</t>
        </r>
        <r>
          <rPr>
            <sz val="8"/>
            <color indexed="81"/>
            <rFont val="Tahoma"/>
            <family val="2"/>
          </rPr>
          <t xml:space="preserve">
8/07: 10% sq ft growth (includes 32 new and 53 remodeled AE stores, 14 M+O stores and 37 new free-standing aerie stores)
2/07: 10% sq ft growth (includes 34 new and 56 remodeled AE stores, 14 M+O stores and ~40 new free-standing aerie stores)
</t>
        </r>
      </text>
    </comment>
    <comment ref="P35" authorId="6">
      <text>
        <r>
          <rPr>
            <b/>
            <sz val="8"/>
            <color indexed="81"/>
            <rFont val="Tahoma"/>
            <family val="2"/>
          </rPr>
          <t>oc48540:</t>
        </r>
        <r>
          <rPr>
            <sz val="8"/>
            <color indexed="81"/>
            <rFont val="Tahoma"/>
            <family val="2"/>
          </rPr>
          <t xml:space="preserve">
11/25
2008’s plans include ~+12% square footage growth associated with 35 new AE stores, 77 new aerie stores, 10 new MARTIN + OSA
stores, and ~31 AE store remodels.
8/08: Guiding to ~+12%</t>
        </r>
      </text>
    </comment>
    <comment ref="Q35" authorId="6">
      <text>
        <r>
          <rPr>
            <b/>
            <sz val="8"/>
            <color indexed="81"/>
            <rFont val="Tahoma"/>
            <family val="2"/>
          </rPr>
          <t>oc48540:</t>
        </r>
        <r>
          <rPr>
            <sz val="8"/>
            <color indexed="81"/>
            <rFont val="Tahoma"/>
            <family val="2"/>
          </rPr>
          <t xml:space="preserve">
3/08: FY09: Expects ~11 new and 25 to 35 remodeled AE stores and 17 new aerie stores, for total square footage growth of ~+3%.
11/25:
For 2009, AEO has lowered 2009 planned capex to $110-$135mm, which
includes, new and remodeled stores, the completion of the current distribution
center and headquarters projects, as well as IT initiatives. Plans for 2009
include ~+2% square footage growth associated with 12 new AE stores, 17 new
aerie stores, 0 new MARTIN + OSA stores, and ~25-35 AE store remodels.</t>
        </r>
      </text>
    </comment>
    <comment ref="R35" authorId="13">
      <text>
        <r>
          <rPr>
            <b/>
            <sz val="8"/>
            <color indexed="81"/>
            <rFont val="Tahoma"/>
            <family val="2"/>
          </rPr>
          <t>ns66486:</t>
        </r>
        <r>
          <rPr>
            <sz val="8"/>
            <color indexed="81"/>
            <rFont val="Tahoma"/>
            <family val="2"/>
          </rPr>
          <t xml:space="preserve">
3/10:  mgt. expects square footage to be flattish</t>
        </r>
      </text>
    </comment>
    <comment ref="T35" authorId="14">
      <text>
        <r>
          <rPr>
            <b/>
            <sz val="8"/>
            <color indexed="81"/>
            <rFont val="Tahoma"/>
            <family val="2"/>
          </rPr>
          <t xml:space="preserve">3/6/13: </t>
        </r>
        <r>
          <rPr>
            <sz val="8"/>
            <color indexed="81"/>
            <rFont val="Tahoma"/>
            <family val="2"/>
          </rPr>
          <t>company reported -1.4%</t>
        </r>
        <r>
          <rPr>
            <b/>
            <sz val="8"/>
            <color indexed="81"/>
            <rFont val="Tahoma"/>
            <family val="2"/>
          </rPr>
          <t xml:space="preserve">
3/21/12: </t>
        </r>
        <r>
          <rPr>
            <sz val="8"/>
            <color indexed="81"/>
            <rFont val="Tahoma"/>
            <family val="2"/>
          </rPr>
          <t>expected to decrease slightly in fy12</t>
        </r>
      </text>
    </comment>
    <comment ref="U35" authorId="10">
      <text>
        <r>
          <rPr>
            <b/>
            <sz val="8"/>
            <color indexed="81"/>
            <rFont val="Tahoma"/>
            <family val="2"/>
          </rPr>
          <t>casselau:</t>
        </r>
        <r>
          <rPr>
            <sz val="8"/>
            <color indexed="81"/>
            <rFont val="Tahoma"/>
            <family val="2"/>
          </rPr>
          <t xml:space="preserve">
expect 3% - from larger factory stores and remodels</t>
        </r>
      </text>
    </comment>
    <comment ref="X35" authorId="10">
      <text>
        <r>
          <rPr>
            <b/>
            <sz val="9"/>
            <color indexed="81"/>
            <rFont val="Tahoma"/>
            <family val="2"/>
          </rPr>
          <t>casselau:</t>
        </r>
        <r>
          <rPr>
            <sz val="9"/>
            <color indexed="81"/>
            <rFont val="Tahoma"/>
            <family val="2"/>
          </rPr>
          <t xml:space="preserve">
12/2/15: -1% square footage</t>
        </r>
      </text>
    </comment>
    <comment ref="Z35" authorId="5">
      <text>
        <r>
          <rPr>
            <b/>
            <sz val="9"/>
            <color indexed="81"/>
            <rFont val="Tahoma"/>
            <family val="2"/>
          </rPr>
          <t>Cassel, Lauren (Research):</t>
        </r>
        <r>
          <rPr>
            <sz val="9"/>
            <color indexed="81"/>
            <rFont val="Tahoma"/>
            <family val="2"/>
          </rPr>
          <t xml:space="preserve">
3/8/18: guidance +LSD</t>
        </r>
      </text>
    </comment>
    <comment ref="S37" authorId="14">
      <text>
        <r>
          <rPr>
            <b/>
            <sz val="8"/>
            <color indexed="81"/>
            <rFont val="Tahoma"/>
            <family val="2"/>
          </rPr>
          <t>kahng:</t>
        </r>
        <r>
          <rPr>
            <sz val="8"/>
            <color indexed="81"/>
            <rFont val="Tahoma"/>
            <family val="2"/>
          </rPr>
          <t xml:space="preserve">
10k: avg size 5870 gross sqft and 4690 selling sqft</t>
        </r>
      </text>
    </comment>
    <comment ref="C40" authorId="4">
      <text>
        <r>
          <rPr>
            <b/>
            <sz val="8"/>
            <color indexed="81"/>
            <rFont val="Tahoma"/>
            <family val="2"/>
          </rPr>
          <t>CREDIT SUISSE FIRST BOSTON:</t>
        </r>
        <r>
          <rPr>
            <sz val="8"/>
            <color indexed="81"/>
            <rFont val="Tahoma"/>
            <family val="2"/>
          </rPr>
          <t xml:space="preserve">
$288/foot per 10-K </t>
        </r>
      </text>
    </comment>
    <comment ref="D40" authorId="4">
      <text>
        <r>
          <rPr>
            <b/>
            <sz val="8"/>
            <color indexed="81"/>
            <rFont val="Tahoma"/>
            <family val="2"/>
          </rPr>
          <t>CREDIT SUISSE FIRST BOSTON:</t>
        </r>
        <r>
          <rPr>
            <sz val="8"/>
            <color indexed="81"/>
            <rFont val="Tahoma"/>
            <family val="2"/>
          </rPr>
          <t xml:space="preserve">
$261/foot per 10-K </t>
        </r>
      </text>
    </comment>
    <comment ref="E40" authorId="4">
      <text>
        <r>
          <rPr>
            <sz val="8"/>
            <color indexed="81"/>
            <rFont val="Tahoma"/>
            <family val="2"/>
          </rPr>
          <t xml:space="preserve">$303/foot per 10-K </t>
        </r>
      </text>
    </comment>
    <comment ref="F40" authorId="4">
      <text>
        <r>
          <rPr>
            <sz val="8"/>
            <color indexed="81"/>
            <rFont val="Tahoma"/>
            <family val="2"/>
          </rPr>
          <t xml:space="preserve">$388/foot per 10-K </t>
        </r>
      </text>
    </comment>
    <comment ref="H40" authorId="12">
      <text>
        <r>
          <rPr>
            <b/>
            <sz val="8"/>
            <color indexed="81"/>
            <rFont val="Tahoma"/>
            <family val="2"/>
          </rPr>
          <t>Corinna Freedman:</t>
        </r>
        <r>
          <rPr>
            <sz val="8"/>
            <color indexed="81"/>
            <rFont val="Tahoma"/>
            <family val="2"/>
          </rPr>
          <t xml:space="preserve">
448 per 2004 10K</t>
        </r>
      </text>
    </comment>
    <comment ref="I40" authorId="12">
      <text>
        <r>
          <rPr>
            <b/>
            <sz val="8"/>
            <color indexed="81"/>
            <rFont val="Tahoma"/>
            <family val="2"/>
          </rPr>
          <t>Corinna Freedman:</t>
        </r>
        <r>
          <rPr>
            <sz val="8"/>
            <color indexed="81"/>
            <rFont val="Tahoma"/>
            <family val="2"/>
          </rPr>
          <t xml:space="preserve">
417 per 2004 10K</t>
        </r>
      </text>
    </comment>
    <comment ref="J40" authorId="12">
      <text>
        <r>
          <rPr>
            <b/>
            <sz val="8"/>
            <color indexed="81"/>
            <rFont val="Tahoma"/>
            <family val="2"/>
          </rPr>
          <t>Corinna Freedman:</t>
        </r>
        <r>
          <rPr>
            <sz val="8"/>
            <color indexed="81"/>
            <rFont val="Tahoma"/>
            <family val="2"/>
          </rPr>
          <t xml:space="preserve">
$374 per 2004 10K</t>
        </r>
      </text>
    </comment>
    <comment ref="K40" authorId="12">
      <text>
        <r>
          <rPr>
            <b/>
            <sz val="8"/>
            <color indexed="81"/>
            <rFont val="Tahoma"/>
            <family val="2"/>
          </rPr>
          <t>Corinna Freedman:</t>
        </r>
        <r>
          <rPr>
            <sz val="8"/>
            <color indexed="81"/>
            <rFont val="Tahoma"/>
            <family val="2"/>
          </rPr>
          <t xml:space="preserve">
$343 per 2004 10K</t>
        </r>
      </text>
    </comment>
    <comment ref="L40" authorId="4">
      <text>
        <r>
          <rPr>
            <sz val="8"/>
            <color indexed="81"/>
            <rFont val="Tahoma"/>
            <family val="2"/>
          </rPr>
          <t xml:space="preserve">$412 per 10K
$411/foot per 4Q04 conf call
</t>
        </r>
      </text>
    </comment>
    <comment ref="M43" authorId="8">
      <text>
        <r>
          <rPr>
            <b/>
            <sz val="8"/>
            <color indexed="81"/>
            <rFont val="Tahoma"/>
            <family val="2"/>
          </rPr>
          <t>Kimberly Greenberger:</t>
        </r>
        <r>
          <rPr>
            <sz val="8"/>
            <color indexed="81"/>
            <rFont val="Tahoma"/>
            <family val="2"/>
          </rPr>
          <t xml:space="preserve">
8/04: include inc 1-3% benefit from increased accessories penetration</t>
        </r>
      </text>
    </comment>
    <comment ref="N43" authorId="8">
      <text>
        <r>
          <rPr>
            <b/>
            <sz val="8"/>
            <color indexed="81"/>
            <rFont val="Tahoma"/>
            <family val="2"/>
          </rPr>
          <t>Kimberly Greenberger:</t>
        </r>
        <r>
          <rPr>
            <sz val="8"/>
            <color indexed="81"/>
            <rFont val="Tahoma"/>
            <family val="2"/>
          </rPr>
          <t xml:space="preserve">
9/05: assume 2% from increased intimates/ dormwear
8/04: include inc 1-3% benefit from increased accessories penetration</t>
        </r>
      </text>
    </comment>
    <comment ref="O43" authorId="8">
      <text>
        <r>
          <rPr>
            <b/>
            <sz val="8"/>
            <color indexed="81"/>
            <rFont val="Tahoma"/>
            <family val="2"/>
          </rPr>
          <t>Kimberly Greenberger:</t>
        </r>
        <r>
          <rPr>
            <sz val="8"/>
            <color indexed="81"/>
            <rFont val="Tahoma"/>
            <family val="2"/>
          </rPr>
          <t xml:space="preserve">
8/04: include inc 1-3% benefit from increased accessories penetration</t>
        </r>
      </text>
    </comment>
    <comment ref="P43" authorId="8">
      <text>
        <r>
          <rPr>
            <b/>
            <sz val="8"/>
            <color indexed="81"/>
            <rFont val="Tahoma"/>
            <family val="2"/>
          </rPr>
          <t>Kimberly Greenberger:</t>
        </r>
        <r>
          <rPr>
            <sz val="8"/>
            <color indexed="81"/>
            <rFont val="Tahoma"/>
            <family val="2"/>
          </rPr>
          <t xml:space="preserve">
8/04: include inc 1-3% benefit from increased accessories penetration</t>
        </r>
      </text>
    </comment>
    <comment ref="Q43" authorId="8">
      <text>
        <r>
          <rPr>
            <b/>
            <sz val="8"/>
            <color indexed="81"/>
            <rFont val="Tahoma"/>
            <family val="2"/>
          </rPr>
          <t>Kimberly Greenberger:</t>
        </r>
        <r>
          <rPr>
            <sz val="8"/>
            <color indexed="81"/>
            <rFont val="Tahoma"/>
            <family val="2"/>
          </rPr>
          <t xml:space="preserve">
8/04: include inc 1-3% benefit from increased accessories penetration</t>
        </r>
      </text>
    </comment>
    <comment ref="K45" authorId="19">
      <text>
        <r>
          <rPr>
            <b/>
            <sz val="10"/>
            <color indexed="81"/>
            <rFont val="Tahoma"/>
            <family val="2"/>
          </rPr>
          <t>dliu:</t>
        </r>
        <r>
          <rPr>
            <sz val="10"/>
            <color indexed="81"/>
            <rFont val="Tahoma"/>
            <family val="2"/>
          </rPr>
          <t xml:space="preserve">
5,800-6,000 sq ft on avg</t>
        </r>
      </text>
    </comment>
    <comment ref="L45" authorId="8">
      <text>
        <r>
          <rPr>
            <b/>
            <sz val="8"/>
            <color indexed="81"/>
            <rFont val="Tahoma"/>
            <family val="2"/>
          </rPr>
          <t>Kimberly Greenberger:</t>
        </r>
        <r>
          <rPr>
            <sz val="8"/>
            <color indexed="81"/>
            <rFont val="Tahoma"/>
            <family val="2"/>
          </rPr>
          <t xml:space="preserve">
2004 stores 6,000 sq ft on avg incl some big ones like Herald Sq at 10k and Hollywood &amp; Highland at 8k, and  Chicago N. Ave 7k 
Can prob use 5,900 go fwd b/c these stores skewing 2004 class somewhat.</t>
        </r>
      </text>
    </comment>
    <comment ref="M45" authorId="8">
      <text>
        <r>
          <rPr>
            <b/>
            <sz val="8"/>
            <color indexed="81"/>
            <rFont val="Tahoma"/>
            <family val="2"/>
          </rPr>
          <t>Kimberly Greenberger:</t>
        </r>
        <r>
          <rPr>
            <sz val="8"/>
            <color indexed="81"/>
            <rFont val="Tahoma"/>
            <family val="2"/>
          </rPr>
          <t xml:space="preserve">
8/04 leave at 5,900 - see 2004 comment</t>
        </r>
      </text>
    </comment>
    <comment ref="O45" authorId="17">
      <text>
        <r>
          <rPr>
            <b/>
            <sz val="8"/>
            <color indexed="81"/>
            <rFont val="Tahoma"/>
            <family val="2"/>
          </rPr>
          <t>mm98285:</t>
        </r>
        <r>
          <rPr>
            <sz val="8"/>
            <color indexed="81"/>
            <rFont val="Tahoma"/>
            <family val="2"/>
          </rPr>
          <t xml:space="preserve">
2006 10K: current stores avg 5,700 gross sq ft (4,600 selling sq ft) and are expanding select stores to ~6-6.5K sq ft (at end of 2006 88% of total stores in new store format or ~800 stores)</t>
        </r>
      </text>
    </comment>
    <comment ref="A46" authorId="18">
      <text>
        <r>
          <rPr>
            <b/>
            <sz val="8"/>
            <color indexed="81"/>
            <rFont val="Tahoma"/>
            <family val="2"/>
          </rPr>
          <t>lr73192:</t>
        </r>
        <r>
          <rPr>
            <sz val="8"/>
            <color indexed="81"/>
            <rFont val="Tahoma"/>
            <family val="2"/>
          </rPr>
          <t xml:space="preserve">
5/10: Replace this with 77kids? Avg store size is 4500-5000 sq ft per mgmt</t>
        </r>
      </text>
    </comment>
    <comment ref="O47" authorId="17">
      <text>
        <r>
          <rPr>
            <b/>
            <sz val="8"/>
            <color indexed="81"/>
            <rFont val="Tahoma"/>
            <family val="2"/>
          </rPr>
          <t>mm98285:</t>
        </r>
        <r>
          <rPr>
            <sz val="8"/>
            <color indexed="81"/>
            <rFont val="Tahoma"/>
            <family val="2"/>
          </rPr>
          <t xml:space="preserve">
5/07 expect 3600 sq ft. </t>
        </r>
      </text>
    </comment>
    <comment ref="R48" authorId="20">
      <text>
        <r>
          <rPr>
            <b/>
            <sz val="8"/>
            <color indexed="81"/>
            <rFont val="Tahoma"/>
            <family val="2"/>
          </rPr>
          <t>marchant:</t>
        </r>
        <r>
          <rPr>
            <sz val="8"/>
            <color indexed="81"/>
            <rFont val="Tahoma"/>
            <family val="2"/>
          </rPr>
          <t xml:space="preserve">
10K: avg store size 5K</t>
        </r>
      </text>
    </comment>
    <comment ref="R49" authorId="20">
      <text>
        <r>
          <rPr>
            <b/>
            <sz val="8"/>
            <color indexed="81"/>
            <rFont val="Tahoma"/>
            <family val="2"/>
          </rPr>
          <t>marchant:</t>
        </r>
        <r>
          <rPr>
            <sz val="8"/>
            <color indexed="81"/>
            <rFont val="Tahoma"/>
            <family val="2"/>
          </rPr>
          <t xml:space="preserve">
10K: remodels usually increase store size to 6.5K.  Stores average 5,800 square feet.
10K: remodels usually increase store size to 7K </t>
        </r>
      </text>
    </comment>
    <comment ref="S49" authorId="20">
      <text>
        <r>
          <rPr>
            <sz val="8"/>
            <color indexed="81"/>
            <rFont val="Tahoma"/>
            <family val="2"/>
          </rPr>
          <t xml:space="preserve">2010 10K: remodels usually increase store size to 6.5K.  Stores average 5,800 square feet.
</t>
        </r>
      </text>
    </comment>
    <comment ref="T49" authorId="14">
      <text>
        <r>
          <rPr>
            <b/>
            <sz val="8"/>
            <color indexed="81"/>
            <rFont val="Tahoma"/>
            <family val="2"/>
          </rPr>
          <t>kahng:</t>
        </r>
        <r>
          <rPr>
            <sz val="8"/>
            <color indexed="81"/>
            <rFont val="Tahoma"/>
            <family val="2"/>
          </rPr>
          <t xml:space="preserve">
new store enlargements to 6400sqft</t>
        </r>
      </text>
    </comment>
    <comment ref="R50" authorId="13">
      <text>
        <r>
          <rPr>
            <b/>
            <sz val="8"/>
            <color indexed="81"/>
            <rFont val="Tahoma"/>
            <family val="2"/>
          </rPr>
          <t>ns66486:</t>
        </r>
        <r>
          <rPr>
            <sz val="8"/>
            <color indexed="81"/>
            <rFont val="Tahoma"/>
            <family val="2"/>
          </rPr>
          <t xml:space="preserve">
avg AE store in chain</t>
        </r>
      </text>
    </comment>
    <comment ref="S50" authorId="13">
      <text>
        <r>
          <rPr>
            <b/>
            <sz val="8"/>
            <color indexed="81"/>
            <rFont val="Tahoma"/>
            <family val="2"/>
          </rPr>
          <t>ns66486:</t>
        </r>
        <r>
          <rPr>
            <sz val="8"/>
            <color indexed="81"/>
            <rFont val="Tahoma"/>
            <family val="2"/>
          </rPr>
          <t xml:space="preserve">
avg AE store in chain</t>
        </r>
      </text>
    </comment>
    <comment ref="H52" authorId="4">
      <text>
        <r>
          <rPr>
            <sz val="8"/>
            <color indexed="81"/>
            <rFont val="Tahoma"/>
            <family val="2"/>
          </rPr>
          <t>Excludes $15mm internet sales</t>
        </r>
      </text>
    </comment>
    <comment ref="P52" authorId="21">
      <text>
        <r>
          <rPr>
            <b/>
            <sz val="8"/>
            <color indexed="81"/>
            <rFont val="Tahoma"/>
            <family val="2"/>
          </rPr>
          <t>kg51925:</t>
        </r>
        <r>
          <rPr>
            <sz val="8"/>
            <color indexed="81"/>
            <rFont val="Tahoma"/>
            <family val="2"/>
          </rPr>
          <t xml:space="preserve">
8/07 weighted 75% productivity as assume 30 AE stores at 100%, 15 M&amp;O stores at 50%, and 50 aerie stores at 65% productivity</t>
        </r>
      </text>
    </comment>
    <comment ref="Z53" authorId="5">
      <text>
        <r>
          <rPr>
            <b/>
            <sz val="9"/>
            <color indexed="81"/>
            <rFont val="Tahoma"/>
            <family val="2"/>
          </rPr>
          <t>Cassel, Lauren (Research):</t>
        </r>
        <r>
          <rPr>
            <sz val="9"/>
            <color indexed="81"/>
            <rFont val="Tahoma"/>
            <family val="2"/>
          </rPr>
          <t xml:space="preserve">
3/8/18: guidance 261</t>
        </r>
      </text>
    </comment>
    <comment ref="H70" authorId="2">
      <text>
        <r>
          <rPr>
            <b/>
            <sz val="8"/>
            <color indexed="81"/>
            <rFont val="Tahoma"/>
            <family val="2"/>
          </rPr>
          <t>Debbie Ong:</t>
        </r>
        <r>
          <rPr>
            <sz val="8"/>
            <color indexed="81"/>
            <rFont val="Tahoma"/>
            <family val="2"/>
          </rPr>
          <t xml:space="preserve">
for the full months of Nov, Dec and Jan (4Q00)</t>
        </r>
      </text>
    </comment>
    <comment ref="I70" authorId="2">
      <text>
        <r>
          <rPr>
            <b/>
            <sz val="8"/>
            <color indexed="81"/>
            <rFont val="Tahoma"/>
            <family val="2"/>
          </rPr>
          <t>Debbie Ong:</t>
        </r>
        <r>
          <rPr>
            <sz val="8"/>
            <color indexed="81"/>
            <rFont val="Tahoma"/>
            <family val="2"/>
          </rPr>
          <t xml:space="preserve">
approx. $38-42 mm for Braemar stores, and $92 mm BN rev. for entire year</t>
        </r>
      </text>
    </comment>
    <comment ref="J70" authorId="2">
      <text>
        <r>
          <rPr>
            <b/>
            <sz val="8"/>
            <color indexed="81"/>
            <rFont val="Tahoma"/>
            <family val="2"/>
          </rPr>
          <t>Debbie Ong:</t>
        </r>
        <r>
          <rPr>
            <sz val="8"/>
            <color indexed="81"/>
            <rFont val="Tahoma"/>
            <family val="2"/>
          </rPr>
          <t xml:space="preserve">
add $4 mm to AEOS Cd. b/c the 01 number is not for full year. Assume 1Q01 made $4 mm; 2Q01 made $4.9 mm and accounts for 20% of full-year sales vs. 1Q's 17%. 8/20/01: Formula for topline was (2001E sales + $4)*1.15 (comp) + 10 stores/2*$1.5 million (avg. new store pfce).
</t>
        </r>
      </text>
    </comment>
    <comment ref="K70" authorId="2">
      <text>
        <r>
          <rPr>
            <b/>
            <sz val="8"/>
            <color indexed="81"/>
            <rFont val="Tahoma"/>
            <family val="2"/>
          </rPr>
          <t>Debbie Ong:</t>
        </r>
        <r>
          <rPr>
            <sz val="8"/>
            <color indexed="81"/>
            <rFont val="Tahoma"/>
            <family val="2"/>
          </rPr>
          <t xml:space="preserve">
8/20/01: Formula for topline is (2002E sales)*1.10 (comp) + 10 stores/2*$1.7 million (avg. new store pfce).
But since zero out new store openings all sales growth from comp stores
subtract 1 to get nice round number</t>
        </r>
      </text>
    </comment>
    <comment ref="H75" authorId="2">
      <text>
        <r>
          <rPr>
            <b/>
            <sz val="8"/>
            <color indexed="81"/>
            <rFont val="Tahoma"/>
            <family val="2"/>
          </rPr>
          <t>Debbie Ong:</t>
        </r>
        <r>
          <rPr>
            <sz val="8"/>
            <color indexed="81"/>
            <rFont val="Tahoma"/>
            <family val="2"/>
          </rPr>
          <t xml:space="preserve">
Per company on 2/14/01: acquired 172 stores- 115 Thriftys/BN and 57 Braemar. But not counting Braemar stores until they get converted to AE stores (they're being run in liquidation phase).</t>
        </r>
      </text>
    </comment>
    <comment ref="I75" authorId="2">
      <text>
        <r>
          <rPr>
            <b/>
            <sz val="8"/>
            <color indexed="81"/>
            <rFont val="Tahoma"/>
            <family val="2"/>
          </rPr>
          <t>Debbie Ong:</t>
        </r>
        <r>
          <rPr>
            <sz val="8"/>
            <color indexed="81"/>
            <rFont val="Tahoma"/>
            <family val="2"/>
          </rPr>
          <t xml:space="preserve">
include conversion of two Braemar stores @3,900 sq ft each. 8/20: on 2Q01 conf. Call said will end year w. 46 AE Canadas and 113 T/BNs (I.e. total of 159 stores).</t>
        </r>
      </text>
    </comment>
    <comment ref="J75" authorId="2">
      <text>
        <r>
          <rPr>
            <b/>
            <sz val="8"/>
            <color indexed="81"/>
            <rFont val="Tahoma"/>
            <family val="2"/>
          </rPr>
          <t>Debbie Ong:</t>
        </r>
        <r>
          <rPr>
            <sz val="8"/>
            <color indexed="81"/>
            <rFont val="Tahoma"/>
            <family val="2"/>
          </rPr>
          <t xml:space="preserve">
per co. on 2/14/01: there's only potential of about 100 malls; are waiting to see how the initial stores perform. Perhaps the best malls could have two stores, but really only talking about 100 AE Canadas here
5/13/02: changed to zero per co.</t>
        </r>
      </text>
    </comment>
    <comment ref="I76" authorId="2">
      <text>
        <r>
          <rPr>
            <b/>
            <sz val="8"/>
            <color indexed="81"/>
            <rFont val="Tahoma"/>
            <family val="2"/>
          </rPr>
          <t>Debbie Ong:</t>
        </r>
        <r>
          <rPr>
            <sz val="8"/>
            <color indexed="81"/>
            <rFont val="Tahoma"/>
            <family val="2"/>
          </rPr>
          <t xml:space="preserve">
46 out of the 57 Braemar stores accquired are being converted to AE Canada</t>
        </r>
      </text>
    </comment>
    <comment ref="J76" authorId="2">
      <text>
        <r>
          <rPr>
            <b/>
            <sz val="8"/>
            <color indexed="81"/>
            <rFont val="Tahoma"/>
            <family val="2"/>
          </rPr>
          <t>Debbie Ong:</t>
        </r>
        <r>
          <rPr>
            <sz val="8"/>
            <color indexed="81"/>
            <rFont val="Tahoma"/>
            <family val="2"/>
          </rPr>
          <t xml:space="preserve">
per co. on 2/14/01: there's only potential of about 100 malls; are waiting to see how the initial stores perform. Perhaps the best malls could have two stores, but really only talking about 100 AE Canadas here</t>
        </r>
      </text>
    </comment>
    <comment ref="H77" authorId="4">
      <text>
        <r>
          <rPr>
            <sz val="8"/>
            <color indexed="81"/>
            <rFont val="Tahoma"/>
            <family val="2"/>
          </rPr>
          <t>closed 6 BN stores</t>
        </r>
      </text>
    </comment>
    <comment ref="H88" authorId="2">
      <text>
        <r>
          <rPr>
            <b/>
            <sz val="8"/>
            <color indexed="81"/>
            <rFont val="Tahoma"/>
            <family val="2"/>
          </rPr>
          <t>Debbie Ong:</t>
        </r>
        <r>
          <rPr>
            <sz val="8"/>
            <color indexed="81"/>
            <rFont val="Tahoma"/>
            <family val="2"/>
          </rPr>
          <t xml:space="preserve">
just Thrifty's. not incl. Braemar</t>
        </r>
      </text>
    </comment>
    <comment ref="I88" authorId="2">
      <text>
        <r>
          <rPr>
            <b/>
            <sz val="8"/>
            <color indexed="81"/>
            <rFont val="Tahoma"/>
            <family val="2"/>
          </rPr>
          <t>Debbie Ong:</t>
        </r>
        <r>
          <rPr>
            <sz val="8"/>
            <color indexed="81"/>
            <rFont val="Tahoma"/>
            <family val="2"/>
          </rPr>
          <t xml:space="preserve">
co. says 360,000 sq.ft. Thriftys by F01 end; 225,000 sq. ft. AEOS Canada by yr end. (our calcs using new store sizes as listed yield 0.571 - close enough). 8/20: Had 585K, but based on 2Q01 conf. Call update, reduce to 558K
11/16: raise to 3Q01 end sq. ft</t>
        </r>
      </text>
    </comment>
    <comment ref="J88" authorId="2">
      <text>
        <r>
          <rPr>
            <b/>
            <sz val="8"/>
            <color indexed="81"/>
            <rFont val="Tahoma"/>
            <family val="2"/>
          </rPr>
          <t>Debbie Ong:</t>
        </r>
        <r>
          <rPr>
            <sz val="8"/>
            <color indexed="81"/>
            <rFont val="Tahoma"/>
            <family val="2"/>
          </rPr>
          <t xml:space="preserve">
remember to change this formula if Thriftys/BNs are opening also, b/c they are half the size of AEs!!!</t>
        </r>
      </text>
    </comment>
    <comment ref="C94" authorId="4">
      <text>
        <r>
          <rPr>
            <b/>
            <sz val="8"/>
            <color indexed="81"/>
            <rFont val="Tahoma"/>
            <family val="2"/>
          </rPr>
          <t>CREDIT SUISSE FIRST BOSTON:</t>
        </r>
        <r>
          <rPr>
            <sz val="8"/>
            <color indexed="81"/>
            <rFont val="Tahoma"/>
            <family val="2"/>
          </rPr>
          <t xml:space="preserve">
$288/foot per 10-K </t>
        </r>
      </text>
    </comment>
    <comment ref="N119" authorId="17">
      <text>
        <r>
          <rPr>
            <b/>
            <sz val="8"/>
            <color indexed="81"/>
            <rFont val="Tahoma"/>
            <family val="2"/>
          </rPr>
          <t>mm98285:</t>
        </r>
        <r>
          <rPr>
            <sz val="8"/>
            <color indexed="81"/>
            <rFont val="Tahoma"/>
            <family val="2"/>
          </rPr>
          <t xml:space="preserve">
4/07: includes 1 Canada store</t>
        </r>
      </text>
    </comment>
  </commentList>
</comments>
</file>

<file path=xl/comments6.xml><?xml version="1.0" encoding="utf-8"?>
<comments xmlns="http://schemas.openxmlformats.org/spreadsheetml/2006/main">
  <authors>
    <author>Corinna Freedman</author>
    <author>Cassel, Lauren (Research)</author>
    <author>CREDIT SUISSE FIRST BOSTON</author>
    <author>Kimberly Greenberger</author>
    <author>kg51925</author>
    <author>P Kahng</author>
    <author>casselau</author>
    <author>dliu</author>
    <author>oc48540</author>
    <author>jwyatt</author>
    <author>duol</author>
    <author>nicholjs</author>
    <author>solejay</author>
    <author>MB33100</author>
    <author>Lehman Brothers</author>
    <author>Debbie Ong</author>
    <author>mm98285</author>
  </authors>
  <commentList>
    <comment ref="J7" authorId="0">
      <text>
        <r>
          <rPr>
            <b/>
            <sz val="8"/>
            <color indexed="81"/>
            <rFont val="Tahoma"/>
            <family val="2"/>
          </rPr>
          <t>Corinna Freedman:</t>
        </r>
        <r>
          <rPr>
            <sz val="8"/>
            <color indexed="81"/>
            <rFont val="Tahoma"/>
            <family val="2"/>
          </rPr>
          <t xml:space="preserve">
prior to restatement =1493.3</t>
        </r>
      </text>
    </comment>
    <comment ref="Z7" authorId="1">
      <text>
        <r>
          <rPr>
            <b/>
            <sz val="9"/>
            <color indexed="81"/>
            <rFont val="Tahoma"/>
            <family val="2"/>
          </rPr>
          <t>Cassel, Lauren (Research):</t>
        </r>
        <r>
          <rPr>
            <sz val="9"/>
            <color indexed="81"/>
            <rFont val="Tahoma"/>
            <family val="2"/>
          </rPr>
          <t xml:space="preserve">
3/8/18: expect aerie to achieve $1B in sales in two years</t>
        </r>
      </text>
    </comment>
    <comment ref="J11" authorId="0">
      <text>
        <r>
          <rPr>
            <b/>
            <sz val="8"/>
            <color indexed="81"/>
            <rFont val="Tahoma"/>
            <family val="2"/>
          </rPr>
          <t>Corinna Freedman:</t>
        </r>
        <r>
          <rPr>
            <sz val="8"/>
            <color indexed="81"/>
            <rFont val="Tahoma"/>
            <family val="2"/>
          </rPr>
          <t xml:space="preserve">
prior to restatement 943.1m</t>
        </r>
      </text>
    </comment>
    <comment ref="K11" authorId="0">
      <text>
        <r>
          <rPr>
            <b/>
            <sz val="8"/>
            <color indexed="81"/>
            <rFont val="Tahoma"/>
            <family val="2"/>
          </rPr>
          <t>Corinna Freedman:</t>
        </r>
        <r>
          <rPr>
            <sz val="8"/>
            <color indexed="81"/>
            <rFont val="Tahoma"/>
            <family val="2"/>
          </rPr>
          <t xml:space="preserve">
prior to rstmt = 1010.1m</t>
        </r>
      </text>
    </comment>
    <comment ref="H12" authorId="2">
      <text>
        <r>
          <rPr>
            <sz val="8"/>
            <color indexed="81"/>
            <rFont val="Tahoma"/>
            <family val="2"/>
          </rPr>
          <t>99 margin at record low 15% MD rate to sales, but s/ get lvg from personal care, dormwear and accessories eventually. Show flat to slight improve in margin.
Had 42.9% before 1Q00 rptd., brought down to 42%.  After May sales, bring down closer to '00E. use 41.5% b/c bring on line new DC '01 pressure GM 
6/21: Increase by 10 bp from 00E of 39.9%.</t>
        </r>
      </text>
    </comment>
    <comment ref="M12" authorId="3">
      <text>
        <r>
          <rPr>
            <b/>
            <sz val="8"/>
            <color indexed="81"/>
            <rFont val="Tahoma"/>
            <family val="2"/>
          </rPr>
          <t>Kimberly Greenberger:</t>
        </r>
        <r>
          <rPr>
            <sz val="8"/>
            <color indexed="81"/>
            <rFont val="Tahoma"/>
            <family val="2"/>
          </rPr>
          <t xml:space="preserve">
9/05 expect 1Q &amp; 2Q06 GM could be down 100 bps w/ 2H06 flat = approx 50 bps pressure 2006</t>
        </r>
      </text>
    </comment>
    <comment ref="N12" authorId="4">
      <text>
        <r>
          <rPr>
            <b/>
            <sz val="8"/>
            <color indexed="81"/>
            <rFont val="Tahoma"/>
            <family val="2"/>
          </rPr>
          <t>kg51925:</t>
        </r>
        <r>
          <rPr>
            <sz val="8"/>
            <color indexed="81"/>
            <rFont val="Tahoma"/>
            <family val="2"/>
          </rPr>
          <t xml:space="preserve">
assume 20-40 bps of M+O drag</t>
        </r>
      </text>
    </comment>
    <comment ref="S12" authorId="5">
      <text>
        <r>
          <rPr>
            <b/>
            <sz val="8"/>
            <color indexed="81"/>
            <rFont val="Tahoma"/>
            <family val="2"/>
          </rPr>
          <t>P Kahng:</t>
        </r>
        <r>
          <rPr>
            <sz val="8"/>
            <color indexed="81"/>
            <rFont val="Tahoma"/>
            <family val="2"/>
          </rPr>
          <t xml:space="preserve">
5/24/12: reflects new margin on 77kids exit</t>
        </r>
      </text>
    </comment>
    <comment ref="T12" authorId="6">
      <text>
        <r>
          <rPr>
            <b/>
            <sz val="8"/>
            <color indexed="81"/>
            <rFont val="Tahoma"/>
            <family val="2"/>
          </rPr>
          <t>5/25/12: margin recovering from reversal of cotton cost inflation</t>
        </r>
        <r>
          <rPr>
            <sz val="8"/>
            <color indexed="81"/>
            <rFont val="Tahoma"/>
            <family val="2"/>
          </rPr>
          <t xml:space="preserve">
</t>
        </r>
      </text>
    </comment>
    <comment ref="V12" authorId="6">
      <text>
        <r>
          <rPr>
            <b/>
            <sz val="9"/>
            <color indexed="81"/>
            <rFont val="Tahoma"/>
            <family val="2"/>
          </rPr>
          <t>casselau:</t>
        </r>
        <r>
          <rPr>
            <sz val="9"/>
            <color indexed="81"/>
            <rFont val="Tahoma"/>
            <family val="2"/>
          </rPr>
          <t xml:space="preserve">
12/4/14: can leverage BOW on +LSD comp; BOW is expected to increase +LSD; expect AUC to be roughly flat 1H</t>
        </r>
      </text>
    </comment>
    <comment ref="W12" authorId="6">
      <text>
        <r>
          <rPr>
            <b/>
            <sz val="9"/>
            <color indexed="81"/>
            <rFont val="Tahoma"/>
            <family val="2"/>
          </rPr>
          <t>casselau:</t>
        </r>
        <r>
          <rPr>
            <sz val="9"/>
            <color indexed="81"/>
            <rFont val="Tahoma"/>
            <family val="2"/>
          </rPr>
          <t xml:space="preserve">
12/4/14: can leverage BOW on +LSD comp; BOW is expected to increase +LSD; expect AUC to be roughly flat 1H</t>
        </r>
      </text>
    </comment>
    <comment ref="X12" authorId="1">
      <text>
        <r>
          <rPr>
            <b/>
            <sz val="9"/>
            <color indexed="81"/>
            <rFont val="Tahoma"/>
            <family val="2"/>
          </rPr>
          <t>Cassel, Lauren (Research):</t>
        </r>
        <r>
          <rPr>
            <sz val="9"/>
            <color indexed="81"/>
            <rFont val="Tahoma"/>
            <family val="2"/>
          </rPr>
          <t xml:space="preserve">
11/30/16: per Judy: think 1H IMU's should be +50 bps due to lower AUC</t>
        </r>
      </text>
    </comment>
    <comment ref="I13" authorId="0">
      <text>
        <r>
          <rPr>
            <b/>
            <sz val="8"/>
            <color indexed="81"/>
            <rFont val="Tahoma"/>
            <family val="2"/>
          </rPr>
          <t>Corinna Freedman:</t>
        </r>
        <r>
          <rPr>
            <sz val="8"/>
            <color indexed="81"/>
            <rFont val="Tahoma"/>
            <family val="2"/>
          </rPr>
          <t xml:space="preserve">
04/05 per 10K</t>
        </r>
      </text>
    </comment>
    <comment ref="J13" authorId="7">
      <text>
        <r>
          <rPr>
            <sz val="8"/>
            <color indexed="81"/>
            <rFont val="Tahoma"/>
            <family val="2"/>
          </rPr>
          <t>prior to restatement = 184mm</t>
        </r>
        <r>
          <rPr>
            <b/>
            <sz val="8"/>
            <color indexed="81"/>
            <rFont val="Tahoma"/>
            <family val="2"/>
          </rPr>
          <t xml:space="preserve">
dliu:</t>
        </r>
        <r>
          <rPr>
            <sz val="8"/>
            <color indexed="81"/>
            <rFont val="Tahoma"/>
            <family val="2"/>
          </rPr>
          <t xml:space="preserve">
adjusted the number that is reported in 03 10-K. In 03 it looked like they changed their reporting method to EXCLUDE CAM and RE taxes and other charges, whereas in 2001 and before they INCLUDED those other charges. So for 03 I multiplied by 1.3 to gross up to a comparable number.</t>
        </r>
      </text>
    </comment>
    <comment ref="M13" authorId="8">
      <text>
        <r>
          <rPr>
            <b/>
            <sz val="8"/>
            <color indexed="81"/>
            <rFont val="Tahoma"/>
            <family val="2"/>
          </rPr>
          <t>oc48540:</t>
        </r>
        <r>
          <rPr>
            <sz val="8"/>
            <color indexed="81"/>
            <rFont val="Tahoma"/>
            <family val="2"/>
          </rPr>
          <t xml:space="preserve">
all-in RE = $230.0mm</t>
        </r>
      </text>
    </comment>
    <comment ref="N13" authorId="8">
      <text>
        <r>
          <rPr>
            <b/>
            <sz val="8"/>
            <color indexed="81"/>
            <rFont val="Tahoma"/>
            <family val="2"/>
          </rPr>
          <t>oc48540:</t>
        </r>
        <r>
          <rPr>
            <sz val="8"/>
            <color indexed="81"/>
            <rFont val="Tahoma"/>
            <family val="2"/>
          </rPr>
          <t xml:space="preserve">
all-in RE = $275mm</t>
        </r>
      </text>
    </comment>
    <comment ref="O13" authorId="8">
      <text>
        <r>
          <rPr>
            <b/>
            <sz val="8"/>
            <color indexed="81"/>
            <rFont val="Tahoma"/>
            <family val="2"/>
          </rPr>
          <t>oc48540:</t>
        </r>
        <r>
          <rPr>
            <sz val="8"/>
            <color indexed="81"/>
            <rFont val="Tahoma"/>
            <family val="2"/>
          </rPr>
          <t xml:space="preserve">
all-in RE = $310.3mm</t>
        </r>
      </text>
    </comment>
    <comment ref="P13" authorId="8">
      <text>
        <r>
          <rPr>
            <b/>
            <sz val="8"/>
            <color indexed="81"/>
            <rFont val="Tahoma"/>
            <family val="2"/>
          </rPr>
          <t>oc48540:</t>
        </r>
        <r>
          <rPr>
            <sz val="8"/>
            <color indexed="81"/>
            <rFont val="Tahoma"/>
            <family val="2"/>
          </rPr>
          <t xml:space="preserve">
restated from $237.301
all-in RE = $348.6mm</t>
        </r>
      </text>
    </comment>
    <comment ref="Q13" authorId="9">
      <text>
        <r>
          <rPr>
            <b/>
            <sz val="8"/>
            <color indexed="81"/>
            <rFont val="Tahoma"/>
            <family val="2"/>
          </rPr>
          <t>jwyatt:</t>
        </r>
        <r>
          <rPr>
            <sz val="8"/>
            <color indexed="81"/>
            <rFont val="Tahoma"/>
            <family val="2"/>
          </rPr>
          <t xml:space="preserve">
2013 10-k
minimum 229.187
contingent 8.182</t>
        </r>
      </text>
    </comment>
    <comment ref="R13" authorId="9">
      <text>
        <r>
          <rPr>
            <b/>
            <sz val="8"/>
            <color indexed="81"/>
            <rFont val="Tahoma"/>
            <family val="2"/>
          </rPr>
          <t>jwyatt:</t>
        </r>
        <r>
          <rPr>
            <sz val="8"/>
            <color indexed="81"/>
            <rFont val="Tahoma"/>
            <family val="2"/>
          </rPr>
          <t xml:space="preserve">
2013 10-k
246.096
7.618
2012 10-k
minimum 251.504
contingent 7.618</t>
        </r>
      </text>
    </comment>
    <comment ref="S13" authorId="9">
      <text>
        <r>
          <rPr>
            <b/>
            <sz val="8"/>
            <color indexed="81"/>
            <rFont val="Tahoma"/>
            <family val="2"/>
          </rPr>
          <t>jwyatt:</t>
        </r>
        <r>
          <rPr>
            <sz val="8"/>
            <color indexed="81"/>
            <rFont val="Tahoma"/>
            <family val="2"/>
          </rPr>
          <t xml:space="preserve">
2013 10-k
250.844
9.758</t>
        </r>
      </text>
    </comment>
    <comment ref="U13" authorId="10">
      <text>
        <r>
          <rPr>
            <b/>
            <sz val="8"/>
            <color indexed="81"/>
            <rFont val="Tahoma"/>
            <family val="2"/>
          </rPr>
          <t>3/24/14: Per IR:</t>
        </r>
        <r>
          <rPr>
            <sz val="8"/>
            <color indexed="81"/>
            <rFont val="Tahoma"/>
            <family val="2"/>
          </rPr>
          <t xml:space="preserve">
Need 4-5% comps to leverage rent.
Expect next year's rent to deleverage. Y/y growth should be "high end of +MSD range"
(dli: we assume 6%)
Sq. ft growth in 2014 should be "a little less" than 2013
</t>
        </r>
      </text>
    </comment>
    <comment ref="V13" authorId="6">
      <text>
        <r>
          <rPr>
            <b/>
            <sz val="9"/>
            <color indexed="81"/>
            <rFont val="Tahoma"/>
            <family val="2"/>
          </rPr>
          <t>casselau:
282.300 minimum + 9.035 contingent</t>
        </r>
        <r>
          <rPr>
            <sz val="9"/>
            <color indexed="81"/>
            <rFont val="Tahoma"/>
            <family val="2"/>
          </rPr>
          <t xml:space="preserve">
per Judy: BOW +LSD including store closures (closing less expensive stores, opening more expensive stores); more like 3-4% not 2%</t>
        </r>
      </text>
    </comment>
    <comment ref="W13" authorId="6">
      <text>
        <r>
          <rPr>
            <b/>
            <sz val="9"/>
            <color indexed="81"/>
            <rFont val="Tahoma"/>
            <family val="2"/>
          </rPr>
          <t>casselau:
286.850 minimum; 8.519 contingent</t>
        </r>
        <r>
          <rPr>
            <sz val="9"/>
            <color indexed="81"/>
            <rFont val="Tahoma"/>
            <family val="2"/>
          </rPr>
          <t xml:space="preserve">
4/8/16: We would expect a +LSD increase for the year – we’re closing more stores this year but the timing are more fourth quarter - more of the end of the year, so we won’t see the benefit until the end of the year. The stores we are opening are higher rent (focused on international and aerie standalone stores which we haven’t opened for quite some time). </t>
        </r>
      </text>
    </comment>
    <comment ref="P16" authorId="5">
      <text>
        <r>
          <rPr>
            <b/>
            <sz val="8"/>
            <color indexed="81"/>
            <rFont val="Tahoma"/>
            <family val="2"/>
          </rPr>
          <t>P Kahng:</t>
        </r>
        <r>
          <rPr>
            <sz val="8"/>
            <color indexed="81"/>
            <rFont val="Tahoma"/>
            <family val="2"/>
          </rPr>
          <t xml:space="preserve">
Using 47% adjustment for CAM, RE taxes and RE insurance estimated by MS</t>
        </r>
      </text>
    </comment>
    <comment ref="Q16" authorId="5">
      <text>
        <r>
          <rPr>
            <b/>
            <sz val="8"/>
            <color indexed="81"/>
            <rFont val="Tahoma"/>
            <family val="2"/>
          </rPr>
          <t>P Kahng:</t>
        </r>
        <r>
          <rPr>
            <sz val="8"/>
            <color indexed="81"/>
            <rFont val="Tahoma"/>
            <family val="2"/>
          </rPr>
          <t xml:space="preserve">
Using 47% adjustment for CAM, RE taxes and RE insurance estimated by MS</t>
        </r>
      </text>
    </comment>
    <comment ref="R16" authorId="5">
      <text>
        <r>
          <rPr>
            <b/>
            <sz val="8"/>
            <color indexed="81"/>
            <rFont val="Tahoma"/>
            <family val="2"/>
          </rPr>
          <t>P Kahng:</t>
        </r>
        <r>
          <rPr>
            <sz val="8"/>
            <color indexed="81"/>
            <rFont val="Tahoma"/>
            <family val="2"/>
          </rPr>
          <t xml:space="preserve">
Using 47% adjustment for CAM, RE taxes and RE insurance estimated by MS</t>
        </r>
      </text>
    </comment>
    <comment ref="S16" authorId="5">
      <text>
        <r>
          <rPr>
            <b/>
            <sz val="8"/>
            <color indexed="81"/>
            <rFont val="Tahoma"/>
            <family val="2"/>
          </rPr>
          <t>P Kahng:</t>
        </r>
        <r>
          <rPr>
            <sz val="8"/>
            <color indexed="81"/>
            <rFont val="Tahoma"/>
            <family val="2"/>
          </rPr>
          <t xml:space="preserve">
Using 47% adjustment for CAM, RE taxes and RE insurance estimated by MS</t>
        </r>
      </text>
    </comment>
    <comment ref="T16" authorId="5">
      <text>
        <r>
          <rPr>
            <b/>
            <sz val="8"/>
            <color indexed="81"/>
            <rFont val="Tahoma"/>
            <family val="2"/>
          </rPr>
          <t>P Kahng:</t>
        </r>
        <r>
          <rPr>
            <sz val="8"/>
            <color indexed="81"/>
            <rFont val="Tahoma"/>
            <family val="2"/>
          </rPr>
          <t xml:space="preserve">
Using 47% adjustment for CAM, RE taxes and RE insurance estimated by MS</t>
        </r>
      </text>
    </comment>
    <comment ref="J19" authorId="0">
      <text>
        <r>
          <rPr>
            <b/>
            <sz val="8"/>
            <color indexed="81"/>
            <rFont val="Tahoma"/>
            <family val="2"/>
          </rPr>
          <t>Corinna Freedman:</t>
        </r>
        <r>
          <rPr>
            <sz val="8"/>
            <color indexed="81"/>
            <rFont val="Tahoma"/>
            <family val="2"/>
          </rPr>
          <t xml:space="preserve">
prior to rstmt = 372.2</t>
        </r>
      </text>
    </comment>
    <comment ref="K19" authorId="0">
      <text>
        <r>
          <rPr>
            <b/>
            <sz val="8"/>
            <color indexed="81"/>
            <rFont val="Tahoma"/>
            <family val="2"/>
          </rPr>
          <t>Corinna Freedman:</t>
        </r>
        <r>
          <rPr>
            <sz val="8"/>
            <color indexed="81"/>
            <rFont val="Tahoma"/>
            <family val="2"/>
          </rPr>
          <t xml:space="preserve">
prior to rstmt = 446.6m</t>
        </r>
      </text>
    </comment>
    <comment ref="S19" authorId="11">
      <text>
        <r>
          <rPr>
            <b/>
            <sz val="8"/>
            <color indexed="81"/>
            <rFont val="Tahoma"/>
            <family val="2"/>
          </rPr>
          <t>nicholjs:</t>
        </r>
        <r>
          <rPr>
            <sz val="8"/>
            <color indexed="81"/>
            <rFont val="Tahoma"/>
            <family val="2"/>
          </rPr>
          <t xml:space="preserve">
3/2011: LSD growth a good place to start for out yrs</t>
        </r>
      </text>
    </comment>
    <comment ref="V19" authorId="6">
      <text>
        <r>
          <rPr>
            <b/>
            <sz val="9"/>
            <color indexed="81"/>
            <rFont val="Tahoma"/>
            <family val="2"/>
          </rPr>
          <t xml:space="preserve">casselau:
12/4/14: SG&amp;A dollars expected to be flat to down slightly in 2015; </t>
        </r>
        <r>
          <rPr>
            <sz val="9"/>
            <color indexed="81"/>
            <rFont val="Tahoma"/>
            <family val="2"/>
          </rPr>
          <t>the results of the restructuring will drive gross savings of approximately $27M across GM, SG&amp;A, and D&amp;A. These reductions will be largely offset by inflationary costs and strategic investments including omni-channel projects, customer-facing activities and continued global expansion.</t>
        </r>
        <r>
          <rPr>
            <b/>
            <sz val="9"/>
            <color indexed="81"/>
            <rFont val="Tahoma"/>
            <family val="2"/>
          </rPr>
          <t xml:space="preserve"> </t>
        </r>
        <r>
          <rPr>
            <sz val="9"/>
            <color indexed="81"/>
            <rFont val="Tahoma"/>
            <family val="2"/>
          </rPr>
          <t xml:space="preserve">
5/21/14: store closures should contribute $10-$15M after-tax savings (net of gross profit loss)</t>
        </r>
      </text>
    </comment>
    <comment ref="H20" authorId="2">
      <text>
        <r>
          <rPr>
            <sz val="8"/>
            <color indexed="81"/>
            <rFont val="Tahoma"/>
            <family val="2"/>
          </rPr>
          <t>6/1/00 had at 23.7%, bring up closer to '00E of 24%. 6/20 bring up to revised 00E of 24.3%</t>
        </r>
      </text>
    </comment>
    <comment ref="S20" authorId="5">
      <text>
        <r>
          <rPr>
            <b/>
            <sz val="8"/>
            <color indexed="81"/>
            <rFont val="Tahoma"/>
            <family val="2"/>
          </rPr>
          <t>P Kahng:</t>
        </r>
        <r>
          <rPr>
            <sz val="8"/>
            <color indexed="81"/>
            <rFont val="Tahoma"/>
            <family val="2"/>
          </rPr>
          <t xml:space="preserve">
5/24/12: reflects new margin on 77kids exit</t>
        </r>
      </text>
    </comment>
    <comment ref="U20" authorId="12">
      <text>
        <r>
          <rPr>
            <b/>
            <sz val="8"/>
            <color indexed="81"/>
            <rFont val="Tahoma"/>
            <family val="2"/>
          </rPr>
          <t>solejay:</t>
        </r>
        <r>
          <rPr>
            <sz val="8"/>
            <color indexed="81"/>
            <rFont val="Tahoma"/>
            <family val="2"/>
          </rPr>
          <t xml:space="preserve">
4Q12: targeting a 23% rate</t>
        </r>
      </text>
    </comment>
    <comment ref="X20" authorId="1">
      <text>
        <r>
          <rPr>
            <b/>
            <sz val="9"/>
            <color indexed="81"/>
            <rFont val="Tahoma"/>
            <family val="2"/>
          </rPr>
          <t>Cassel, Lauren (Research):</t>
        </r>
        <r>
          <rPr>
            <sz val="9"/>
            <color indexed="81"/>
            <rFont val="Tahoma"/>
            <family val="2"/>
          </rPr>
          <t xml:space="preserve">
11/30/16: Per CFO: expect 2017 SG&amp;A leverage</t>
        </r>
      </text>
    </comment>
    <comment ref="Y20" authorId="6">
      <text>
        <r>
          <rPr>
            <b/>
            <sz val="9"/>
            <color indexed="81"/>
            <rFont val="Tahoma"/>
            <family val="2"/>
          </rPr>
          <t>casselau:</t>
        </r>
        <r>
          <rPr>
            <sz val="9"/>
            <color indexed="81"/>
            <rFont val="Tahoma"/>
            <family val="2"/>
          </rPr>
          <t xml:space="preserve">
23% long-term goal</t>
        </r>
      </text>
    </comment>
    <comment ref="Z20" authorId="6">
      <text>
        <r>
          <rPr>
            <b/>
            <sz val="9"/>
            <color indexed="81"/>
            <rFont val="Tahoma"/>
            <family val="2"/>
          </rPr>
          <t>casselau:</t>
        </r>
        <r>
          <rPr>
            <sz val="9"/>
            <color indexed="81"/>
            <rFont val="Tahoma"/>
            <family val="2"/>
          </rPr>
          <t xml:space="preserve">
23% long-term goal</t>
        </r>
      </text>
    </comment>
    <comment ref="AA20" authorId="6">
      <text>
        <r>
          <rPr>
            <b/>
            <sz val="9"/>
            <color indexed="81"/>
            <rFont val="Tahoma"/>
            <family val="2"/>
          </rPr>
          <t>casselau:</t>
        </r>
        <r>
          <rPr>
            <sz val="9"/>
            <color indexed="81"/>
            <rFont val="Tahoma"/>
            <family val="2"/>
          </rPr>
          <t xml:space="preserve">
23% long-term goal</t>
        </r>
      </text>
    </comment>
    <comment ref="AB20" authorId="6">
      <text>
        <r>
          <rPr>
            <b/>
            <sz val="9"/>
            <color indexed="81"/>
            <rFont val="Tahoma"/>
            <family val="2"/>
          </rPr>
          <t>casselau:</t>
        </r>
        <r>
          <rPr>
            <sz val="9"/>
            <color indexed="81"/>
            <rFont val="Tahoma"/>
            <family val="2"/>
          </rPr>
          <t xml:space="preserve">
23% long-term goal</t>
        </r>
      </text>
    </comment>
    <comment ref="AC20" authorId="6">
      <text>
        <r>
          <rPr>
            <b/>
            <sz val="9"/>
            <color indexed="81"/>
            <rFont val="Tahoma"/>
            <family val="2"/>
          </rPr>
          <t>casselau:</t>
        </r>
        <r>
          <rPr>
            <sz val="9"/>
            <color indexed="81"/>
            <rFont val="Tahoma"/>
            <family val="2"/>
          </rPr>
          <t xml:space="preserve">
23% long-term goal</t>
        </r>
      </text>
    </comment>
    <comment ref="O22" authorId="11">
      <text>
        <r>
          <rPr>
            <b/>
            <sz val="8"/>
            <color indexed="81"/>
            <rFont val="Tahoma"/>
            <family val="2"/>
          </rPr>
          <t>nicholjs:</t>
        </r>
        <r>
          <rPr>
            <sz val="8"/>
            <color indexed="81"/>
            <rFont val="Tahoma"/>
            <family val="2"/>
          </rPr>
          <t xml:space="preserve">
3/11: restated from $79.7</t>
        </r>
      </text>
    </comment>
    <comment ref="P22" authorId="11">
      <text>
        <r>
          <rPr>
            <b/>
            <sz val="8"/>
            <color indexed="81"/>
            <rFont val="Tahoma"/>
            <family val="2"/>
          </rPr>
          <t>nicholjs:</t>
        </r>
        <r>
          <rPr>
            <sz val="8"/>
            <color indexed="81"/>
            <rFont val="Tahoma"/>
            <family val="2"/>
          </rPr>
          <t xml:space="preserve">
3/11: restated from $68.9</t>
        </r>
      </text>
    </comment>
    <comment ref="M25" authorId="13">
      <text>
        <r>
          <rPr>
            <b/>
            <sz val="8"/>
            <color indexed="81"/>
            <rFont val="Tahoma"/>
            <family val="2"/>
          </rPr>
          <t>MB33100:</t>
        </r>
        <r>
          <rPr>
            <sz val="8"/>
            <color indexed="81"/>
            <rFont val="Tahoma"/>
            <family val="2"/>
          </rPr>
          <t xml:space="preserve">
$3.6mm of options expense in 1Q, included in SG&amp;A
2/06 mgmt guided to 4-5c for 2006, prior estimate was $19m or 8c.</t>
        </r>
      </text>
    </comment>
    <comment ref="J28" authorId="14">
      <text>
        <r>
          <rPr>
            <sz val="8"/>
            <color indexed="81"/>
            <rFont val="Tahoma"/>
            <family val="2"/>
          </rPr>
          <t>estimate 50K depre times 85 stores = 4.25 mm</t>
        </r>
      </text>
    </comment>
    <comment ref="L28" authorId="3">
      <text>
        <r>
          <rPr>
            <b/>
            <sz val="8"/>
            <color indexed="81"/>
            <rFont val="Tahoma"/>
            <family val="2"/>
          </rPr>
          <t>Kimberly Greenberger:</t>
        </r>
        <r>
          <rPr>
            <sz val="8"/>
            <color indexed="81"/>
            <rFont val="Tahoma"/>
            <family val="2"/>
          </rPr>
          <t xml:space="preserve">
72 "good range"</t>
        </r>
      </text>
    </comment>
    <comment ref="V28" authorId="6">
      <text>
        <r>
          <rPr>
            <b/>
            <sz val="8"/>
            <color indexed="81"/>
            <rFont val="Tahoma"/>
            <family val="2"/>
          </rPr>
          <t>casselau:</t>
        </r>
        <r>
          <rPr>
            <sz val="8"/>
            <color indexed="81"/>
            <rFont val="Tahoma"/>
            <family val="2"/>
          </rPr>
          <t xml:space="preserve">
1/14/14: ICR xChange $160M</t>
        </r>
      </text>
    </comment>
    <comment ref="J36" authorId="0">
      <text>
        <r>
          <rPr>
            <b/>
            <sz val="8"/>
            <color indexed="81"/>
            <rFont val="Tahoma"/>
            <family val="2"/>
          </rPr>
          <t>Corinna Freedman:</t>
        </r>
        <r>
          <rPr>
            <sz val="8"/>
            <color indexed="81"/>
            <rFont val="Tahoma"/>
            <family val="2"/>
          </rPr>
          <t xml:space="preserve">
prior to rstmt =-2.1</t>
        </r>
      </text>
    </comment>
    <comment ref="J42" authorId="0">
      <text>
        <r>
          <rPr>
            <b/>
            <sz val="8"/>
            <color indexed="81"/>
            <rFont val="Tahoma"/>
            <family val="2"/>
          </rPr>
          <t>Corinna Freedman:</t>
        </r>
        <r>
          <rPr>
            <sz val="8"/>
            <color indexed="81"/>
            <rFont val="Tahoma"/>
            <family val="2"/>
          </rPr>
          <t xml:space="preserve">
prior to rstmt =47.4m</t>
        </r>
      </text>
    </comment>
    <comment ref="K42" authorId="0">
      <text>
        <r>
          <rPr>
            <b/>
            <sz val="8"/>
            <color indexed="81"/>
            <rFont val="Tahoma"/>
            <family val="2"/>
          </rPr>
          <t>Corinna Freedman:</t>
        </r>
        <r>
          <rPr>
            <sz val="8"/>
            <color indexed="81"/>
            <rFont val="Tahoma"/>
            <family val="2"/>
          </rPr>
          <t xml:space="preserve">
prior to rstmt = 142.832</t>
        </r>
      </text>
    </comment>
    <comment ref="V43" authorId="6">
      <text>
        <r>
          <rPr>
            <b/>
            <sz val="9"/>
            <color indexed="81"/>
            <rFont val="Tahoma"/>
            <family val="2"/>
          </rPr>
          <t>casselau:</t>
        </r>
        <r>
          <rPr>
            <sz val="9"/>
            <color indexed="81"/>
            <rFont val="Tahoma"/>
            <family val="2"/>
          </rPr>
          <t xml:space="preserve">
12/4/14: expect to get back to 40% tax rate
</t>
        </r>
      </text>
    </comment>
    <comment ref="W43" authorId="6">
      <text>
        <r>
          <rPr>
            <b/>
            <sz val="9"/>
            <color indexed="81"/>
            <rFont val="Tahoma"/>
            <family val="2"/>
          </rPr>
          <t>casselau:</t>
        </r>
        <r>
          <rPr>
            <sz val="9"/>
            <color indexed="81"/>
            <rFont val="Tahoma"/>
            <family val="2"/>
          </rPr>
          <t xml:space="preserve">
12/4/14: expect to get back to 40% tax rate
</t>
        </r>
      </text>
    </comment>
    <comment ref="I53" authorId="15">
      <text>
        <r>
          <rPr>
            <b/>
            <sz val="8"/>
            <color indexed="81"/>
            <rFont val="Tahoma"/>
            <family val="2"/>
          </rPr>
          <t>Debbie Ong:</t>
        </r>
        <r>
          <rPr>
            <sz val="8"/>
            <color indexed="81"/>
            <rFont val="Tahoma"/>
            <family val="2"/>
          </rPr>
          <t xml:space="preserve">
5/10: before co. reported April sales, had $2.00. To revise price target, believe F01 could see upside of $0.05 (in 2Q01). So increased F02E by same rate. Need to adjust F02 margins back down after F01 numbers are taken up, in order to keep at $2.05</t>
        </r>
      </text>
    </comment>
    <comment ref="K53" authorId="14">
      <text>
        <r>
          <rPr>
            <sz val="8"/>
            <color indexed="81"/>
            <rFont val="Tahoma"/>
            <family val="2"/>
          </rPr>
          <t>1.40</t>
        </r>
      </text>
    </comment>
    <comment ref="O59" authorId="16">
      <text>
        <r>
          <rPr>
            <b/>
            <sz val="8"/>
            <color indexed="81"/>
            <rFont val="Tahoma"/>
            <family val="2"/>
          </rPr>
          <t>mm98285:</t>
        </r>
        <r>
          <rPr>
            <sz val="8"/>
            <color indexed="81"/>
            <rFont val="Tahoma"/>
            <family val="2"/>
          </rPr>
          <t xml:space="preserve">
8/07: assume 23.5mm shares left under current authorization (through end of 2009) will be repurchased evenly over next 10 quarters, or ~2.35mm shares per quarter. Assume option creep of 1.5 per quarter (inline with 2006), therefore we assume shares decline by ~4mm in 2008 and 2009 (~2.35 x 4 - ~1.5 x 4)
</t>
        </r>
      </text>
    </comment>
    <comment ref="P59" authorId="16">
      <text>
        <r>
          <rPr>
            <b/>
            <sz val="8"/>
            <color indexed="81"/>
            <rFont val="Tahoma"/>
            <family val="2"/>
          </rPr>
          <t>mm98285:</t>
        </r>
        <r>
          <rPr>
            <sz val="8"/>
            <color indexed="81"/>
            <rFont val="Tahoma"/>
            <family val="2"/>
          </rPr>
          <t xml:space="preserve">
1/28/08: new 30mm share authorization through 2010; 41.2mm shares available for repurcahse through 2010 -- assume repurchased equally over this period (12 quarters), or 3.4mm shares repurchased per quarter 
8/07: assume 23.5mm shares left under current authorization (through end of 2009) will be repurchased evenly over next 10 quarters, or ~2.35mm shares per quarter. Assume option creep of 1.5 per quarter (inline with 2006), therefore we assume shares decline by ~4mm in 2008 and 2009 (~2.35 x 4 - ~1.5 x 4)
</t>
        </r>
      </text>
    </comment>
    <comment ref="Q59" authorId="16">
      <text>
        <r>
          <rPr>
            <b/>
            <sz val="8"/>
            <color indexed="81"/>
            <rFont val="Tahoma"/>
            <family val="2"/>
          </rPr>
          <t>mm98285:</t>
        </r>
        <r>
          <rPr>
            <sz val="8"/>
            <color indexed="81"/>
            <rFont val="Tahoma"/>
            <family val="2"/>
          </rPr>
          <t xml:space="preserve">
1/28/08: new 30mm share authorization through 2010; 41.2mm shares available for repurcahse through 2010 -- assume repurchased equally over this period (12 quarters), or 3.4mm shares repurchased per quarter </t>
        </r>
      </text>
    </comment>
    <comment ref="R59" authorId="11">
      <text>
        <r>
          <rPr>
            <b/>
            <sz val="8"/>
            <color indexed="81"/>
            <rFont val="Tahoma"/>
            <family val="2"/>
          </rPr>
          <t>nicholjs:</t>
        </r>
        <r>
          <rPr>
            <sz val="8"/>
            <color indexed="81"/>
            <rFont val="Tahoma"/>
            <family val="2"/>
          </rPr>
          <t xml:space="preserve">
note 8/2010: current repo plan expires at end of FY10</t>
        </r>
      </text>
    </comment>
    <comment ref="S59" authorId="11">
      <text>
        <r>
          <rPr>
            <b/>
            <sz val="8"/>
            <color indexed="81"/>
            <rFont val="Tahoma"/>
            <family val="2"/>
          </rPr>
          <t>nicholjs:</t>
        </r>
        <r>
          <rPr>
            <sz val="8"/>
            <color indexed="81"/>
            <rFont val="Tahoma"/>
            <family val="2"/>
          </rPr>
          <t xml:space="preserve">
note 8/2010: current repo plan expires at end of FY10</t>
        </r>
      </text>
    </comment>
  </commentList>
</comments>
</file>

<file path=xl/comments7.xml><?xml version="1.0" encoding="utf-8"?>
<comments xmlns="http://schemas.openxmlformats.org/spreadsheetml/2006/main">
  <authors>
    <author>MB33100</author>
    <author>Corinna Freedman</author>
    <author>nicholjs</author>
    <author>Kimberly Greenberger</author>
    <author>dliu</author>
    <author>Debbie Ong</author>
  </authors>
  <commentList>
    <comment ref="W6" authorId="0">
      <text>
        <r>
          <rPr>
            <b/>
            <sz val="8"/>
            <color indexed="81"/>
            <rFont val="Tahoma"/>
            <family val="2"/>
          </rPr>
          <t>MB33100:</t>
        </r>
        <r>
          <rPr>
            <sz val="8"/>
            <color indexed="81"/>
            <rFont val="Tahoma"/>
            <family val="2"/>
          </rPr>
          <t xml:space="preserve">
in 2005 10-k (4/06)</t>
        </r>
      </text>
    </comment>
    <comment ref="U8" authorId="1">
      <text>
        <r>
          <rPr>
            <b/>
            <sz val="8"/>
            <color indexed="81"/>
            <rFont val="Tahoma"/>
            <family val="2"/>
          </rPr>
          <t>Corinna Freedman:</t>
        </r>
        <r>
          <rPr>
            <sz val="8"/>
            <color indexed="81"/>
            <rFont val="Tahoma"/>
            <family val="2"/>
          </rPr>
          <t xml:space="preserve">
prior to restatement = $250.964mm</t>
        </r>
      </text>
    </comment>
    <comment ref="W8" authorId="1">
      <text>
        <r>
          <rPr>
            <b/>
            <sz val="8"/>
            <color indexed="81"/>
            <rFont val="Tahoma"/>
            <family val="2"/>
          </rPr>
          <t>Corinna Freedman:</t>
        </r>
        <r>
          <rPr>
            <sz val="8"/>
            <color indexed="81"/>
            <rFont val="Tahoma"/>
            <family val="2"/>
          </rPr>
          <t xml:space="preserve">
prior to restatement = $250.964mm</t>
        </r>
      </text>
    </comment>
    <comment ref="AK8" authorId="2">
      <text>
        <r>
          <rPr>
            <b/>
            <sz val="8"/>
            <color indexed="81"/>
            <rFont val="Tahoma"/>
            <family val="2"/>
          </rPr>
          <t>nicholjs:</t>
        </r>
        <r>
          <rPr>
            <sz val="8"/>
            <color indexed="81"/>
            <rFont val="Tahoma"/>
            <family val="2"/>
          </rPr>
          <t xml:space="preserve">
5/2011: like to keep $300-400mm on the B/S</t>
        </r>
      </text>
    </comment>
    <comment ref="U9" authorId="1">
      <text>
        <r>
          <rPr>
            <b/>
            <sz val="8"/>
            <color indexed="81"/>
            <rFont val="Tahoma"/>
            <family val="2"/>
          </rPr>
          <t>Morry Brown:</t>
        </r>
        <r>
          <rPr>
            <sz val="8"/>
            <color indexed="81"/>
            <rFont val="Tahoma"/>
            <family val="2"/>
          </rPr>
          <t xml:space="preserve">
the addition is due to the fact that the company revised 2003 and 2004 cash flow stmt (a shift in categorization of Cash and ST investments) but did not give the 2003 BS. 
prior to restatement = 86.488m</t>
        </r>
      </text>
    </comment>
    <comment ref="W10" authorId="0">
      <text>
        <r>
          <rPr>
            <b/>
            <sz val="8"/>
            <color indexed="81"/>
            <rFont val="Tahoma"/>
            <family val="2"/>
          </rPr>
          <t>MB33100:</t>
        </r>
        <r>
          <rPr>
            <sz val="8"/>
            <color indexed="81"/>
            <rFont val="Tahoma"/>
            <family val="2"/>
          </rPr>
          <t xml:space="preserve">
2/06: was 138 prior to company including in-transit inventory</t>
        </r>
      </text>
    </comment>
    <comment ref="U11" authorId="1">
      <text>
        <r>
          <rPr>
            <b/>
            <sz val="8"/>
            <color indexed="81"/>
            <rFont val="Tahoma"/>
            <family val="2"/>
          </rPr>
          <t>Corinna Freedman:</t>
        </r>
        <r>
          <rPr>
            <sz val="8"/>
            <color indexed="81"/>
            <rFont val="Tahoma"/>
            <family val="2"/>
          </rPr>
          <t xml:space="preserve">
prior to restatement = 22.82m</t>
        </r>
      </text>
    </comment>
    <comment ref="W11" authorId="3">
      <text>
        <r>
          <rPr>
            <b/>
            <sz val="8"/>
            <color indexed="81"/>
            <rFont val="Tahoma"/>
            <family val="2"/>
          </rPr>
          <t>Kimberly Greenberger:</t>
        </r>
        <r>
          <rPr>
            <sz val="8"/>
            <color indexed="81"/>
            <rFont val="Tahoma"/>
            <family val="2"/>
          </rPr>
          <t xml:space="preserve">
3/2/05 other curr assets $94.501 mm</t>
        </r>
      </text>
    </comment>
    <comment ref="W12" authorId="3">
      <text>
        <r>
          <rPr>
            <b/>
            <sz val="8"/>
            <color indexed="81"/>
            <rFont val="Tahoma"/>
            <family val="2"/>
          </rPr>
          <t>Kimberly Greenberger:</t>
        </r>
        <r>
          <rPr>
            <sz val="8"/>
            <color indexed="81"/>
            <rFont val="Tahoma"/>
            <family val="2"/>
          </rPr>
          <t xml:space="preserve">
3/2/05 other curr assets $94.501 mm</t>
        </r>
      </text>
    </comment>
    <comment ref="U13" authorId="1">
      <text>
        <r>
          <rPr>
            <b/>
            <sz val="8"/>
            <color indexed="81"/>
            <rFont val="Tahoma"/>
            <family val="2"/>
          </rPr>
          <t>Corinna Freedman:</t>
        </r>
        <r>
          <rPr>
            <sz val="8"/>
            <color indexed="81"/>
            <rFont val="Tahoma"/>
            <family val="2"/>
          </rPr>
          <t xml:space="preserve">
prior to restatement = $16.816mm</t>
        </r>
      </text>
    </comment>
    <comment ref="W13" authorId="3">
      <text>
        <r>
          <rPr>
            <b/>
            <sz val="8"/>
            <color indexed="81"/>
            <rFont val="Tahoma"/>
            <family val="2"/>
          </rPr>
          <t>Kimberly Greenberger:</t>
        </r>
        <r>
          <rPr>
            <sz val="8"/>
            <color indexed="81"/>
            <rFont val="Tahoma"/>
            <family val="2"/>
          </rPr>
          <t xml:space="preserve">
3/2/05 other curr assets $94.501 mm</t>
        </r>
      </text>
    </comment>
    <comment ref="U17" authorId="1">
      <text>
        <r>
          <rPr>
            <b/>
            <sz val="8"/>
            <color indexed="81"/>
            <rFont val="Tahoma"/>
            <family val="2"/>
          </rPr>
          <t>Corinna Freedman:</t>
        </r>
        <r>
          <rPr>
            <sz val="8"/>
            <color indexed="81"/>
            <rFont val="Tahoma"/>
            <family val="2"/>
          </rPr>
          <t xml:space="preserve">
prior to restatement = 
-184.843mm</t>
        </r>
      </text>
    </comment>
    <comment ref="U22" authorId="4">
      <text>
        <r>
          <rPr>
            <b/>
            <sz val="8"/>
            <color indexed="81"/>
            <rFont val="Tahoma"/>
            <family val="2"/>
          </rPr>
          <t>dliu:</t>
        </r>
        <r>
          <rPr>
            <sz val="8"/>
            <color indexed="81"/>
            <rFont val="Tahoma"/>
            <family val="2"/>
          </rPr>
          <t xml:space="preserve">
Includes investmts w/ original matuity of greater than 12 mos, but not exceeding 24 mths (avg'g approx 21 mths) and consisted primarily of agency bonds and debt securities issued by states and local municipalities classified as available-for-sale.</t>
        </r>
      </text>
    </comment>
    <comment ref="W22" authorId="3">
      <text>
        <r>
          <rPr>
            <b/>
            <sz val="8"/>
            <color indexed="81"/>
            <rFont val="Tahoma"/>
            <family val="2"/>
          </rPr>
          <t>Kimberly Greenberger:</t>
        </r>
        <r>
          <rPr>
            <sz val="8"/>
            <color indexed="81"/>
            <rFont val="Tahoma"/>
            <family val="2"/>
          </rPr>
          <t xml:space="preserve">
3/2/05 per conf call FI investments w/  maturities less than 5yrs </t>
        </r>
      </text>
    </comment>
    <comment ref="AG22" authorId="2">
      <text>
        <r>
          <rPr>
            <b/>
            <sz val="8"/>
            <color indexed="81"/>
            <rFont val="Tahoma"/>
            <family val="2"/>
          </rPr>
          <t>nicholjs:</t>
        </r>
        <r>
          <rPr>
            <sz val="8"/>
            <color indexed="81"/>
            <rFont val="Tahoma"/>
            <family val="2"/>
          </rPr>
          <t xml:space="preserve">
includes $149.031 student-loan backed ARS, $35.969 state and local gov't ARS, $12.773 AR preferred securities</t>
        </r>
      </text>
    </comment>
    <comment ref="AI22" authorId="2">
      <text>
        <r>
          <rPr>
            <b/>
            <sz val="8"/>
            <color indexed="81"/>
            <rFont val="Tahoma"/>
            <family val="2"/>
          </rPr>
          <t>nicholjs:</t>
        </r>
        <r>
          <rPr>
            <sz val="8"/>
            <color indexed="81"/>
            <rFont val="Tahoma"/>
            <family val="2"/>
          </rPr>
          <t xml:space="preserve">
11/2010: during 3Q10 liquidated 95% of its ARS, w/ the last sale occurring on Oct 29.  as a result, AEO received proceeds of $149.6mm plus accrued interest.  Will recognize expense in 3Q of $24.2mm or $0.12/share.  </t>
        </r>
      </text>
    </comment>
    <comment ref="W24" authorId="3">
      <text>
        <r>
          <rPr>
            <b/>
            <sz val="8"/>
            <color indexed="81"/>
            <rFont val="Tahoma"/>
            <family val="2"/>
          </rPr>
          <t>Kimberly Greenberger:</t>
        </r>
        <r>
          <rPr>
            <sz val="8"/>
            <color indexed="81"/>
            <rFont val="Tahoma"/>
            <family val="2"/>
          </rPr>
          <t xml:space="preserve">
3/2/05 Other Assets $103.913 mm</t>
        </r>
      </text>
    </comment>
    <comment ref="U32" authorId="1">
      <text>
        <r>
          <rPr>
            <b/>
            <sz val="8"/>
            <color indexed="81"/>
            <rFont val="Tahoma"/>
            <family val="2"/>
          </rPr>
          <t>Corinna Freedman:</t>
        </r>
        <r>
          <rPr>
            <sz val="8"/>
            <color indexed="81"/>
            <rFont val="Tahoma"/>
            <family val="2"/>
          </rPr>
          <t xml:space="preserve">
prior to restatement = $30.985mm</t>
        </r>
      </text>
    </comment>
    <comment ref="U40" authorId="1">
      <text>
        <r>
          <rPr>
            <b/>
            <sz val="8"/>
            <color indexed="81"/>
            <rFont val="Tahoma"/>
            <family val="2"/>
          </rPr>
          <t>Corinna Freedman:</t>
        </r>
        <r>
          <rPr>
            <sz val="8"/>
            <color indexed="81"/>
            <rFont val="Tahoma"/>
            <family val="2"/>
          </rPr>
          <t xml:space="preserve">
prior to restatement =$18.492mm</t>
        </r>
      </text>
    </comment>
    <comment ref="U42" authorId="1">
      <text>
        <r>
          <rPr>
            <b/>
            <sz val="8"/>
            <color indexed="81"/>
            <rFont val="Tahoma"/>
            <family val="2"/>
          </rPr>
          <t>Corinna Freedman:</t>
        </r>
        <r>
          <rPr>
            <sz val="8"/>
            <color indexed="81"/>
            <rFont val="Tahoma"/>
            <family val="2"/>
          </rPr>
          <t xml:space="preserve">
prior to restatement =643.67mm</t>
        </r>
      </text>
    </comment>
    <comment ref="A96" authorId="5">
      <text>
        <r>
          <rPr>
            <b/>
            <sz val="8"/>
            <color indexed="81"/>
            <rFont val="Tahoma"/>
            <family val="2"/>
          </rPr>
          <t>Debbie Ong:</t>
        </r>
        <r>
          <rPr>
            <sz val="8"/>
            <color indexed="81"/>
            <rFont val="Tahoma"/>
            <family val="2"/>
          </rPr>
          <t xml:space="preserve">
includes LIFO reserve, if applicable</t>
        </r>
      </text>
    </comment>
  </commentList>
</comments>
</file>

<file path=xl/comments8.xml><?xml version="1.0" encoding="utf-8"?>
<comments xmlns="http://schemas.openxmlformats.org/spreadsheetml/2006/main">
  <authors>
    <author>MB33100</author>
    <author>Debbie Ong</author>
    <author>Corinna Freedman</author>
    <author>CREDIT SUISSE FIRST BOSTON</author>
    <author>mm98285</author>
    <author>Lehman Brothers</author>
    <author>dliu</author>
    <author>ns66486</author>
    <author>nicholjs</author>
    <author>kahng</author>
    <author>casselau</author>
    <author>Cassel, Lauren (Research)</author>
    <author>dong2</author>
  </authors>
  <commentList>
    <comment ref="U9" authorId="0">
      <text>
        <r>
          <rPr>
            <b/>
            <sz val="8"/>
            <color indexed="81"/>
            <rFont val="Tahoma"/>
            <family val="2"/>
          </rPr>
          <t>MB33100:</t>
        </r>
        <r>
          <rPr>
            <sz val="8"/>
            <color indexed="81"/>
            <rFont val="Tahoma"/>
            <family val="2"/>
          </rPr>
          <t xml:space="preserve">
in 2005 10-k (4/06)</t>
        </r>
      </text>
    </comment>
    <comment ref="O11" authorId="1">
      <text>
        <r>
          <rPr>
            <b/>
            <sz val="8"/>
            <color indexed="81"/>
            <rFont val="Tahoma"/>
            <family val="2"/>
          </rPr>
          <t>Debbie Ong:</t>
        </r>
        <r>
          <rPr>
            <sz val="8"/>
            <color indexed="81"/>
            <rFont val="Tahoma"/>
            <family val="2"/>
          </rPr>
          <t xml:space="preserve">
comprised of $36 mm for U.S. stores</t>
        </r>
      </text>
    </comment>
    <comment ref="S11" authorId="2">
      <text>
        <r>
          <rPr>
            <b/>
            <sz val="8"/>
            <color indexed="81"/>
            <rFont val="Tahoma"/>
            <family val="2"/>
          </rPr>
          <t>Corinna Freedman:</t>
        </r>
        <r>
          <rPr>
            <sz val="8"/>
            <color indexed="81"/>
            <rFont val="Tahoma"/>
            <family val="2"/>
          </rPr>
          <t xml:space="preserve">
prior to restatement = 56.281m</t>
        </r>
      </text>
    </comment>
    <comment ref="S12" authorId="2">
      <text>
        <r>
          <rPr>
            <b/>
            <sz val="8"/>
            <color indexed="81"/>
            <rFont val="Tahoma"/>
            <family val="2"/>
          </rPr>
          <t>Corinna Freedman:</t>
        </r>
        <r>
          <rPr>
            <sz val="8"/>
            <color indexed="81"/>
            <rFont val="Tahoma"/>
            <family val="2"/>
          </rPr>
          <t xml:space="preserve">
prior to rstmt = 7.5m</t>
        </r>
      </text>
    </comment>
    <comment ref="M14" authorId="3">
      <text>
        <r>
          <rPr>
            <sz val="8"/>
            <color indexed="81"/>
            <rFont val="Tahoma"/>
            <family val="2"/>
          </rPr>
          <t>assumes $200K writeoff for each of 40 store remodels</t>
        </r>
      </text>
    </comment>
    <comment ref="U14" authorId="4">
      <text>
        <r>
          <rPr>
            <b/>
            <sz val="8"/>
            <color indexed="81"/>
            <rFont val="Tahoma"/>
            <family val="2"/>
          </rPr>
          <t>mm98285:</t>
        </r>
        <r>
          <rPr>
            <sz val="8"/>
            <color indexed="81"/>
            <rFont val="Tahoma"/>
            <family val="2"/>
          </rPr>
          <t xml:space="preserve">
loss on impairment of assets</t>
        </r>
      </text>
    </comment>
    <comment ref="W14" authorId="4">
      <text>
        <r>
          <rPr>
            <b/>
            <sz val="8"/>
            <color indexed="81"/>
            <rFont val="Tahoma"/>
            <family val="2"/>
          </rPr>
          <t>mm98285:</t>
        </r>
        <r>
          <rPr>
            <sz val="8"/>
            <color indexed="81"/>
            <rFont val="Tahoma"/>
            <family val="2"/>
          </rPr>
          <t xml:space="preserve">
loss on impairment of assets</t>
        </r>
      </text>
    </comment>
    <comment ref="Y15" authorId="4">
      <text>
        <r>
          <rPr>
            <b/>
            <sz val="8"/>
            <color indexed="81"/>
            <rFont val="Tahoma"/>
            <family val="2"/>
          </rPr>
          <t>mm98285:</t>
        </r>
        <r>
          <rPr>
            <sz val="8"/>
            <color indexed="81"/>
            <rFont val="Tahoma"/>
            <family val="2"/>
          </rPr>
          <t xml:space="preserve">
proceeds from sale of assets</t>
        </r>
      </text>
    </comment>
    <comment ref="K17" authorId="3">
      <text>
        <r>
          <rPr>
            <b/>
            <sz val="8"/>
            <color indexed="81"/>
            <rFont val="Tahoma"/>
            <family val="2"/>
          </rPr>
          <t xml:space="preserve">KG:  </t>
        </r>
        <r>
          <rPr>
            <sz val="8"/>
            <color indexed="81"/>
            <rFont val="Tahoma"/>
            <family val="2"/>
          </rPr>
          <t>adj to s/h equity for $7m write-down of securities, 2.3m s/h equity adj, 4.8m tax effect: (2.286)</t>
        </r>
      </text>
    </comment>
    <comment ref="M17" authorId="3">
      <text>
        <r>
          <rPr>
            <sz val="8"/>
            <color indexed="81"/>
            <rFont val="Tahoma"/>
            <family val="2"/>
          </rPr>
          <t>plug</t>
        </r>
      </text>
    </comment>
    <comment ref="W17" authorId="4">
      <text>
        <r>
          <rPr>
            <b/>
            <sz val="8"/>
            <color indexed="81"/>
            <rFont val="Tahoma"/>
            <family val="2"/>
          </rPr>
          <t>mm98285:</t>
        </r>
        <r>
          <rPr>
            <sz val="8"/>
            <color indexed="81"/>
            <rFont val="Tahoma"/>
            <family val="2"/>
          </rPr>
          <t xml:space="preserve">
$35.371 tax benefit from share-based payments
</t>
        </r>
      </text>
    </comment>
    <comment ref="Y17" authorId="4">
      <text>
        <r>
          <rPr>
            <b/>
            <sz val="8"/>
            <color indexed="81"/>
            <rFont val="Tahoma"/>
            <family val="2"/>
          </rPr>
          <t>mm98285:</t>
        </r>
        <r>
          <rPr>
            <sz val="8"/>
            <color indexed="81"/>
            <rFont val="Tahoma"/>
            <family val="2"/>
          </rPr>
          <t xml:space="preserve">
$25.465 tax benefit from share-based payments, -$19.541 excess tax benefit from share-based payments (operating), $19.541 excess tax benefit from share-based payments (financing) , $183.968 proceeds from sale of trading securities (operating)</t>
        </r>
      </text>
    </comment>
    <comment ref="M22" authorId="3">
      <text>
        <r>
          <rPr>
            <sz val="8"/>
            <color indexed="81"/>
            <rFont val="Tahoma"/>
            <family val="2"/>
          </rPr>
          <t>incl. $39 mm for D.C. In Kansas, $39 mm for 90 new store openings, $21 mm for 40 store remodels, and rest is misc. Corp capex (incl. E-commerce, design ctr, home office and current DC).  Co. said $82 mm on 3Q conf call. Decided not to do Kansas D.C.
1/9/01-change from $82 to $75 b/c postpone D.C.</t>
        </r>
      </text>
    </comment>
    <comment ref="O22" authorId="3">
      <text>
        <r>
          <rPr>
            <b/>
            <sz val="8"/>
            <color indexed="81"/>
            <rFont val="Tahoma"/>
            <family val="2"/>
          </rPr>
          <t>KG:</t>
        </r>
        <r>
          <rPr>
            <sz val="8"/>
            <color indexed="81"/>
            <rFont val="Tahoma"/>
            <family val="2"/>
          </rPr>
          <t xml:space="preserve">
Prob $152-153, incl. $21 mm for D.C. in Kansas, $33 mm for 80 new store openings, $18 mm for 40 store remodels, $12m office &amp; DC in PA upgrades, $19m store computer hardware - wide area network. Add'l $33m for Canada, mostly AE Canada conversions, some Thrifty's to Bluenotes conversions, some new Bluenotes stores.
3/15: conf call 4Q: update to $125 since came in $13 over our F00E.
5/2/01: from 01 10-K, update to $153 mm
8/20: on 2Q01 conf. call, co. indicated capex of $120 mm
11/16: on 3Q01 conf. call, indicated capex of $115 mm</t>
        </r>
      </text>
    </comment>
    <comment ref="S22" authorId="5">
      <text>
        <r>
          <rPr>
            <sz val="8"/>
            <color indexed="81"/>
            <rFont val="Tahoma"/>
            <family val="2"/>
          </rPr>
          <t>prior to restatement = 64.2m
est. for 03. 2/25/03 conf call: includes IT projects, new bldg on HQ property. May or may not complete proj but put in anyways. 3Q 10-Q : reduce to $70 mm</t>
        </r>
      </text>
    </comment>
    <comment ref="U22" authorId="6">
      <text>
        <r>
          <rPr>
            <b/>
            <sz val="8"/>
            <color indexed="81"/>
            <rFont val="Tahoma"/>
            <family val="2"/>
          </rPr>
          <t>dliu:</t>
        </r>
        <r>
          <rPr>
            <sz val="8"/>
            <color indexed="81"/>
            <rFont val="Tahoma"/>
            <family val="2"/>
          </rPr>
          <t xml:space="preserve">
2004 10K: $56.8 for new stores, $20 for purch of new PA DC and HQ, remaining for fixtures, improvt's to existing stores, and IT
-capex mainly to open 50 new stores in the U.S. and Canada and to remodel 50 existing stores in the U.S. Remaining for new fixtures and enhancements to its existing stores, an investment relating to its corp HQ, IT upgrades and DC improvements.
</t>
        </r>
        <r>
          <rPr>
            <b/>
            <sz val="8"/>
            <color indexed="81"/>
            <rFont val="Tahoma"/>
            <family val="2"/>
          </rPr>
          <t>KG: 8/04</t>
        </r>
        <r>
          <rPr>
            <sz val="8"/>
            <color indexed="81"/>
            <rFont val="Tahoma"/>
            <family val="2"/>
          </rPr>
          <t xml:space="preserve">: per Judy they bought their HQ bldg from RVI, so capex prob go up from prior guidance of $85-90mm.
</t>
        </r>
      </text>
    </comment>
    <comment ref="W22" authorId="2">
      <text>
        <r>
          <rPr>
            <sz val="8"/>
            <color indexed="81"/>
            <rFont val="Tahoma"/>
            <family val="2"/>
          </rPr>
          <t>11/15 anticipate $80m due to 06 opening of new HQ 
21m related to new Pittsburg HQ
04/18 guidance per 10K = $100m;</t>
        </r>
      </text>
    </comment>
    <comment ref="Y22" authorId="0">
      <text>
        <r>
          <rPr>
            <b/>
            <sz val="8"/>
            <color indexed="81"/>
            <rFont val="Tahoma"/>
            <family val="2"/>
          </rPr>
          <t>MB33100:</t>
        </r>
        <r>
          <rPr>
            <sz val="8"/>
            <color indexed="81"/>
            <rFont val="Tahoma"/>
            <family val="2"/>
          </rPr>
          <t xml:space="preserve">
2006 10K: $101.5 for 50 new stores and 65 remodels, and remaining capex for expansion of Ottawa DC, purch &amp; construction of new HQ in Pittsburg and IT
8/15/06: affirmed guidance of $215mm… $22mm for new HQ purchase price ex. finishing work
5/16/06: raised guidance to $215mm, increase due to more remodels
2/06 guided to $175</t>
        </r>
      </text>
    </comment>
    <comment ref="AA22" authorId="0">
      <text>
        <r>
          <rPr>
            <sz val="9"/>
            <color indexed="81"/>
            <rFont val="Tahoma"/>
            <family val="2"/>
          </rPr>
          <t>$129.9mm store investments including 80 new and 53 remodeled US/Canada
$47.6mm expansion and imrovement of DC
$37.3mm new corp. HQ
$22.1mm information technology upgrade
$13.5mm corp. jet
$250mm: 50% to new and remodeled stores, 20% to home office, 20% to distribution centers, 10% related to IT initiatives</t>
        </r>
        <r>
          <rPr>
            <b/>
            <sz val="9"/>
            <color indexed="81"/>
            <rFont val="Tahoma"/>
            <family val="2"/>
          </rPr>
          <t xml:space="preserve">
10/27:
At 3Q07 end</t>
        </r>
        <r>
          <rPr>
            <sz val="9"/>
            <color indexed="81"/>
            <rFont val="Tahoma"/>
            <family val="2"/>
          </rPr>
          <t xml:space="preserve">, YTD Capex ~$190.5mm ($104.1mm for stores, $31.4 for HQ construction, $24.7mm for DC, $16.8mm IT, $13.5mm for corp aircraft purch).
For fiscal year 2007, management expects capital expenditures to be approximately $250mm. Of this amount, around one half relates to new and remodeled stores, 20% relates to home office, another 20% relates to distribution centers and the remaining 10% relates to IT initiatives. </t>
        </r>
        <r>
          <rPr>
            <b/>
            <sz val="9"/>
            <color indexed="81"/>
            <rFont val="Tahoma"/>
            <family val="2"/>
          </rPr>
          <t xml:space="preserve">
MB33100:</t>
        </r>
        <r>
          <rPr>
            <sz val="9"/>
            <color indexed="81"/>
            <rFont val="Tahoma"/>
            <family val="2"/>
          </rPr>
          <t xml:space="preserve">
10Q: Capex 1Q: $65mm, 2Q: $55mm ($120.322mm 1H)
5/07 &amp; 8/07: expect $240-$260mm: $130 for new stores, $40-50 expanded Kansas DC, $60 new Pittsburgh HQ, $20 IT
2/07: expect $240mm (for new and remodeled stores, IT upgrades, construction of HQ, inv in M+O, completion of expanded DC)
3Q06 call: guided to $200 million
2Q06 call: management indicated $130-$160mm</t>
        </r>
      </text>
    </comment>
    <comment ref="AC22" authorId="4">
      <text>
        <r>
          <rPr>
            <sz val="10"/>
            <color indexed="81"/>
            <rFont val="Tahoma"/>
            <family val="2"/>
          </rPr>
          <t>2008's 10-K: Fiscal 2008 expenditures included $135.2 million related to investments in our AE stores, including 122 new AE, aerie, and M+O stores in the United States and Canada, 30 remodeled stores in the United States and fixtures and visual investments. Additionally, we continued to support our infrastructure growth by investing in information technology including the roll-out of our new point-of-sale system ($43.6 million), the expansion and improvement of our distribution centers ($52.8 million), construction of our corporate headquarters in Pittsburgh, Pennsylvania ($16.1 million) and other home office projects ($17.6 million).</t>
        </r>
        <r>
          <rPr>
            <b/>
            <u/>
            <sz val="10"/>
            <color indexed="81"/>
            <rFont val="Tahoma"/>
            <family val="2"/>
          </rPr>
          <t xml:space="preserve">
11/25:</t>
        </r>
        <r>
          <rPr>
            <b/>
            <sz val="10"/>
            <color indexed="81"/>
            <rFont val="Tahoma"/>
            <family val="2"/>
          </rPr>
          <t xml:space="preserve"> </t>
        </r>
        <r>
          <rPr>
            <sz val="10"/>
            <color indexed="81"/>
            <rFont val="Tahoma"/>
            <family val="2"/>
          </rPr>
          <t xml:space="preserve">expect $250-$275mm, 50% to new and remodeled stores and balance to home office, DCs, and IT for AEO Direct/Brand Growth
2008’s plans include ~+12% square footage growth associated with 35 new AE stores, 77 new aerie stores, 10 new MARTIN + OSA
stores, and ~31 AE store remodels.
</t>
        </r>
        <r>
          <rPr>
            <b/>
            <u/>
            <sz val="10"/>
            <color indexed="81"/>
            <rFont val="Tahoma"/>
            <family val="2"/>
          </rPr>
          <t xml:space="preserve">
1Q08:
</t>
        </r>
        <r>
          <rPr>
            <sz val="10"/>
            <color indexed="81"/>
            <rFont val="Tahoma"/>
            <family val="2"/>
          </rPr>
          <t>expect CapEx for Fiscal 2008 to be ~$250mm-$275mm. 
80 new aerie stand-alone stores, 40 new and 40 to 50 remodeled American Eagle stores in the United States and Canada,
~11 new MARTIN + OSA stores, information technology upgrades, the construction of the second phase of our new corporate headquarters and distribution center expansion/improvement, including the completion of the second phase of our Ottawa, Kansas distribution center expansion. We plan to fund these capital expenditures through existing cash and cash generated from operations.</t>
        </r>
        <r>
          <rPr>
            <b/>
            <sz val="10"/>
            <color indexed="81"/>
            <rFont val="Tahoma"/>
            <family val="2"/>
          </rPr>
          <t xml:space="preserve">
mm98285:</t>
        </r>
        <r>
          <rPr>
            <sz val="10"/>
            <color indexed="81"/>
            <rFont val="Tahoma"/>
            <family val="2"/>
          </rPr>
          <t xml:space="preserve">
4/08: Judy said $150mm new stores, $60mm DC, $20mm HQ, $45mm IT (incl new POS)</t>
        </r>
        <r>
          <rPr>
            <b/>
            <u/>
            <sz val="10"/>
            <color indexed="81"/>
            <rFont val="Tahoma"/>
            <family val="2"/>
          </rPr>
          <t xml:space="preserve">
10K 2007:</t>
        </r>
        <r>
          <rPr>
            <sz val="10"/>
            <color indexed="81"/>
            <rFont val="Tahoma"/>
            <family val="2"/>
          </rPr>
          <t xml:space="preserve">
Expect $250mm-$275mm based on
40 new American Eagle stores in US/Canada, 
40-60 remodeled American Eagle Stores in US/Canada, 80 new aerie stand-alone stores, IT upgrades, purchase/construction of 2nd phase of corp. HQ, investments in M+O including 15 new stores and DC expansion/improvement including completion of second phase of Ottawa, KS DC expansion
3/08:
Expects 250-275mm (10% square footage growth)  125 new stores and 50-60 remodels... (previously... 135 new and 50 remodeled stores)
AEO's CapEx had been consistently less than $100mm per year in 2002-2005, and supported 45 or more store openings each year (except in 2005 when store growth slowed) along with store remodel expenses.</t>
        </r>
        <r>
          <rPr>
            <b/>
            <sz val="10"/>
            <color indexed="81"/>
            <rFont val="Tahoma"/>
            <family val="2"/>
          </rPr>
          <t xml:space="preserve">
mm98285:</t>
        </r>
        <r>
          <rPr>
            <sz val="10"/>
            <color indexed="81"/>
            <rFont val="Tahoma"/>
            <family val="2"/>
          </rPr>
          <t xml:space="preserve">
11/27/07: 2008 capex of: $250-$275mm for ~70 aerie stores, 45-50 AE stores, 15 M+O, and ~50 remodels. As well as DC improvements, IT upgrades and HQ construction ($95mm new stores, $40 remodels, $60mm DC, $40mm IT, $40 home office)
8/07: expect ~$200+mm</t>
        </r>
      </text>
    </comment>
    <comment ref="AE22" authorId="4">
      <text>
        <r>
          <rPr>
            <sz val="8"/>
            <color indexed="81"/>
            <rFont val="Tahoma"/>
            <family val="2"/>
          </rPr>
          <t>11/24: Exp. $120-130mm
8/27: Reit $110-135mm
2008's 10-K: For Fiscal 2009, we significantly lowered our capital spending plans driven by our decision to open fewer new stores. Therefore, we expect capital expenditures to be in the range of $110 million to $135 million with approximately half of the amount relating to store growth and renovation. This includes approximately 11 new and 25 to 35 remodeled AE stores, including our new flagship store in the Times Square area of New York, New York, and 17 new aerie stores. The remaining half relates to the completion of our headquarters, information technology and distribution center projects. At this time, our 2009 capital expenditures projection does not include new M+O stores.
3/11/09:
AEO continues to expect 2009 capex of $110-135mm (~$60mm relates to new and remodeled stores, including a flagship store in Times Square with the rest supporting the completion of current DC and HQ projects, and IT initiatives). For 2009, the company is planning ~11 new and 25 to 35 remodeled AE stores and 17 new aerie stores, for total square footage growth of ~+3%.  
For Fiscal 2009, we significantly lowered our capital spending plans driven by our decision to open fewer new stores. Therefore, we expect capital expenditures to be in the range of $110 million to $135 million with approximately half of the amount relating to store growth and renovation. This includes approximately 11 new and 25 to 35 remodeled AE stores, including our new flagship store in the Times Square area of New York, New York, and 17 new aerie stores. The remaining half relates to the completion of our headquarters, information technology and distribution center projects. At this time, our 2009 capital expenditures projection does not include new M+O stores.</t>
        </r>
        <r>
          <rPr>
            <b/>
            <sz val="8"/>
            <color indexed="81"/>
            <rFont val="Tahoma"/>
            <family val="2"/>
          </rPr>
          <t xml:space="preserve">
11/25: </t>
        </r>
        <r>
          <rPr>
            <sz val="8"/>
            <color indexed="81"/>
            <rFont val="Tahoma"/>
            <family val="2"/>
          </rPr>
          <t>Expects capex $110-135mm incl. new and remodel stores, completion of DC and HQ, and IT initiatives
which
includes, new and remodeled stores, the completion of the current distribution
center and headquarters projects, as well as IT initiatives. Plans for 2009
include ~+2% square footage growth associated with 12 new AE stores, 17 new
aerie stores, 0 new MARTIN + OSA stores, and ~25-35 AE store remodels.</t>
        </r>
        <r>
          <rPr>
            <b/>
            <sz val="8"/>
            <color indexed="81"/>
            <rFont val="Tahoma"/>
            <family val="2"/>
          </rPr>
          <t xml:space="preserve">
mm98285:</t>
        </r>
        <r>
          <rPr>
            <sz val="8"/>
            <color indexed="81"/>
            <rFont val="Tahoma"/>
            <family val="2"/>
          </rPr>
          <t xml:space="preserve">
4/08: expect to be closer to $200 as DC inv is done, HQ mostly done (maybe another $20mm)</t>
        </r>
      </text>
    </comment>
    <comment ref="AG22" authorId="7">
      <text>
        <r>
          <rPr>
            <sz val="10"/>
            <color indexed="81"/>
            <rFont val="Tahoma"/>
            <family val="2"/>
          </rPr>
          <t>11/10: expect range of $90-100mm, half relates to investments in store fleet
8/10: expect $90-$110mm, with 1/2 to store investments</t>
        </r>
        <r>
          <rPr>
            <b/>
            <sz val="10"/>
            <color indexed="81"/>
            <rFont val="Tahoma"/>
            <family val="2"/>
          </rPr>
          <t xml:space="preserve">
</t>
        </r>
        <r>
          <rPr>
            <sz val="10"/>
            <color indexed="81"/>
            <rFont val="Tahoma"/>
            <family val="2"/>
          </rPr>
          <t xml:space="preserve">expect $90-110M in capex
</t>
        </r>
        <r>
          <rPr>
            <b/>
            <sz val="10"/>
            <color indexed="81"/>
            <rFont val="Tahoma"/>
            <family val="2"/>
          </rPr>
          <t>ns66486:</t>
        </r>
        <r>
          <rPr>
            <sz val="10"/>
            <color indexed="81"/>
            <rFont val="Tahoma"/>
            <family val="2"/>
          </rPr>
          <t xml:space="preserve">
3/10:  expect $100-120mm with 1/2 to store investments</t>
        </r>
      </text>
    </comment>
    <comment ref="AI22" authorId="8">
      <text>
        <r>
          <rPr>
            <sz val="8"/>
            <color indexed="81"/>
            <rFont val="Tahoma"/>
            <family val="2"/>
          </rPr>
          <t xml:space="preserve">3/7/12: Q4 capex were $3M vs $19M LY
11/2001: For the third quarter, capital expenditures were $31 million, compared to $26 million last year. Of the third quarter capital expenditures, approximately $22 million related to new and remodeled stores. The balance of the capital expenditures related to distribution center, information technology and other home office projects. </t>
        </r>
        <r>
          <rPr>
            <b/>
            <sz val="8"/>
            <color indexed="81"/>
            <rFont val="Tahoma"/>
            <family val="2"/>
          </rPr>
          <t>For Fiscal 2011, the company expects capital expenditures to be approximately $100 million</t>
        </r>
        <r>
          <rPr>
            <sz val="8"/>
            <color indexed="81"/>
            <rFont val="Tahoma"/>
            <family val="2"/>
          </rPr>
          <t>, which includes the holiday accessory expansion initiative. 
2Q11 10-Q: reit $90-100mm, half relating to store growth and renovation
5/2011: reit below
3/2011: expect $90-100mm, with slightly more than half related to new and remodeled stores</t>
        </r>
      </text>
    </comment>
    <comment ref="AK22" authorId="9">
      <text>
        <r>
          <rPr>
            <b/>
            <sz val="8"/>
            <color indexed="81"/>
            <rFont val="Tahoma"/>
            <family val="2"/>
          </rPr>
          <t xml:space="preserve">3/6/13: </t>
        </r>
        <r>
          <rPr>
            <sz val="8"/>
            <color indexed="81"/>
            <rFont val="Tahoma"/>
            <family val="2"/>
          </rPr>
          <t>half of the $94M was related to store investments and the balance to IT and investments in eComm</t>
        </r>
        <r>
          <rPr>
            <b/>
            <sz val="8"/>
            <color indexed="81"/>
            <rFont val="Tahoma"/>
            <family val="2"/>
          </rPr>
          <t xml:space="preserve">
8/22/2012: </t>
        </r>
        <r>
          <rPr>
            <sz val="8"/>
            <color indexed="81"/>
            <rFont val="Tahoma"/>
            <family val="2"/>
          </rPr>
          <t>$100M</t>
        </r>
        <r>
          <rPr>
            <b/>
            <sz val="8"/>
            <color indexed="81"/>
            <rFont val="Tahoma"/>
            <family val="2"/>
          </rPr>
          <t xml:space="preserve">
3/7/12 CC: </t>
        </r>
        <r>
          <rPr>
            <sz val="8"/>
            <color indexed="81"/>
            <rFont val="Tahoma"/>
            <family val="2"/>
          </rPr>
          <t>expects 2012 Capex to be ~$100M on 100 remodels, technology projects and ecom investment</t>
        </r>
      </text>
    </comment>
    <comment ref="AM22" authorId="10">
      <text>
        <r>
          <rPr>
            <b/>
            <sz val="8"/>
            <color indexed="81"/>
            <rFont val="Tahoma"/>
            <family val="2"/>
          </rPr>
          <t xml:space="preserve">12/6/13: $250M; </t>
        </r>
        <r>
          <rPr>
            <sz val="8"/>
            <color indexed="81"/>
            <rFont val="Tahoma"/>
            <family val="2"/>
          </rPr>
          <t>includes new store growth, store removdels, a new distribution center to support omni-channel growth and the implementation of new and upgraded technology</t>
        </r>
        <r>
          <rPr>
            <b/>
            <sz val="8"/>
            <color indexed="81"/>
            <rFont val="Tahoma"/>
            <family val="2"/>
          </rPr>
          <t xml:space="preserve">
8/21/13: </t>
        </r>
        <r>
          <rPr>
            <sz val="8"/>
            <color indexed="81"/>
            <rFont val="Tahoma"/>
            <family val="2"/>
          </rPr>
          <t>due to the retiming of projects, the company now expects capex of $230-$250M; 2Q capex was $78M</t>
        </r>
        <r>
          <rPr>
            <b/>
            <sz val="8"/>
            <color indexed="81"/>
            <rFont val="Tahoma"/>
            <family val="2"/>
          </rPr>
          <t xml:space="preserve">
casselau:
5/22/13: </t>
        </r>
        <r>
          <rPr>
            <sz val="8"/>
            <color indexed="81"/>
            <rFont val="Tahoma"/>
            <family val="2"/>
          </rPr>
          <t>In first quarter 2013, capital expenditures totaled $46 million, with approximately half related to store investments and the balance to information technology and investments in e-commerce.</t>
        </r>
        <r>
          <rPr>
            <sz val="8"/>
            <color indexed="81"/>
            <rFont val="Tahoma"/>
            <family val="2"/>
          </rPr>
          <t xml:space="preserve">
3/6/13: expect $250-$280M; in addition to investments in store growth and maintenance projects, the company's capital spending plan includes building a new distribution center to support online growth, the installation of a new fleet-wide POS system and an upgraded merchandise planning system </t>
        </r>
      </text>
    </comment>
    <comment ref="AO22" authorId="10">
      <text>
        <r>
          <rPr>
            <b/>
            <sz val="8"/>
            <color indexed="81"/>
            <rFont val="Tahoma"/>
            <family val="2"/>
          </rPr>
          <t xml:space="preserve">casselau:
3/3/15: </t>
        </r>
        <r>
          <rPr>
            <sz val="8"/>
            <color indexed="81"/>
            <rFont val="Tahoma"/>
            <family val="2"/>
          </rPr>
          <t>above earlier expectations due in part to incremental strategic omnichannel investments including retail fulfillment in the
Hazelton DC, as well as the pilot of our Oracle point-of-sale system</t>
        </r>
        <r>
          <rPr>
            <b/>
            <sz val="8"/>
            <color indexed="81"/>
            <rFont val="Tahoma"/>
            <family val="2"/>
          </rPr>
          <t xml:space="preserve">
3/11/14:</t>
        </r>
        <r>
          <rPr>
            <sz val="8"/>
            <color indexed="81"/>
            <rFont val="Tahoma"/>
            <family val="2"/>
          </rPr>
          <t xml:space="preserve"> nearly half of the capital spending plan is for new and upgraded systems, the completion of the DC and omni-channel projects, while the rest relates to store upgrades, as well as factory and intl expansion plans</t>
        </r>
        <r>
          <rPr>
            <sz val="8"/>
            <color indexed="81"/>
            <rFont val="Tahoma"/>
            <family val="2"/>
          </rPr>
          <t xml:space="preserve">
12/6/13: CC: $230-$250M; distribution center, intl growth, factory store growth, have under invested in the past</t>
        </r>
      </text>
    </comment>
    <comment ref="AQ22" authorId="10">
      <text>
        <r>
          <rPr>
            <b/>
            <sz val="8"/>
            <color indexed="81"/>
            <rFont val="Tahoma"/>
            <family val="2"/>
          </rPr>
          <t>casselau:
3/3/15: $150M; includes the chain-wide roll-out of the point of sale system, supporting technologies and the completion of our new fulfillment center, as well as new and remodeled store investments. 
8/20/14: $150M</t>
        </r>
        <r>
          <rPr>
            <sz val="8"/>
            <color indexed="81"/>
            <rFont val="Tahoma"/>
            <family val="2"/>
          </rPr>
          <t xml:space="preserve">
3/11/14: $150-170
1/14/14: ICR xChange $175M</t>
        </r>
      </text>
    </comment>
    <comment ref="AS22" authorId="10">
      <text>
        <r>
          <rPr>
            <b/>
            <sz val="9"/>
            <color indexed="81"/>
            <rFont val="Tahoma"/>
            <family val="2"/>
          </rPr>
          <t>casselau:
11/30/16: ~$160M with half related to store remodeling products and new openings and the remaining half supporting digital and omni-channel investments 
3/2/16: $160-170M
12/2/15: $150-175M guidance</t>
        </r>
        <r>
          <rPr>
            <sz val="9"/>
            <color indexed="81"/>
            <rFont val="Tahoma"/>
            <family val="2"/>
          </rPr>
          <t xml:space="preserve">
8/20/14: $150M best planning number going forward</t>
        </r>
      </text>
    </comment>
    <comment ref="AU22" authorId="11">
      <text>
        <r>
          <rPr>
            <b/>
            <sz val="9"/>
            <color indexed="81"/>
            <rFont val="Tahoma"/>
            <family val="2"/>
          </rPr>
          <t>Cassel, Lauren (Research):</t>
        </r>
        <r>
          <rPr>
            <sz val="9"/>
            <color indexed="81"/>
            <rFont val="Tahoma"/>
            <family val="2"/>
          </rPr>
          <t xml:space="preserve">
3/1/17: guidance $160-170M, with roughly half related to store remodeling projects and new openings, and the balance to support the digital business, omni-channel tools and general corporate maintenance </t>
        </r>
      </text>
    </comment>
    <comment ref="AW22" authorId="11">
      <text>
        <r>
          <rPr>
            <b/>
            <sz val="9"/>
            <color indexed="81"/>
            <rFont val="Tahoma"/>
            <family val="2"/>
          </rPr>
          <t>Cassel, Lauren (Research):</t>
        </r>
        <r>
          <rPr>
            <sz val="9"/>
            <color indexed="81"/>
            <rFont val="Tahoma"/>
            <family val="2"/>
          </rPr>
          <t xml:space="preserve">
3/8/18: For fiscal 2018, the company expects capital expenditures to be in the range of $180 million to $190 million, with more than half related to store remodeling projects and new openings, and the balance to support the digital business, omni-channel tools and general corporate maintenance. </t>
        </r>
      </text>
    </comment>
    <comment ref="S25" authorId="2">
      <text>
        <r>
          <rPr>
            <b/>
            <sz val="8"/>
            <color indexed="81"/>
            <rFont val="Tahoma"/>
            <family val="2"/>
          </rPr>
          <t>Corinna Freedman:</t>
        </r>
        <r>
          <rPr>
            <sz val="8"/>
            <color indexed="81"/>
            <rFont val="Tahoma"/>
            <family val="2"/>
          </rPr>
          <t xml:space="preserve">
prior to rstmt = -6.1
</t>
        </r>
      </text>
    </comment>
    <comment ref="S26" authorId="2">
      <text>
        <r>
          <rPr>
            <b/>
            <sz val="8"/>
            <color indexed="81"/>
            <rFont val="Tahoma"/>
            <family val="2"/>
          </rPr>
          <t>Corinna Freedman:</t>
        </r>
        <r>
          <rPr>
            <sz val="8"/>
            <color indexed="81"/>
            <rFont val="Tahoma"/>
            <family val="2"/>
          </rPr>
          <t xml:space="preserve">
prior to rstmt = 8.0</t>
        </r>
      </text>
    </comment>
    <comment ref="K32" authorId="3">
      <text>
        <r>
          <rPr>
            <b/>
            <sz val="8"/>
            <color indexed="81"/>
            <rFont val="Tahoma"/>
            <family val="2"/>
          </rPr>
          <t>KG:</t>
        </r>
        <r>
          <rPr>
            <sz val="8"/>
            <color indexed="81"/>
            <rFont val="Tahoma"/>
            <family val="2"/>
          </rPr>
          <t xml:space="preserve">
diff from b/s due to 2 tax liab adj's 16.445 and 2.286.  See s/h equity section of 10-K.</t>
        </r>
      </text>
    </comment>
    <comment ref="S32" authorId="2">
      <text>
        <r>
          <rPr>
            <b/>
            <sz val="8"/>
            <color indexed="81"/>
            <rFont val="Tahoma"/>
            <family val="2"/>
          </rPr>
          <t>Corinna Freedman:</t>
        </r>
        <r>
          <rPr>
            <sz val="8"/>
            <color indexed="81"/>
            <rFont val="Tahoma"/>
            <family val="2"/>
          </rPr>
          <t xml:space="preserve">
prior to rstmt = -20.6m</t>
        </r>
      </text>
    </comment>
    <comment ref="M45" authorId="3">
      <text>
        <r>
          <rPr>
            <sz val="8"/>
            <color indexed="81"/>
            <rFont val="Tahoma"/>
            <family val="2"/>
          </rPr>
          <t>assumes $10 stock price appreciation on 800K options</t>
        </r>
      </text>
    </comment>
    <comment ref="Y46" authorId="0">
      <text>
        <r>
          <rPr>
            <b/>
            <sz val="8"/>
            <color indexed="81"/>
            <rFont val="Tahoma"/>
            <family val="2"/>
          </rPr>
          <t>MB33100:</t>
        </r>
        <r>
          <rPr>
            <sz val="8"/>
            <color indexed="81"/>
            <rFont val="Tahoma"/>
            <family val="2"/>
          </rPr>
          <t xml:space="preserve">
2/07: repo'd2.3m shares ($70.2m) in 4Q, completing previous authorization (repo'd 5.3mm shares, or $146.5m, in 2006)
9/1/06: per 10-Q, company repurchased 1.4mm shares for $51.3mm after 2Q end and now has 2.1mm shares remaining on share authorization</t>
        </r>
      </text>
    </comment>
    <comment ref="AA46" authorId="4">
      <text>
        <r>
          <rPr>
            <b/>
            <sz val="9"/>
            <color indexed="81"/>
            <rFont val="Tahoma"/>
            <family val="2"/>
          </rPr>
          <t>mm98285:</t>
        </r>
        <r>
          <rPr>
            <sz val="9"/>
            <color indexed="81"/>
            <rFont val="Tahoma"/>
            <family val="2"/>
          </rPr>
          <t xml:space="preserve">
12/07: repurchased 1mm shares for $21.5m 4QTD
11/07: repurchased 2.4mm shares for  $58.8mm in 3Q
8/07: repo'd 3.7mm shares for $99.5mm in 2Q (23.5mm shares remain under auth and assume will repurchase evenly over next 10 quaters, or 2.35mm shares per quarter at $23 per share)
5/07: repo'd 2.8mm shares for $85.2mm in 1Q and authorized new program to repo 23mm shares by end of fiscal 2009 in addition to 7mm auth in March
3/07: repo'd 2.8mm shares for $85.2mm in March
3/6/07: new 7m share authorization approved</t>
        </r>
      </text>
    </comment>
    <comment ref="AC46" authorId="4">
      <text>
        <r>
          <rPr>
            <b/>
            <sz val="8"/>
            <color indexed="81"/>
            <rFont val="Tahoma"/>
            <family val="2"/>
          </rPr>
          <t>Assumes repo 10mm shares at $175mm
mm98285:</t>
        </r>
        <r>
          <rPr>
            <sz val="8"/>
            <color indexed="81"/>
            <rFont val="Tahoma"/>
            <family val="2"/>
          </rPr>
          <t xml:space="preserve">
1/28/08: new 30mm share authorization through 2010; 41.2mm shares available for repurcahse through 2010 -- assume repurchased equally over this period (12 quarters), or 13.7mm shares per year 
8/07: assume 23.5mm shares remaining under auth will be repurchased evenly thruogh end of 2009 (2.35mm shares per quarter), and stock price $23</t>
        </r>
      </text>
    </comment>
    <comment ref="AE46" authorId="4">
      <text>
        <r>
          <rPr>
            <b/>
            <sz val="8"/>
            <color indexed="81"/>
            <rFont val="Tahoma"/>
            <family val="2"/>
          </rPr>
          <t>mm98285:</t>
        </r>
        <r>
          <rPr>
            <sz val="8"/>
            <color indexed="81"/>
            <rFont val="Tahoma"/>
            <family val="2"/>
          </rPr>
          <t xml:space="preserve">
1/28/08: new 30mm share authorization through 2010; 41.2mm shares available for repurcahse through 2010 -- assume repurchased equally over this period (12 quarters), or 13.7mm shares per year 
8/07: assume 23.5mm shares remaining under auth will be repurchased evenly thruogh end of 2009 (2.35mm shares per quarter), and stock price $23</t>
        </r>
      </text>
    </comment>
    <comment ref="AG46" authorId="4">
      <text>
        <r>
          <rPr>
            <b/>
            <sz val="8"/>
            <color indexed="81"/>
            <rFont val="Tahoma"/>
            <family val="2"/>
          </rPr>
          <t>mm98285:</t>
        </r>
        <r>
          <rPr>
            <sz val="8"/>
            <color indexed="81"/>
            <rFont val="Tahoma"/>
            <family val="2"/>
          </rPr>
          <t xml:space="preserve">
12/10: board extended current repurchase authorization of 16mm shares through February 2, 2013.  (previously expired end of 2010)
10/10: repo'd $192M through 2Q10, 16M shares remain under authorization, assume another ~8M repo'd in 2H10 for ~$330M
1/28/08: new 30mm share authorization through 2010; 41.2mm shares available for repurcahse through 2010 -- assume repurchased equally over this period (12 quarters), or 13.7mm shares per year 
8/07: assume 23.5mm shares remaining under auth will be repurchased evenly thruogh end of 2009 (2.35mm shares per quarter), and stock price $23</t>
        </r>
      </text>
    </comment>
    <comment ref="AI46" authorId="8">
      <text>
        <r>
          <rPr>
            <b/>
            <sz val="8"/>
            <color indexed="81"/>
            <rFont val="Tahoma"/>
            <family val="2"/>
          </rPr>
          <t>nicholjs:</t>
        </r>
        <r>
          <rPr>
            <sz val="8"/>
            <color indexed="81"/>
            <rFont val="Tahoma"/>
            <family val="2"/>
          </rPr>
          <t xml:space="preserve">
12/10: board extended current repurchase authorization of 16mm shares through February 2, 2013.  (previously expired end of 2010)</t>
        </r>
      </text>
    </comment>
    <comment ref="AK46" authorId="8">
      <text>
        <r>
          <rPr>
            <b/>
            <sz val="8"/>
            <color indexed="81"/>
            <rFont val="Tahoma"/>
            <family val="2"/>
          </rPr>
          <t xml:space="preserve">1/10/13: </t>
        </r>
        <r>
          <rPr>
            <sz val="8"/>
            <color indexed="81"/>
            <rFont val="Tahoma"/>
            <family val="2"/>
          </rPr>
          <t>during Dec, repurchased 5M shares for a total of $105M</t>
        </r>
        <r>
          <rPr>
            <b/>
            <sz val="8"/>
            <color indexed="81"/>
            <rFont val="Tahoma"/>
            <family val="2"/>
          </rPr>
          <t xml:space="preserve">
nicholjs:</t>
        </r>
        <r>
          <rPr>
            <sz val="8"/>
            <color indexed="81"/>
            <rFont val="Tahoma"/>
            <family val="2"/>
          </rPr>
          <t xml:space="preserve">
12/10: board extended current repurchase authorization of 16mm shares through February 2, 2013.  (previously expired end of 2010)</t>
        </r>
      </text>
    </comment>
    <comment ref="AG47" authorId="8">
      <text>
        <r>
          <rPr>
            <b/>
            <sz val="8"/>
            <color indexed="81"/>
            <rFont val="Tahoma"/>
            <family val="2"/>
          </rPr>
          <t>nicholjs:</t>
        </r>
        <r>
          <rPr>
            <sz val="8"/>
            <color indexed="81"/>
            <rFont val="Tahoma"/>
            <family val="2"/>
          </rPr>
          <t xml:space="preserve">
11/2010: during 3Q10 liquidated 95% of its ARS, w/ the last sale occurring on Oct 29.  as a result, AEO received proceeds of $149.6mm plus accrued interest.  Will recognize expense in 3Q of $24.2mm or $0.12/share.  </t>
        </r>
      </text>
    </comment>
    <comment ref="Y50" authorId="4">
      <text>
        <r>
          <rPr>
            <b/>
            <sz val="8"/>
            <color indexed="81"/>
            <rFont val="Tahoma"/>
            <family val="2"/>
          </rPr>
          <t>mm98285:</t>
        </r>
        <r>
          <rPr>
            <sz val="8"/>
            <color indexed="81"/>
            <rFont val="Tahoma"/>
            <family val="2"/>
          </rPr>
          <t xml:space="preserve">
6/06: quarterly cash dividend of $0.1125 per share was declared and is payable on 7/7 to stockholders of record at the close of business on 6/26 (raised annual rate to $0.45 per share from the current rate of $0.30 per share)</t>
        </r>
      </text>
    </comment>
    <comment ref="AG50" authorId="8">
      <text>
        <r>
          <rPr>
            <b/>
            <sz val="8"/>
            <color indexed="81"/>
            <rFont val="Tahoma"/>
            <family val="2"/>
          </rPr>
          <t>nicholjs:</t>
        </r>
        <r>
          <rPr>
            <sz val="8"/>
            <color indexed="81"/>
            <rFont val="Tahoma"/>
            <family val="2"/>
          </rPr>
          <t xml:space="preserve">
12/10: company's board of directors declared a $0.50 special cash dividend, payable Dec 27 to stockholders of record at the close of business on Dec 13</t>
        </r>
      </text>
    </comment>
    <comment ref="O75" authorId="12">
      <text>
        <r>
          <rPr>
            <b/>
            <sz val="8"/>
            <color indexed="81"/>
            <rFont val="Tahoma"/>
            <family val="2"/>
          </rPr>
          <t>dong2:</t>
        </r>
        <r>
          <rPr>
            <sz val="8"/>
            <color indexed="81"/>
            <rFont val="Tahoma"/>
            <family val="2"/>
          </rPr>
          <t xml:space="preserve">
includes some remodels</t>
        </r>
      </text>
    </comment>
  </commentList>
</comments>
</file>

<file path=xl/comments9.xml><?xml version="1.0" encoding="utf-8"?>
<comments xmlns="http://schemas.openxmlformats.org/spreadsheetml/2006/main">
  <authors>
    <author>OC48540</author>
    <author>Cassel, Lauren (Research)</author>
    <author>oc48540</author>
    <author>nicholjs</author>
    <author>casselau</author>
  </authors>
  <commentList>
    <comment ref="V8" authorId="0">
      <text>
        <r>
          <rPr>
            <b/>
            <sz val="8"/>
            <color indexed="81"/>
            <rFont val="Tahoma"/>
            <family val="2"/>
          </rPr>
          <t>OC48540:</t>
        </r>
        <r>
          <rPr>
            <sz val="8"/>
            <color indexed="81"/>
            <rFont val="Tahoma"/>
            <family val="2"/>
          </rPr>
          <t xml:space="preserve">
OC48540:
Cash and Cash Equi
Cash $48,702
Money-market $289,536
ST Investments:
State &amp; Local Gov't $16,695
Corporate Securities $14,500</t>
        </r>
      </text>
    </comment>
    <comment ref="AL8" authorId="1">
      <text>
        <r>
          <rPr>
            <b/>
            <sz val="9"/>
            <color indexed="81"/>
            <rFont val="Tahoma"/>
            <family val="2"/>
          </rPr>
          <t>Cassel, Lauren (Research):</t>
        </r>
        <r>
          <rPr>
            <sz val="9"/>
            <color indexed="81"/>
            <rFont val="Tahoma"/>
            <family val="2"/>
          </rPr>
          <t xml:space="preserve">
5/18/16:  Over the past year, the company has spent $227 million in share buybacks, returned $95 million in dividends and invested $136 million in capex, resulting in a lower cash balance. </t>
        </r>
      </text>
    </comment>
    <comment ref="V9" authorId="2">
      <text>
        <r>
          <rPr>
            <b/>
            <sz val="8"/>
            <color indexed="81"/>
            <rFont val="Tahoma"/>
            <family val="2"/>
          </rPr>
          <t>oc48540:</t>
        </r>
        <r>
          <rPr>
            <sz val="8"/>
            <color indexed="81"/>
            <rFont val="Tahoma"/>
            <family val="2"/>
          </rPr>
          <t xml:space="preserve">
Cash $353.39mm
ST invest $26.936mm
does not include LT investments of $309mm which = ARS</t>
        </r>
      </text>
    </comment>
    <comment ref="X9" authorId="2">
      <text>
        <r>
          <rPr>
            <b/>
            <sz val="8"/>
            <color indexed="81"/>
            <rFont val="Tahoma"/>
            <family val="2"/>
          </rPr>
          <t>oc48540:</t>
        </r>
        <r>
          <rPr>
            <sz val="8"/>
            <color indexed="81"/>
            <rFont val="Tahoma"/>
            <family val="2"/>
          </rPr>
          <t xml:space="preserve">
ST investments increased at Q to $29.525 from $2.525 at 2Q press release</t>
        </r>
      </text>
    </comment>
    <comment ref="AB9" authorId="3">
      <text>
        <r>
          <rPr>
            <b/>
            <sz val="8"/>
            <color indexed="81"/>
            <rFont val="Tahoma"/>
            <family val="2"/>
          </rPr>
          <t>nicholjs:</t>
        </r>
        <r>
          <rPr>
            <sz val="8"/>
            <color indexed="81"/>
            <rFont val="Tahoma"/>
            <family val="2"/>
          </rPr>
          <t xml:space="preserve">
10Q:
$389.299 cash
$124.697 sort-term investments (including $6.9 of state and local government ARS) </t>
        </r>
      </text>
    </comment>
    <comment ref="AL9" authorId="1">
      <text>
        <r>
          <rPr>
            <b/>
            <sz val="9"/>
            <color indexed="81"/>
            <rFont val="Tahoma"/>
            <family val="2"/>
          </rPr>
          <t>Cassel, Lauren (Research):</t>
        </r>
        <r>
          <rPr>
            <sz val="9"/>
            <color indexed="81"/>
            <rFont val="Tahoma"/>
            <family val="2"/>
          </rPr>
          <t xml:space="preserve">
8/17/16: Over the past year, we invested $227 million in share buybacks, returned $94 million in dividends and invested $135 million in capital expenditures, resulting in a lower cash balance. </t>
        </r>
      </text>
    </comment>
    <comment ref="V10" authorId="2">
      <text>
        <r>
          <rPr>
            <b/>
            <sz val="8"/>
            <color indexed="81"/>
            <rFont val="Tahoma"/>
            <family val="2"/>
          </rPr>
          <t>oc48540:</t>
        </r>
        <r>
          <rPr>
            <sz val="8"/>
            <color indexed="81"/>
            <rFont val="Tahoma"/>
            <family val="2"/>
          </rPr>
          <t xml:space="preserve">
Cash $332.837mm
ST ARS invest $11.1mm</t>
        </r>
      </text>
    </comment>
    <comment ref="AL10" authorId="1">
      <text>
        <r>
          <rPr>
            <b/>
            <sz val="9"/>
            <color indexed="81"/>
            <rFont val="Tahoma"/>
            <family val="2"/>
          </rPr>
          <t>Cassel, Lauren (Research):</t>
        </r>
        <r>
          <rPr>
            <sz val="9"/>
            <color indexed="81"/>
            <rFont val="Tahoma"/>
            <family val="2"/>
          </rPr>
          <t xml:space="preserve">
11/30/16: Lower cash was the result of $212 million in share buybacks in the fourth quarter last year. In addition, we returned $92 million in cash dividends and spent $152 million in capital expenditures over the past year.</t>
        </r>
      </text>
    </comment>
    <comment ref="T11" authorId="0">
      <text>
        <r>
          <rPr>
            <b/>
            <sz val="8"/>
            <color indexed="81"/>
            <rFont val="Tahoma"/>
            <family val="2"/>
          </rPr>
          <t>OC48540:</t>
        </r>
        <r>
          <rPr>
            <sz val="8"/>
            <color indexed="81"/>
            <rFont val="Tahoma"/>
            <family val="2"/>
          </rPr>
          <t xml:space="preserve">
Includes $503mm of short term securities (at year end $418mm were ARS &amp; at March 11, 2008 $372 of the short-term securities were ARS)
March 25th, 2008 ARS = $373mm</t>
        </r>
      </text>
    </comment>
    <comment ref="AH11" authorId="4">
      <text>
        <r>
          <rPr>
            <b/>
            <sz val="9"/>
            <color indexed="81"/>
            <rFont val="Tahoma"/>
            <family val="2"/>
          </rPr>
          <t>casselau:</t>
        </r>
        <r>
          <rPr>
            <sz val="9"/>
            <color indexed="81"/>
            <rFont val="Tahoma"/>
            <family val="2"/>
          </rPr>
          <t xml:space="preserve">
8/20/14: $200-250M a good cash cushion</t>
        </r>
      </text>
    </comment>
    <comment ref="AJ11" authorId="4">
      <text>
        <r>
          <rPr>
            <b/>
            <sz val="9"/>
            <color indexed="81"/>
            <rFont val="Tahoma"/>
            <family val="2"/>
          </rPr>
          <t>casselau:</t>
        </r>
        <r>
          <rPr>
            <sz val="9"/>
            <color indexed="81"/>
            <rFont val="Tahoma"/>
            <family val="2"/>
          </rPr>
          <t xml:space="preserve">
8/20/14: $200-250M a good cash cushion</t>
        </r>
      </text>
    </comment>
    <comment ref="X20" authorId="2">
      <text>
        <r>
          <rPr>
            <b/>
            <sz val="8"/>
            <color indexed="81"/>
            <rFont val="Tahoma"/>
            <family val="2"/>
          </rPr>
          <t>oc48540:</t>
        </r>
        <r>
          <rPr>
            <sz val="8"/>
            <color indexed="81"/>
            <rFont val="Tahoma"/>
            <family val="2"/>
          </rPr>
          <t xml:space="preserve">
The Company has borrowing agreements with two separate financial institutions under which it may borrow an aggregate of $350.0 million. Of this amount, $150.0 million can be used for demand letter of credit facilities and $100.0 million can be used for demand line borrowings. The remaining $100.0 million can be used for either letters of credit or demand line borrowings at the Company’s discretion. As of May 2, 2009, the Company had outstanding demand letters of credit of $50.0 million and demand line borrowings of $75.0 million. The Company has renewed the demand line credit facilities comprising the $100.0 million borrowing capacity. Each of the two demand line facilities provides $50.0 million of borrowing capacity. The expiration dates of the two demand line facilities are April 21, 2010 and May 22, 2009. The outstanding amounts on the demand line borrowings can be called for repayment by the financial institutions at any time. Additionally, the availability of any remaining borrowings is subject to acceptance by the respective financial institution. The average borrowing rate on the demand lines was 3.0% and the Company has incorporated the outstanding demand line borrowings into working capital.</t>
        </r>
      </text>
    </comment>
    <comment ref="V22" authorId="2">
      <text>
        <r>
          <rPr>
            <b/>
            <sz val="8"/>
            <color indexed="81"/>
            <rFont val="Tahoma"/>
            <family val="2"/>
          </rPr>
          <t>oc48540:</t>
        </r>
        <r>
          <rPr>
            <sz val="8"/>
            <color indexed="81"/>
            <rFont val="Tahoma"/>
            <family val="2"/>
          </rPr>
          <t xml:space="preserve">
The Company has borrowing agreements with three separate financial institutions under which it may borrow an aggregate of
$300.0 million. Of this amount, $100.0 million can be used for demand letter of credit facilities and $100.0 million can be used for
demand line borrowings. The remaining $100.0 million can be used for either letters of credit or demand line borrowings at the
Company’s discretion. As of November 1, 2008, the Company had outstanding demand letters of credit of $99.8 million and demand line borrowings of $75.0 million. The outstanding amounts on the demand line borrowings can be called for
repayment by the financial institutions at any time. Additionally, the availability of any remaining borrowings is subject to acceptance
by the respective financial institution. The average borrowing rate on the demand lines was 2.58% and the Company has incorporated
the demand line proceeds into working capital.</t>
        </r>
      </text>
    </comment>
    <comment ref="AH22" authorId="4">
      <text>
        <r>
          <rPr>
            <b/>
            <sz val="9"/>
            <color indexed="81"/>
            <rFont val="Tahoma"/>
            <family val="2"/>
          </rPr>
          <t>casselau:</t>
        </r>
        <r>
          <rPr>
            <sz val="9"/>
            <color indexed="81"/>
            <rFont val="Tahoma"/>
            <family val="2"/>
          </rPr>
          <t xml:space="preserve">
</t>
        </r>
        <r>
          <rPr>
            <sz val="7"/>
            <color indexed="81"/>
            <rFont val="Tahoma"/>
            <family val="2"/>
          </rPr>
          <t xml:space="preserve">12/4/14: On December 2, 2014, the company closed on a $400 million Asset-Based Credit Facility, replacing the existing $150 million revolver. As of December 2, 2014, the facility was undrawn. The new credit facility carries a 5 year term and provides increased financial flexibility, liquidity and takes advantage of a favorable credit environment. </t>
        </r>
      </text>
    </comment>
  </commentList>
</comments>
</file>

<file path=xl/comments10.xml><?xml version="1.0" encoding="utf-8"?>
<comments xmlns="http://schemas.openxmlformats.org/spreadsheetml/2006/main">
  <authors>
    <author>casselau</author>
    <author>Cassel, Lauren (Research)</author>
    <author>balskyh</author>
    <author>Roberts, Cynthia (Research)</author>
    <author>MB33100</author>
    <author>Debbie Ong</author>
  </authors>
  <commentList>
    <comment ref="BQ10" authorId="0">
      <text>
        <r>
          <rPr>
            <b/>
            <sz val="8"/>
            <color indexed="81"/>
            <rFont val="Tahoma"/>
            <family val="2"/>
          </rPr>
          <t>casselau:</t>
        </r>
        <r>
          <rPr>
            <sz val="8"/>
            <color indexed="81"/>
            <rFont val="Tahoma"/>
            <family val="2"/>
          </rPr>
          <t xml:space="preserve">
5/22/13: At cost per foot, inventory decreased 6%.</t>
        </r>
      </text>
    </comment>
    <comment ref="BU10" authorId="0">
      <text>
        <r>
          <rPr>
            <b/>
            <sz val="9"/>
            <color indexed="81"/>
            <rFont val="Tahoma"/>
            <family val="2"/>
          </rPr>
          <t>casselau:</t>
        </r>
        <r>
          <rPr>
            <sz val="9"/>
            <color indexed="81"/>
            <rFont val="Tahoma"/>
            <family val="2"/>
          </rPr>
          <t xml:space="preserve">
5/21/14: at cost per foot -7%; reflects a change in ownership (take control at receiving port not port of departure); excluding changes per sq foot +MSD</t>
        </r>
      </text>
    </comment>
    <comment ref="BX10" authorId="0">
      <text>
        <r>
          <rPr>
            <b/>
            <sz val="9"/>
            <color indexed="81"/>
            <rFont val="Tahoma"/>
            <family val="2"/>
          </rPr>
          <t>casselau:</t>
        </r>
        <r>
          <rPr>
            <sz val="9"/>
            <color indexed="81"/>
            <rFont val="Tahoma"/>
            <family val="2"/>
          </rPr>
          <t xml:space="preserve">
5/20/15: at cost per foot, inventory was flat; units per foot -6% y/y, AUC +6% y/y</t>
        </r>
      </text>
    </comment>
    <comment ref="CC10" authorId="1">
      <text>
        <r>
          <rPr>
            <b/>
            <sz val="9"/>
            <color indexed="81"/>
            <rFont val="Tahoma"/>
            <family val="2"/>
          </rPr>
          <t>Cassel, Lauren (Research):</t>
        </r>
        <r>
          <rPr>
            <sz val="9"/>
            <color indexed="81"/>
            <rFont val="Tahoma"/>
            <family val="2"/>
          </rPr>
          <t xml:space="preserve">
5/18/16: Units -5%; AUC +6% due to product mix; like to like AUCs were down to last year; change vs. guidance of -LSD was due to the timing of new receipts</t>
        </r>
      </text>
    </comment>
    <comment ref="CG10" authorId="1">
      <text>
        <r>
          <rPr>
            <b/>
            <sz val="9"/>
            <color indexed="81"/>
            <rFont val="Tahoma"/>
            <family val="2"/>
          </rPr>
          <t>Cassel, Lauren (Research):</t>
        </r>
        <r>
          <rPr>
            <sz val="9"/>
            <color indexed="81"/>
            <rFont val="Tahoma"/>
            <family val="2"/>
          </rPr>
          <t xml:space="preserve">
5/17/17: units flat; AUC +9%; increase in AUC reflects a higher mix of AE bottoms and aerie apparel, consistent with our merchandise strategy; ending on-hand dollars +12%/onhand units +2%</t>
        </r>
      </text>
    </comment>
    <comment ref="BM11" authorId="2">
      <text>
        <r>
          <rPr>
            <b/>
            <sz val="8"/>
            <color indexed="81"/>
            <rFont val="Tahoma"/>
            <family val="2"/>
          </rPr>
          <t xml:space="preserve">8/22/2012: </t>
        </r>
        <r>
          <rPr>
            <sz val="8"/>
            <color indexed="81"/>
            <rFont val="Tahoma"/>
            <family val="2"/>
          </rPr>
          <t>+3% inv cost / sf</t>
        </r>
      </text>
    </comment>
    <comment ref="BQ11" authorId="2">
      <text>
        <r>
          <rPr>
            <b/>
            <sz val="8"/>
            <color indexed="81"/>
            <rFont val="Tahoma"/>
            <family val="2"/>
          </rPr>
          <t xml:space="preserve">8/21/13: </t>
        </r>
        <r>
          <rPr>
            <sz val="8"/>
            <color indexed="81"/>
            <rFont val="Tahoma"/>
            <family val="2"/>
          </rPr>
          <t>at cost per foot -1%; AUC +6%</t>
        </r>
        <r>
          <rPr>
            <b/>
            <sz val="8"/>
            <color indexed="81"/>
            <rFont val="Tahoma"/>
            <family val="2"/>
          </rPr>
          <t xml:space="preserve">
5/22/13: </t>
        </r>
        <r>
          <rPr>
            <sz val="8"/>
            <color indexed="81"/>
            <rFont val="Tahoma"/>
            <family val="2"/>
          </rPr>
          <t xml:space="preserve">2Q ending inventory cost per foot is expected to decline in the low single-digits. </t>
        </r>
      </text>
    </comment>
    <comment ref="BU11" authorId="0">
      <text>
        <r>
          <rPr>
            <b/>
            <sz val="9"/>
            <color indexed="81"/>
            <rFont val="Tahoma"/>
            <family val="2"/>
          </rPr>
          <t xml:space="preserve">casselau:
8/20/14: </t>
        </r>
        <r>
          <rPr>
            <sz val="9"/>
            <color indexed="81"/>
            <rFont val="Tahoma"/>
            <family val="2"/>
          </rPr>
          <t xml:space="preserve">at cost per foot, inventory -18%; EX ownership changes -MSD; clearance units were well below LY; AUC -6%
</t>
        </r>
        <r>
          <rPr>
            <b/>
            <sz val="9"/>
            <color indexed="81"/>
            <rFont val="Tahoma"/>
            <family val="2"/>
          </rPr>
          <t xml:space="preserve">
</t>
        </r>
        <r>
          <rPr>
            <sz val="9"/>
            <color indexed="81"/>
            <rFont val="Tahoma"/>
            <family val="2"/>
          </rPr>
          <t>5/21/14: expect cost per foot down mid teens or -MSD excluding ownership terms
3/11/14: expect inventory to grow in-line with sales at end of 2Q or early 3Q</t>
        </r>
      </text>
    </comment>
    <comment ref="BX11" authorId="0">
      <text>
        <r>
          <rPr>
            <b/>
            <sz val="9"/>
            <color indexed="81"/>
            <rFont val="Tahoma"/>
            <family val="2"/>
          </rPr>
          <t>casselau:</t>
        </r>
        <r>
          <rPr>
            <sz val="9"/>
            <color indexed="81"/>
            <rFont val="Tahoma"/>
            <family val="2"/>
          </rPr>
          <t xml:space="preserve">
5/20/15: ending inventory at cost per foot is expected to be +MSD due to merchandise investments and positive sales trends</t>
        </r>
      </text>
    </comment>
    <comment ref="BY11" authorId="0">
      <text>
        <r>
          <rPr>
            <b/>
            <sz val="9"/>
            <color indexed="81"/>
            <rFont val="Tahoma"/>
            <family val="2"/>
          </rPr>
          <t>casselau:</t>
        </r>
        <r>
          <rPr>
            <sz val="9"/>
            <color indexed="81"/>
            <rFont val="Tahoma"/>
            <family val="2"/>
          </rPr>
          <t xml:space="preserve">
8/19/15: at cost per foot, +5%; units per foot +2%, AUC +3% y/y</t>
        </r>
      </text>
    </comment>
    <comment ref="CC11" authorId="1">
      <text>
        <r>
          <rPr>
            <b/>
            <sz val="9"/>
            <color indexed="81"/>
            <rFont val="Tahoma"/>
            <family val="2"/>
          </rPr>
          <t xml:space="preserve">Cassel, Lauren (Research):
8/16/17: increase due in part to accelerated receipts to support our marketing programs; </t>
        </r>
        <r>
          <rPr>
            <sz val="9"/>
            <color indexed="81"/>
            <rFont val="Tahoma"/>
            <family val="2"/>
          </rPr>
          <t>units -5%, AUC +9% due to product mix; LFL AUC down y/y</t>
        </r>
        <r>
          <rPr>
            <b/>
            <sz val="9"/>
            <color indexed="81"/>
            <rFont val="Tahoma"/>
            <family val="2"/>
          </rPr>
          <t xml:space="preserve">
</t>
        </r>
        <r>
          <rPr>
            <sz val="9"/>
            <color indexed="81"/>
            <rFont val="Tahoma"/>
            <family val="2"/>
          </rPr>
          <t xml:space="preserve">
May: Second quarter 2016 ending inventory at cost is expected to be approximately flat. </t>
        </r>
      </text>
    </comment>
    <comment ref="CG11" authorId="1">
      <text>
        <r>
          <rPr>
            <b/>
            <sz val="9"/>
            <color indexed="81"/>
            <rFont val="Tahoma"/>
            <family val="2"/>
          </rPr>
          <t>Cassel, Lauren (Research):
8/23/17: units flat, AUC +2%; clearance units down to LY; AE brand -2%; AE units -8%</t>
        </r>
        <r>
          <rPr>
            <sz val="9"/>
            <color indexed="81"/>
            <rFont val="Tahoma"/>
            <family val="2"/>
          </rPr>
          <t xml:space="preserve">
5/17/17: expect 2Q ending inventory +MSD</t>
        </r>
      </text>
    </comment>
    <comment ref="BM12" authorId="2">
      <text>
        <r>
          <rPr>
            <b/>
            <sz val="8"/>
            <color indexed="81"/>
            <rFont val="Tahoma"/>
            <family val="2"/>
          </rPr>
          <t xml:space="preserve">11/28: </t>
        </r>
        <r>
          <rPr>
            <sz val="8"/>
            <color indexed="81"/>
            <rFont val="Tahoma"/>
            <family val="2"/>
          </rPr>
          <t>inventory at cost per foot -11% due to a decline in units and average cost</t>
        </r>
        <r>
          <rPr>
            <b/>
            <sz val="8"/>
            <color indexed="81"/>
            <rFont val="Tahoma"/>
            <family val="2"/>
          </rPr>
          <t xml:space="preserve">
8/22/2012: </t>
        </r>
        <r>
          <rPr>
            <sz val="8"/>
            <color indexed="81"/>
            <rFont val="Tahoma"/>
            <family val="2"/>
          </rPr>
          <t>Expect</t>
        </r>
        <r>
          <rPr>
            <b/>
            <sz val="8"/>
            <color indexed="81"/>
            <rFont val="Tahoma"/>
            <family val="2"/>
          </rPr>
          <t xml:space="preserve"> </t>
        </r>
        <r>
          <rPr>
            <sz val="8"/>
            <color indexed="81"/>
            <rFont val="Tahoma"/>
            <family val="2"/>
          </rPr>
          <t>inv/sf -MSD in 3Q12</t>
        </r>
      </text>
    </comment>
    <comment ref="BQ12" authorId="0">
      <text>
        <r>
          <rPr>
            <b/>
            <sz val="8"/>
            <color indexed="81"/>
            <rFont val="Tahoma"/>
            <family val="2"/>
          </rPr>
          <t>casselau:</t>
        </r>
        <r>
          <rPr>
            <sz val="8"/>
            <color indexed="81"/>
            <rFont val="Tahoma"/>
            <family val="2"/>
          </rPr>
          <t xml:space="preserve">
12/6/13: at cost per ft, +6% against -11% LY, which reflects the impact of the timing shift; excluding the timing shift inv at cost per ft +LSD
At cost per foot, inventory increased 6% against an 11% decline last year, which reflects the impact of timing shifts of merchandise receipts due to the 53rd week last year.</t>
        </r>
      </text>
    </comment>
    <comment ref="BU12" authorId="0">
      <text>
        <r>
          <rPr>
            <b/>
            <sz val="9"/>
            <color indexed="81"/>
            <rFont val="Tahoma"/>
            <family val="2"/>
          </rPr>
          <t xml:space="preserve">casselau:
</t>
        </r>
        <r>
          <rPr>
            <sz val="9"/>
            <color indexed="81"/>
            <rFont val="Tahoma"/>
            <family val="2"/>
          </rPr>
          <t>12/4/14: at cost per foot -14% (-3% ex. change in ownership terms); units per foot -13%; AUC -1%</t>
        </r>
        <r>
          <rPr>
            <b/>
            <sz val="9"/>
            <color indexed="81"/>
            <rFont val="Tahoma"/>
            <family val="2"/>
          </rPr>
          <t xml:space="preserve">
</t>
        </r>
        <r>
          <rPr>
            <sz val="9"/>
            <color indexed="81"/>
            <rFont val="Tahoma"/>
            <family val="2"/>
          </rPr>
          <t xml:space="preserve">8/20/14: cost per foot expected -LDD or -MSD ex. ownership changes
5/21/14: planning inventory down -HSD to low teens (in-line with sales)
</t>
        </r>
      </text>
    </comment>
    <comment ref="BY12" authorId="0">
      <text>
        <r>
          <rPr>
            <b/>
            <sz val="9"/>
            <color indexed="81"/>
            <rFont val="Tahoma"/>
            <family val="2"/>
          </rPr>
          <t>casselau:
12/2/15: units +4%, AUC -1%</t>
        </r>
        <r>
          <rPr>
            <sz val="9"/>
            <color indexed="81"/>
            <rFont val="Tahoma"/>
            <family val="2"/>
          </rPr>
          <t xml:space="preserve">
8/19/15: ending inv at cost expected to be ~flat</t>
        </r>
      </text>
    </comment>
    <comment ref="CC12" authorId="1">
      <text>
        <r>
          <rPr>
            <b/>
            <sz val="9"/>
            <color indexed="81"/>
            <rFont val="Tahoma"/>
            <family val="2"/>
          </rPr>
          <t xml:space="preserve">Cassel, Lauren (Research):
11/30/16: ending units -5%; AUC +8%
</t>
        </r>
        <r>
          <rPr>
            <sz val="9"/>
            <color indexed="81"/>
            <rFont val="Tahoma"/>
            <family val="2"/>
          </rPr>
          <t xml:space="preserve">
8/17/16: 3Q ending inventory at cost is expected +LSD</t>
        </r>
      </text>
    </comment>
    <comment ref="CG12" authorId="3">
      <text>
        <r>
          <rPr>
            <b/>
            <sz val="9"/>
            <color indexed="81"/>
            <rFont val="Tahoma"/>
            <family val="2"/>
          </rPr>
          <t>Roberts, Cynthia (Research):</t>
        </r>
        <r>
          <rPr>
            <sz val="9"/>
            <color indexed="81"/>
            <rFont val="Tahoma"/>
            <family val="2"/>
          </rPr>
          <t xml:space="preserve">
12/6/17: Held back an additional ~1M units to support new in-house clearance strategy.
Units +10%, AUC -2%</t>
        </r>
      </text>
    </comment>
    <comment ref="AF13" authorId="4">
      <text>
        <r>
          <rPr>
            <b/>
            <sz val="8"/>
            <color indexed="81"/>
            <rFont val="Tahoma"/>
            <family val="2"/>
          </rPr>
          <t>MB33100:</t>
        </r>
        <r>
          <rPr>
            <sz val="8"/>
            <color indexed="81"/>
            <rFont val="Tahoma"/>
            <family val="2"/>
          </rPr>
          <t xml:space="preserve">
adjusted from 138 previously, due to the company recognizing ownership at FOB port</t>
        </r>
      </text>
    </comment>
    <comment ref="BI13" authorId="0">
      <text>
        <r>
          <rPr>
            <b/>
            <sz val="8"/>
            <color indexed="81"/>
            <rFont val="Tahoma"/>
            <family val="2"/>
          </rPr>
          <t>casselau:</t>
        </r>
        <r>
          <rPr>
            <sz val="8"/>
            <color indexed="81"/>
            <rFont val="Tahoma"/>
            <family val="2"/>
          </rPr>
          <t xml:space="preserve">
at cost per foot, inv +25%; units per foot +16%; AUC change +8%; 4Q inv turn 1.44</t>
        </r>
      </text>
    </comment>
    <comment ref="BM13" authorId="0">
      <text>
        <r>
          <rPr>
            <b/>
            <sz val="8"/>
            <color indexed="81"/>
            <rFont val="Tahoma"/>
            <family val="2"/>
          </rPr>
          <t xml:space="preserve">3/6/13: </t>
        </r>
        <r>
          <rPr>
            <sz val="8"/>
            <color indexed="81"/>
            <rFont val="Tahoma"/>
            <family val="2"/>
          </rPr>
          <t>at cost per foot, inv -8%; units per foot -9%; AUC change +1%; 4Q inv turn 1.62</t>
        </r>
        <r>
          <rPr>
            <b/>
            <sz val="8"/>
            <color indexed="81"/>
            <rFont val="Tahoma"/>
            <family val="2"/>
          </rPr>
          <t xml:space="preserve">
casselau:</t>
        </r>
        <r>
          <rPr>
            <sz val="8"/>
            <color indexed="81"/>
            <rFont val="Tahoma"/>
            <family val="2"/>
          </rPr>
          <t xml:space="preserve">
11/28: 4Q ending inv cost per foot is expected to be down HSD</t>
        </r>
      </text>
    </comment>
    <comment ref="BQ13" authorId="0">
      <text>
        <r>
          <rPr>
            <b/>
            <sz val="8"/>
            <color indexed="81"/>
            <rFont val="Tahoma"/>
            <family val="2"/>
          </rPr>
          <t xml:space="preserve">casselau:
</t>
        </r>
        <r>
          <rPr>
            <sz val="8"/>
            <color indexed="81"/>
            <rFont val="Tahoma"/>
            <family val="2"/>
          </rPr>
          <t>3/11/14: cost per foot, inventory -16% driven by a change in ownership terms; excluding the change in ownership terms, ending inventory at cost per foot +HSD compared to -8% LY</t>
        </r>
        <r>
          <rPr>
            <sz val="8"/>
            <color indexed="81"/>
            <rFont val="Tahoma"/>
            <family val="2"/>
          </rPr>
          <t xml:space="preserve">
12/6/13: CC: expect year end inventory +LSD, cost per foot -HSD</t>
        </r>
      </text>
    </comment>
    <comment ref="BU13" authorId="0">
      <text>
        <r>
          <rPr>
            <sz val="9"/>
            <color indexed="81"/>
            <rFont val="Tahoma"/>
            <family val="2"/>
          </rPr>
          <t>casselau:
3/3/15: -5% cost per foot, -6% units per foot; AUC +1% 
12/4/14: ending 4Q inventory at cost per foot is expected to be up slightly, reflecting an acceleration of spring merchandise receipts, due to the West Coast port slowdown; Fall and holiday clearance expected -LDD</t>
        </r>
        <r>
          <rPr>
            <b/>
            <sz val="9"/>
            <color indexed="81"/>
            <rFont val="Tahoma"/>
            <family val="2"/>
          </rPr>
          <t xml:space="preserve">
</t>
        </r>
        <r>
          <rPr>
            <sz val="9"/>
            <color indexed="81"/>
            <rFont val="Tahoma"/>
            <family val="2"/>
          </rPr>
          <t xml:space="preserve">8/20/14: cost per foot expected -LDD or -MSD ex. ownership changes
planning inventory down -HSD to low teens (in-line with sales)
</t>
        </r>
      </text>
    </comment>
    <comment ref="BY13" authorId="0">
      <text>
        <r>
          <rPr>
            <b/>
            <sz val="9"/>
            <color indexed="81"/>
            <rFont val="Tahoma"/>
            <family val="2"/>
          </rPr>
          <t xml:space="preserve">casselau:
3/2/16: Units +6%, AUC +3%; The increase is primarily due to earlier receipts, as the company lapped last year’s delays caused by the port slow down. Inventories are well positioned, with clearance units down in the high single digits. 
</t>
        </r>
        <r>
          <rPr>
            <sz val="9"/>
            <color indexed="81"/>
            <rFont val="Tahoma"/>
            <family val="2"/>
          </rPr>
          <t xml:space="preserve">
12/2/15: Fourth quarter 2015 ending inventory at cost is expected to be up in the high single-digits. The increase is primarily due to earlier receipts, as the company laps last year’s delays caused by the port slow down (When you clear out the impact of the timing of receipts related to last year's port strike, where inventory will be up just slightly)</t>
        </r>
      </text>
    </comment>
    <comment ref="CC13" authorId="1">
      <text>
        <r>
          <rPr>
            <b/>
            <sz val="9"/>
            <color indexed="81"/>
            <rFont val="Tahoma"/>
            <family val="2"/>
          </rPr>
          <t xml:space="preserve">Cassel, Lauren (Research):
3/1/17: The average unit cost was up 13% and units increased 4% compared to last year. In-transit inventory was significantly higher due to acceleration of receipts. On-hand inventories were up 6% to last year. The inventory composition reflected an investment in AE bottoms to support better in-stocks and an increase in aerie inventory to support strong demand and new store growth. Fourth-quarter on-hand inventory was up 6% and units down 3%.
The inventory composition reflected an investment in AE bottoms to support better in-stocks of long bottoms early in the spring season and an increase in Aerie inventory to support strong demand and new store growth. The cost increase was due to a greater mix of higher ticket items, such as bottoms. Like-for-like inventory costs were down to last year as a result of benefits from various sourcing initiatives. 
</t>
        </r>
        <r>
          <rPr>
            <sz val="9"/>
            <color indexed="81"/>
            <rFont val="Tahoma"/>
            <family val="2"/>
          </rPr>
          <t xml:space="preserve">
11/30/16: inventory at cost is expected to be +HSD with units expected -MSD; strong inventory mgmt is driving units down, which is offset by an increase in AUC due to product mix and continued investment in merchandise composition</t>
        </r>
      </text>
    </comment>
    <comment ref="CG13" authorId="3">
      <text>
        <r>
          <rPr>
            <b/>
            <sz val="9"/>
            <color indexed="81"/>
            <rFont val="Tahoma"/>
            <family val="2"/>
          </rPr>
          <t xml:space="preserve">3/8/18: Total ending inventories at cost increased 11% to $398 million, reflecting investments in bottoms, women’s tops and Aerie apparel to support strong sales trends; units +13%, AUC -2%
</t>
        </r>
        <r>
          <rPr>
            <sz val="9"/>
            <color indexed="81"/>
            <rFont val="Tahoma"/>
            <family val="2"/>
          </rPr>
          <t xml:space="preserve">
12/6/17: guidance +10% driven by strategic investments in uptrending categories and changes in liquidation process and strategy.</t>
        </r>
      </text>
    </comment>
    <comment ref="A27" authorId="5">
      <text>
        <r>
          <rPr>
            <b/>
            <sz val="8"/>
            <color indexed="81"/>
            <rFont val="Tahoma"/>
            <family val="2"/>
          </rPr>
          <t>Debbie Ong:</t>
        </r>
        <r>
          <rPr>
            <sz val="8"/>
            <color indexed="81"/>
            <rFont val="Tahoma"/>
            <family val="2"/>
          </rPr>
          <t xml:space="preserve">
incl. Dividends and income taxes payable; does Not include interest-bearing debt</t>
        </r>
      </text>
    </comment>
  </commentList>
</comments>
</file>

<file path=xl/comments11.xml><?xml version="1.0" encoding="utf-8"?>
<comments xmlns="http://schemas.openxmlformats.org/spreadsheetml/2006/main">
  <authors>
    <author>Debbie Ong</author>
    <author>dong2</author>
    <author>kgreenbe</author>
    <author>Kimberly Greenberger</author>
    <author>MB33100</author>
    <author>mm98285</author>
    <author>OC48540</author>
    <author>oc48540</author>
    <author>TI23070</author>
    <author>ns66486</author>
    <author>nicholjs</author>
    <author>solejay</author>
    <author>P Kahng</author>
    <author>casselau</author>
    <author>Cassel, Lauren (Research)</author>
  </authors>
  <commentList>
    <comment ref="AD47" authorId="0">
      <text>
        <r>
          <rPr>
            <b/>
            <sz val="8"/>
            <color indexed="81"/>
            <rFont val="Tahoma"/>
            <family val="2"/>
          </rPr>
          <t>Debbie Ong:</t>
        </r>
        <r>
          <rPr>
            <sz val="8"/>
            <color indexed="81"/>
            <rFont val="Tahoma"/>
            <family val="2"/>
          </rPr>
          <t xml:space="preserve">
modeled 6.5% b4 2Q rpt</t>
        </r>
      </text>
    </comment>
    <comment ref="X48" authorId="0">
      <text>
        <r>
          <rPr>
            <b/>
            <sz val="8"/>
            <color indexed="81"/>
            <rFont val="Tahoma"/>
            <family val="2"/>
          </rPr>
          <t>Debbie Ong:</t>
        </r>
        <r>
          <rPr>
            <sz val="8"/>
            <color indexed="81"/>
            <rFont val="Tahoma"/>
            <family val="2"/>
          </rPr>
          <t xml:space="preserve">
inventory per store going into 4Q s/b 10-12%</t>
        </r>
      </text>
    </comment>
    <comment ref="AD48" authorId="0">
      <text>
        <r>
          <rPr>
            <b/>
            <sz val="8"/>
            <color indexed="81"/>
            <rFont val="Tahoma"/>
            <family val="2"/>
          </rPr>
          <t>Debbie Ong:</t>
        </r>
        <r>
          <rPr>
            <sz val="8"/>
            <color indexed="81"/>
            <rFont val="Tahoma"/>
            <family val="2"/>
          </rPr>
          <t xml:space="preserve">
inventory per store going into 4Q s/b up 4.5%</t>
        </r>
      </text>
    </comment>
    <comment ref="X55" authorId="0">
      <text>
        <r>
          <rPr>
            <b/>
            <sz val="8"/>
            <color indexed="81"/>
            <rFont val="Tahoma"/>
            <family val="2"/>
          </rPr>
          <t>Debbie Ong:</t>
        </r>
        <r>
          <rPr>
            <sz val="8"/>
            <color indexed="81"/>
            <rFont val="Tahoma"/>
            <family val="2"/>
          </rPr>
          <t xml:space="preserve">
inventory per store going into 4Q s/b 10-12%</t>
        </r>
      </text>
    </comment>
    <comment ref="AD55" authorId="1">
      <text>
        <r>
          <rPr>
            <b/>
            <sz val="8"/>
            <color indexed="81"/>
            <rFont val="Tahoma"/>
            <family val="2"/>
          </rPr>
          <t>dong2:</t>
        </r>
        <r>
          <rPr>
            <sz val="8"/>
            <color indexed="81"/>
            <rFont val="Tahoma"/>
            <family val="2"/>
          </rPr>
          <t xml:space="preserve">
8/20/01: co. indicated inventory psf to be up mid SD on a shifted calendar basis</t>
        </r>
      </text>
    </comment>
    <comment ref="AD56" authorId="1">
      <text>
        <r>
          <rPr>
            <b/>
            <sz val="8"/>
            <color indexed="81"/>
            <rFont val="Tahoma"/>
            <family val="2"/>
          </rPr>
          <t>dong2:</t>
        </r>
        <r>
          <rPr>
            <sz val="8"/>
            <color indexed="81"/>
            <rFont val="Tahoma"/>
            <family val="2"/>
          </rPr>
          <t xml:space="preserve">
co. indicated 4Q should end w. us inventory down low SD psf vs. LY. 3Q ended w/ U.S. inventory up 7.6% and total sq ft up more than that, so model flat for 4Q instead of down low SD.
2/6/02: co. indicated inventories expected to be below LY levels</t>
        </r>
      </text>
    </comment>
    <comment ref="X62" authorId="0">
      <text>
        <r>
          <rPr>
            <b/>
            <sz val="8"/>
            <color indexed="81"/>
            <rFont val="Tahoma"/>
            <family val="2"/>
          </rPr>
          <t>Debbie Ong:</t>
        </r>
        <r>
          <rPr>
            <sz val="8"/>
            <color indexed="81"/>
            <rFont val="Tahoma"/>
            <family val="2"/>
          </rPr>
          <t xml:space="preserve">
inventory per store going into 4Q s/b 10-12%</t>
        </r>
      </text>
    </comment>
    <comment ref="AD67" authorId="2">
      <text>
        <r>
          <rPr>
            <b/>
            <sz val="10"/>
            <color indexed="81"/>
            <rFont val="Tahoma"/>
            <family val="2"/>
          </rPr>
          <t>kgreenbe:</t>
        </r>
        <r>
          <rPr>
            <sz val="10"/>
            <color indexed="81"/>
            <rFont val="Tahoma"/>
            <family val="2"/>
          </rPr>
          <t xml:space="preserve">
incl early receipts of BTS denim in end of April</t>
        </r>
      </text>
    </comment>
    <comment ref="AD68" authorId="2">
      <text>
        <r>
          <rPr>
            <b/>
            <sz val="10"/>
            <color indexed="81"/>
            <rFont val="Tahoma"/>
            <family val="2"/>
          </rPr>
          <t>kgreenbe: 4/10/03</t>
        </r>
        <r>
          <rPr>
            <sz val="10"/>
            <color indexed="81"/>
            <rFont val="Tahoma"/>
            <family val="2"/>
          </rPr>
          <t xml:space="preserve">
s/b flattish to slightly down at end of 2Q &amp; thru rest of yr due to down Men's</t>
        </r>
      </text>
    </comment>
    <comment ref="X69" authorId="0">
      <text>
        <r>
          <rPr>
            <b/>
            <sz val="8"/>
            <color indexed="81"/>
            <rFont val="Tahoma"/>
            <family val="2"/>
          </rPr>
          <t>Debbie Ong:</t>
        </r>
        <r>
          <rPr>
            <sz val="8"/>
            <color indexed="81"/>
            <rFont val="Tahoma"/>
            <family val="2"/>
          </rPr>
          <t xml:space="preserve">
inventory per store going into 4Q s/b 10-12%</t>
        </r>
      </text>
    </comment>
    <comment ref="AD69" authorId="2">
      <text>
        <r>
          <rPr>
            <b/>
            <sz val="10"/>
            <color indexed="81"/>
            <rFont val="Tahoma"/>
            <family val="2"/>
          </rPr>
          <t>kgreenbe: 4/10/03</t>
        </r>
        <r>
          <rPr>
            <sz val="10"/>
            <color indexed="81"/>
            <rFont val="Tahoma"/>
            <family val="2"/>
          </rPr>
          <t xml:space="preserve">
s/b flattish to slightly down at end of 2Q &amp; thru rest of yr due to down Men's</t>
        </r>
      </text>
    </comment>
    <comment ref="AD70" authorId="2">
      <text>
        <r>
          <rPr>
            <b/>
            <sz val="10"/>
            <color indexed="81"/>
            <rFont val="Tahoma"/>
            <family val="2"/>
          </rPr>
          <t>kgreenbe: 4/10/03</t>
        </r>
        <r>
          <rPr>
            <sz val="10"/>
            <color indexed="81"/>
            <rFont val="Tahoma"/>
            <family val="2"/>
          </rPr>
          <t xml:space="preserve">
s/b flattish to slightly down at end of 2Q &amp; thru rest of yr due to down Men's</t>
        </r>
      </text>
    </comment>
    <comment ref="AD74" authorId="2">
      <text>
        <r>
          <rPr>
            <b/>
            <sz val="10"/>
            <color indexed="81"/>
            <rFont val="Tahoma"/>
            <family val="2"/>
          </rPr>
          <t>kgreenbe:</t>
        </r>
        <r>
          <rPr>
            <sz val="10"/>
            <color indexed="81"/>
            <rFont val="Tahoma"/>
            <family val="2"/>
          </rPr>
          <t xml:space="preserve">
incl early receipts of BTS denim in end of April</t>
        </r>
      </text>
    </comment>
    <comment ref="AD76" authorId="3">
      <text>
        <r>
          <rPr>
            <b/>
            <sz val="8"/>
            <color indexed="81"/>
            <rFont val="Tahoma"/>
            <family val="2"/>
          </rPr>
          <t>Kimberly Greenberger:</t>
        </r>
        <r>
          <rPr>
            <sz val="8"/>
            <color indexed="81"/>
            <rFont val="Tahoma"/>
            <family val="2"/>
          </rPr>
          <t xml:space="preserve">
11/6/04 co said +MSD on Oct sales commentary.
Changed from +3% to +5%.
8/04 sounds like AE will increase inv in 2H04 given stronger biz and early receipts of 2005 product given China Quota uncertainty.
</t>
        </r>
      </text>
    </comment>
    <comment ref="AD77" authorId="3">
      <text>
        <r>
          <rPr>
            <b/>
            <sz val="8"/>
            <color indexed="81"/>
            <rFont val="Tahoma"/>
            <family val="2"/>
          </rPr>
          <t>Kimberly Greenberger:</t>
        </r>
        <r>
          <rPr>
            <sz val="8"/>
            <color indexed="81"/>
            <rFont val="Tahoma"/>
            <family val="2"/>
          </rPr>
          <t xml:space="preserve">
11/04 co indicated +MSD inv psf EO4Q04
8/04 sounds like AE will increase inv in 2H04 given stronger biz and early receipts of 2005 product given China Quota uncertainty.</t>
        </r>
      </text>
    </comment>
    <comment ref="AD81" authorId="3">
      <text>
        <r>
          <rPr>
            <b/>
            <sz val="8"/>
            <color indexed="81"/>
            <rFont val="Tahoma"/>
            <family val="2"/>
          </rPr>
          <t>Kimberly Greenberger:</t>
        </r>
        <r>
          <rPr>
            <sz val="8"/>
            <color indexed="81"/>
            <rFont val="Tahoma"/>
            <family val="2"/>
          </rPr>
          <t xml:space="preserve">
5/05 mgmt indicated inv +MSD psf. Our calc includes BN LY, so off a little from mgmt comment</t>
        </r>
      </text>
    </comment>
    <comment ref="AD88" authorId="4">
      <text>
        <r>
          <rPr>
            <b/>
            <sz val="8"/>
            <color indexed="81"/>
            <rFont val="Tahoma"/>
            <family val="2"/>
          </rPr>
          <t>MB33100:</t>
        </r>
        <r>
          <rPr>
            <sz val="8"/>
            <color indexed="81"/>
            <rFont val="Tahoma"/>
            <family val="2"/>
          </rPr>
          <t xml:space="preserve">
2/06 guided to +LDD EO1Q06</t>
        </r>
      </text>
    </comment>
    <comment ref="AD89" authorId="5">
      <text>
        <r>
          <rPr>
            <b/>
            <sz val="8"/>
            <color indexed="81"/>
            <rFont val="Tahoma"/>
            <family val="2"/>
          </rPr>
          <t>mm98285:</t>
        </r>
        <r>
          <rPr>
            <sz val="8"/>
            <color indexed="81"/>
            <rFont val="Tahoma"/>
            <family val="2"/>
          </rPr>
          <t xml:space="preserve">
5/06: mgmt guided to +L-MSD increase in inv. psf at end of 2Q</t>
        </r>
      </text>
    </comment>
    <comment ref="AD90" authorId="4">
      <text>
        <r>
          <rPr>
            <b/>
            <sz val="8"/>
            <color indexed="81"/>
            <rFont val="Tahoma"/>
            <family val="2"/>
          </rPr>
          <t>MB33100:</t>
        </r>
        <r>
          <rPr>
            <sz val="8"/>
            <color indexed="81"/>
            <rFont val="Tahoma"/>
            <family val="2"/>
          </rPr>
          <t xml:space="preserve">
2Q Call: expect flat to +LSD</t>
        </r>
      </text>
    </comment>
    <comment ref="AD91" authorId="4">
      <text>
        <r>
          <rPr>
            <b/>
            <sz val="8"/>
            <color indexed="81"/>
            <rFont val="Tahoma"/>
            <family val="2"/>
          </rPr>
          <t>MB33100:</t>
        </r>
        <r>
          <rPr>
            <sz val="8"/>
            <color indexed="81"/>
            <rFont val="Tahoma"/>
            <family val="2"/>
          </rPr>
          <t xml:space="preserve">
3Q Call: guided to +HSD</t>
        </r>
      </text>
    </comment>
    <comment ref="AD95" authorId="5">
      <text>
        <r>
          <rPr>
            <b/>
            <sz val="8"/>
            <color indexed="81"/>
            <rFont val="Tahoma"/>
            <family val="2"/>
          </rPr>
          <t>mm98285:</t>
        </r>
        <r>
          <rPr>
            <sz val="8"/>
            <color indexed="81"/>
            <rFont val="Tahoma"/>
            <family val="2"/>
          </rPr>
          <t xml:space="preserve">
2/07: low teens</t>
        </r>
      </text>
    </comment>
    <comment ref="AD96" authorId="5">
      <text>
        <r>
          <rPr>
            <b/>
            <sz val="8"/>
            <color indexed="81"/>
            <rFont val="Tahoma"/>
            <family val="2"/>
          </rPr>
          <t xml:space="preserve">PW:
</t>
        </r>
        <r>
          <rPr>
            <sz val="8"/>
            <color indexed="81"/>
            <rFont val="Tahoma"/>
            <family val="2"/>
          </rPr>
          <t xml:space="preserve">8/07: AE brand inventory excl. Direct was up +7% at end of 2Q 
</t>
        </r>
        <r>
          <rPr>
            <b/>
            <sz val="8"/>
            <color indexed="81"/>
            <rFont val="Tahoma"/>
            <family val="2"/>
          </rPr>
          <t xml:space="preserve">
</t>
        </r>
        <r>
          <rPr>
            <sz val="8"/>
            <color indexed="81"/>
            <rFont val="Tahoma"/>
            <family val="2"/>
          </rPr>
          <t>no update to +HSD to +L-teens end of 2Q on July sales call</t>
        </r>
        <r>
          <rPr>
            <b/>
            <sz val="8"/>
            <color indexed="81"/>
            <rFont val="Tahoma"/>
            <family val="2"/>
          </rPr>
          <t xml:space="preserve">
mm98285:</t>
        </r>
        <r>
          <rPr>
            <sz val="8"/>
            <color indexed="81"/>
            <rFont val="Tahoma"/>
            <family val="2"/>
          </rPr>
          <t xml:space="preserve">
5/07: +HSD to +L-teens eo 2Q</t>
        </r>
      </text>
    </comment>
    <comment ref="AD97" authorId="5">
      <text>
        <r>
          <rPr>
            <b/>
            <sz val="8"/>
            <color indexed="81"/>
            <rFont val="Tahoma"/>
            <family val="2"/>
          </rPr>
          <t>mm98285:</t>
        </r>
        <r>
          <rPr>
            <sz val="8"/>
            <color indexed="81"/>
            <rFont val="Tahoma"/>
            <family val="2"/>
          </rPr>
          <t xml:space="preserve">
8/07: expect +HSD-LDD at eo 3Q</t>
        </r>
      </text>
    </comment>
    <comment ref="AD98" authorId="6">
      <text>
        <r>
          <rPr>
            <b/>
            <sz val="8"/>
            <color indexed="81"/>
            <rFont val="Tahoma"/>
            <family val="2"/>
          </rPr>
          <t>OC48540:</t>
        </r>
        <r>
          <rPr>
            <sz val="8"/>
            <color indexed="81"/>
            <rFont val="Tahoma"/>
            <family val="2"/>
          </rPr>
          <t xml:space="preserve">
11/27: Expects -LSD
2/6: Expects -LSD</t>
        </r>
      </text>
    </comment>
    <comment ref="AD102" authorId="6">
      <text>
        <r>
          <rPr>
            <b/>
            <sz val="8"/>
            <color indexed="81"/>
            <rFont val="Tahoma"/>
            <family val="2"/>
          </rPr>
          <t xml:space="preserve">OC48540:
</t>
        </r>
        <r>
          <rPr>
            <sz val="8"/>
            <color indexed="81"/>
            <rFont val="Tahoma"/>
            <family val="2"/>
          </rPr>
          <t>5/8/08: No update to -HSD &amp; Comf. With inv. levels entering 2Q</t>
        </r>
        <r>
          <rPr>
            <sz val="8"/>
            <color indexed="81"/>
            <rFont val="Tahoma"/>
            <family val="2"/>
          </rPr>
          <t xml:space="preserve">
3/08: Expects -HSD</t>
        </r>
      </text>
    </comment>
    <comment ref="AD103" authorId="6">
      <text>
        <r>
          <rPr>
            <b/>
            <sz val="8"/>
            <color indexed="81"/>
            <rFont val="Tahoma"/>
            <family val="2"/>
          </rPr>
          <t xml:space="preserve">OC48540:
</t>
        </r>
        <r>
          <rPr>
            <sz val="8"/>
            <color indexed="81"/>
            <rFont val="Tahoma"/>
            <family val="2"/>
          </rPr>
          <t>5/28: Expects -LDD (no update)</t>
        </r>
        <r>
          <rPr>
            <sz val="8"/>
            <color indexed="81"/>
            <rFont val="Tahoma"/>
            <family val="2"/>
          </rPr>
          <t xml:space="preserve">
3/08: Expects -LDD trend… maybe not on B/S</t>
        </r>
      </text>
    </comment>
    <comment ref="AD104" authorId="7">
      <text>
        <r>
          <rPr>
            <b/>
            <sz val="8"/>
            <color indexed="81"/>
            <rFont val="Tahoma"/>
            <family val="2"/>
          </rPr>
          <t>oc48540:</t>
        </r>
        <r>
          <rPr>
            <sz val="8"/>
            <color indexed="81"/>
            <rFont val="Tahoma"/>
            <family val="2"/>
          </rPr>
          <t xml:space="preserve">
11/08: "Inventory is consistent with expectations"
10/08: -LDD (average weekly inventory)
9/4/08: -LDD
8/26: 
-LDD</t>
        </r>
      </text>
    </comment>
    <comment ref="AD105" authorId="7">
      <text>
        <r>
          <rPr>
            <b/>
            <sz val="8"/>
            <color indexed="81"/>
            <rFont val="Tahoma"/>
            <family val="2"/>
          </rPr>
          <t>oc48540:
2/09: -LDD "average weekly inventory"
1/09: no change to -LDD "average weekly inventory"
11/25: -LDD 4q "average weekly inventory"
8/26:</t>
        </r>
        <r>
          <rPr>
            <sz val="8"/>
            <color indexed="81"/>
            <rFont val="Tahoma"/>
            <family val="2"/>
          </rPr>
          <t xml:space="preserve">
continue with same approach through 4Q</t>
        </r>
      </text>
    </comment>
    <comment ref="AD109" authorId="8">
      <text>
        <r>
          <rPr>
            <sz val="8"/>
            <color indexed="81"/>
            <rFont val="Tahoma"/>
            <family val="2"/>
          </rPr>
          <t xml:space="preserve">5/09: No update to expects 1Q average weekly inventory to be -MSD
4/9/09: No update to expects 1Q average weekly inventory to be -MSD
3/11: Lean LY inventory could make further reductions challenging, hence our estimate for a ~-LSD decline at the end of 1Q09.  </t>
        </r>
        <r>
          <rPr>
            <b/>
            <sz val="8"/>
            <color indexed="81"/>
            <rFont val="Tahoma"/>
            <family val="2"/>
          </rPr>
          <t xml:space="preserve">
TI23070:
3/09: 1Q receipts bought in July
</t>
        </r>
        <r>
          <rPr>
            <sz val="8"/>
            <color indexed="81"/>
            <rFont val="Tahoma"/>
            <family val="2"/>
          </rPr>
          <t xml:space="preserve">
3/09: Expect Inventory psf at end of 1Q to be down</t>
        </r>
      </text>
    </comment>
    <comment ref="AD110" authorId="7">
      <text>
        <r>
          <rPr>
            <b/>
            <sz val="8"/>
            <color indexed="81"/>
            <rFont val="Tahoma"/>
            <family val="2"/>
          </rPr>
          <t>oc48540:</t>
        </r>
        <r>
          <rPr>
            <sz val="8"/>
            <color indexed="81"/>
            <rFont val="Tahoma"/>
            <family val="2"/>
          </rPr>
          <t xml:space="preserve">
8/09: No update to comment below
7/09: no update to comment below
5/27:
Plans 2Q’s average weekly inventory –HSD for AE brand &amp; +DD for aerie (driven by expansion of bra styles) yielding a consol. 2Q09 avg. weekly plan of –LSD. </t>
        </r>
      </text>
    </comment>
    <comment ref="AD111" authorId="8">
      <text>
        <r>
          <rPr>
            <b/>
            <sz val="8"/>
            <color indexed="81"/>
            <rFont val="Tahoma"/>
            <family val="2"/>
          </rPr>
          <t xml:space="preserve">TI23070:
</t>
        </r>
        <r>
          <rPr>
            <sz val="8"/>
            <color indexed="81"/>
            <rFont val="Tahoma"/>
            <family val="2"/>
          </rPr>
          <t>11/09: no update, we est +MSD</t>
        </r>
        <r>
          <rPr>
            <b/>
            <sz val="8"/>
            <color indexed="81"/>
            <rFont val="Tahoma"/>
            <family val="2"/>
          </rPr>
          <t xml:space="preserve">
</t>
        </r>
        <r>
          <rPr>
            <sz val="8"/>
            <color indexed="81"/>
            <rFont val="Tahoma"/>
            <family val="2"/>
          </rPr>
          <t>10/09: no update</t>
        </r>
        <r>
          <rPr>
            <sz val="8"/>
            <color indexed="81"/>
            <rFont val="Tahoma"/>
            <family val="2"/>
          </rPr>
          <t xml:space="preserve">
9/09: Expect consolidated 3Q total avg. weekly inventory -LSD on a cost psf basis on -HSD for AE brand and increases at aerie (due to expanded category offerings).
8/09: Expect average weekly inventory on a cost-per-square-foot basis down –HSD for the AE brand, while aerie is planned to increase due to expanded category offerings. Consolidated 3Q total average weekly inventory is planned -LSD on a cost-per-square-foot basis.</t>
        </r>
      </text>
    </comment>
    <comment ref="AD112" authorId="7">
      <text>
        <r>
          <rPr>
            <b/>
            <sz val="8"/>
            <color indexed="81"/>
            <rFont val="Tahoma"/>
            <family val="2"/>
          </rPr>
          <t xml:space="preserve">QTR end:  reported inventory psf +8% 
2/10: </t>
        </r>
        <r>
          <rPr>
            <sz val="8"/>
            <color indexed="81"/>
            <rFont val="Tahoma"/>
            <family val="2"/>
          </rPr>
          <t>Ended quarter with Inventories in'line with expectations, prior guidance of average weekly inventory +MSD</t>
        </r>
        <r>
          <rPr>
            <b/>
            <sz val="8"/>
            <color indexed="81"/>
            <rFont val="Tahoma"/>
            <family val="2"/>
          </rPr>
          <t xml:space="preserve">
1/10: </t>
        </r>
        <r>
          <rPr>
            <sz val="8"/>
            <color indexed="81"/>
            <rFont val="Tahoma"/>
            <family val="2"/>
          </rPr>
          <t>no update to average weekly inventory +MSD. remain comfortable with 4Q inventory position with increased weighting in strong performing businesses (denim and woven shirts)</t>
        </r>
        <r>
          <rPr>
            <b/>
            <sz val="8"/>
            <color indexed="81"/>
            <rFont val="Tahoma"/>
            <family val="2"/>
          </rPr>
          <t xml:space="preserve">
12/09: </t>
        </r>
        <r>
          <rPr>
            <sz val="8"/>
            <color indexed="81"/>
            <rFont val="Tahoma"/>
            <family val="2"/>
          </rPr>
          <t>no update to average weekly inventory +MSD. remain comfortable with 4Q inventory position with increased weighting in strong performing businesses (denim and woven shirts)</t>
        </r>
        <r>
          <rPr>
            <b/>
            <sz val="8"/>
            <color indexed="81"/>
            <rFont val="Tahoma"/>
            <family val="2"/>
          </rPr>
          <t xml:space="preserve">
11/24: </t>
        </r>
        <r>
          <rPr>
            <sz val="8"/>
            <color indexed="81"/>
            <rFont val="Tahoma"/>
            <family val="2"/>
          </rPr>
          <t>4Q average weekly inventory per foot is expected to be up in the mid single digits  driven by an increase in AE denim, a year round category, which is performing extremely well.  Excluding denim, fourth quarter average weekly inventories are flat to last year</t>
        </r>
      </text>
    </comment>
    <comment ref="AD116" authorId="9">
      <text>
        <r>
          <rPr>
            <b/>
            <sz val="8"/>
            <color indexed="81"/>
            <rFont val="Tahoma"/>
            <family val="2"/>
          </rPr>
          <t>ns66486:</t>
        </r>
        <r>
          <rPr>
            <sz val="8"/>
            <color indexed="81"/>
            <rFont val="Tahoma"/>
            <family val="2"/>
          </rPr>
          <t xml:space="preserve">
5/10: no update to prior
4/10: no update to prior
3/10:  guides avg weekly inventory +MSD at cost/psf, flat ex-denim and total units flat</t>
        </r>
      </text>
    </comment>
    <comment ref="AD117" authorId="8">
      <text>
        <r>
          <rPr>
            <b/>
            <sz val="8"/>
            <color indexed="81"/>
            <rFont val="Tahoma"/>
            <family val="2"/>
          </rPr>
          <t>TI23070:</t>
        </r>
        <r>
          <rPr>
            <sz val="8"/>
            <color indexed="81"/>
            <rFont val="Tahoma"/>
            <family val="2"/>
          </rPr>
          <t xml:space="preserve">
reported +1% psf, with clearance inventory down
6/10: +LDD average weekly basis 2Q</t>
        </r>
      </text>
    </comment>
    <comment ref="AD118" authorId="10">
      <text>
        <r>
          <rPr>
            <b/>
            <sz val="8"/>
            <color indexed="81"/>
            <rFont val="Tahoma"/>
            <family val="2"/>
          </rPr>
          <t>nicholjs:</t>
        </r>
        <r>
          <rPr>
            <sz val="8"/>
            <color indexed="81"/>
            <rFont val="Tahoma"/>
            <family val="2"/>
          </rPr>
          <t xml:space="preserve">
11/10: avg weekly 3Q inventories are consistent w/ plan
8/10: expect 3Q average weekly inventory psf down -MSD</t>
        </r>
      </text>
    </comment>
    <comment ref="AD119" authorId="10">
      <text>
        <r>
          <rPr>
            <b/>
            <sz val="8"/>
            <color indexed="81"/>
            <rFont val="Tahoma"/>
            <family val="2"/>
          </rPr>
          <t>nicholjs:</t>
        </r>
        <r>
          <rPr>
            <sz val="8"/>
            <color indexed="81"/>
            <rFont val="Tahoma"/>
            <family val="2"/>
          </rPr>
          <t xml:space="preserve">
reported inventory psf -7%
2/11: Successfully cleared through holiday merchandise; ending inventory levels including clearance are in line with –HSD plan and well below LY
2/11: inventories in line with plan and well below last year (could be down more than HSD)
1/11: inventories were well controlled throughout the quarter and we are currently clearing through holiday merchandise, expect to enter the Spring season with inventories current and on plan
12/10: consolidated inventory levels on plan and well positioned for remainder of holiday season
11/10: expect avg weekly inventories -HSD
8/10: expect down</t>
        </r>
      </text>
    </comment>
    <comment ref="AD123" authorId="10">
      <text>
        <r>
          <rPr>
            <b/>
            <sz val="8"/>
            <color indexed="81"/>
            <rFont val="Tahoma"/>
            <family val="2"/>
          </rPr>
          <t>nicholjs:</t>
        </r>
        <r>
          <rPr>
            <sz val="8"/>
            <color indexed="81"/>
            <rFont val="Tahoma"/>
            <family val="2"/>
          </rPr>
          <t xml:space="preserve">
1Q ending inventory at cost per foot was flat to LY.
3/2011: units likely down about -8%, with costs about flat
3/2011: plan average weekly inventory psf -HSD</t>
        </r>
      </text>
    </comment>
    <comment ref="AD124" authorId="10">
      <text>
        <r>
          <rPr>
            <sz val="8"/>
            <color indexed="81"/>
            <rFont val="Tahoma"/>
            <family val="2"/>
          </rPr>
          <t>Total inventory increased +35% vs. LY, or +30% at cost per square foot. Units per foot increased 15%, while higher product costs drove the other half of the increase on a per square foot basis.</t>
        </r>
        <r>
          <rPr>
            <b/>
            <sz val="8"/>
            <color indexed="81"/>
            <rFont val="Tahoma"/>
            <family val="2"/>
          </rPr>
          <t xml:space="preserve">
nicholjs:</t>
        </r>
        <r>
          <rPr>
            <sz val="8"/>
            <color indexed="81"/>
            <rFont val="Tahoma"/>
            <family val="2"/>
          </rPr>
          <t xml:space="preserve">
expect 2Q average weekly inventory per foot +HSD for the apparel business, with units -LSD.  Including accessories, expect total inventory +LDD with units increasing +LSD. BTS cost increases +8-9%
3/2011 (Judy): will likely see less of a unit inventory decline, costs still about flat</t>
        </r>
      </text>
    </comment>
    <comment ref="L125" authorId="11">
      <text>
        <r>
          <rPr>
            <b/>
            <sz val="8"/>
            <color indexed="81"/>
            <rFont val="Tahoma"/>
            <family val="2"/>
          </rPr>
          <t>solejay:</t>
        </r>
        <r>
          <rPr>
            <sz val="8"/>
            <color indexed="81"/>
            <rFont val="Tahoma"/>
            <family val="2"/>
          </rPr>
          <t xml:space="preserve">
11/2011: inventory units were up 20%.  Product cost increases were in the low to mid teens.  Expect that to continue into 1H12</t>
        </r>
      </text>
    </comment>
    <comment ref="AD125" authorId="10">
      <text>
        <r>
          <rPr>
            <sz val="8"/>
            <color indexed="81"/>
            <rFont val="Tahoma"/>
            <family val="2"/>
          </rPr>
          <t>11/30/2011: Total merchandise inventories at the end of the third quarter were $572 million, an increase of 35% on a cost per foot basis, compared to last year. Units per foot increased 20%, due to the company’s key item strategy and planned expansion of accessory shops to 400 stores for the holiday season. The inventory position also reflects the impact of higher product costs. (1/2 of 20% 3Q unit increase is accessories )
6/9/2011: call w/ Judy.  likely buying units up in the 2H because of accessories, chasing key categories, and cycling declines from LY.  then cost increases as well.
5/2011: 2H cost increases +mid-teen
3/2011 (Judy follow up): units likely down but also cycling big unit inventory declines from LY and seeing cost increases beginning in BTS, which probably drive total inventory psf up
3/2011: expect 3Q unit inventory down</t>
        </r>
      </text>
    </comment>
    <comment ref="AD126" authorId="10">
      <text>
        <r>
          <rPr>
            <sz val="8"/>
            <color indexed="81"/>
            <rFont val="Tahoma"/>
            <family val="2"/>
          </rPr>
          <t xml:space="preserve">3/7/12: up 24% on cost/sqft due to HSD increase in AUC.
12/1/2011 (Judy follow up):  4Q in INV peak. 1/2 of 20% 3Q increase is accessories 
11/30/2011: 
Fourth quarter average weekly inventory levels are planned similar to third quarter to support peak holiday shopping periods during November and December. As we look forward to next year, we expect the inventory increase to moderate compared to the back half of 2011.
3/2011 (Judy follow up): units likely down but also cycling big unit inventory declines from LY and seeing cost increases beginning in BTS, which probably drive total inventory psf up
</t>
        </r>
      </text>
    </comment>
    <comment ref="AD130" authorId="11">
      <text>
        <r>
          <rPr>
            <b/>
            <sz val="8"/>
            <color indexed="81"/>
            <rFont val="Tahoma"/>
            <family val="2"/>
          </rPr>
          <t xml:space="preserve">5/23/12: </t>
        </r>
        <r>
          <rPr>
            <sz val="8"/>
            <color indexed="81"/>
            <rFont val="Tahoma"/>
            <family val="2"/>
          </rPr>
          <t>reported inv of cost per foot up 14% related to unit increases, with slight decline in cost</t>
        </r>
        <r>
          <rPr>
            <b/>
            <sz val="8"/>
            <color indexed="81"/>
            <rFont val="Tahoma"/>
            <family val="2"/>
          </rPr>
          <t xml:space="preserve">
3/7/12: </t>
        </r>
        <r>
          <rPr>
            <sz val="8"/>
            <color indexed="81"/>
            <rFont val="Tahoma"/>
            <family val="2"/>
          </rPr>
          <t>1Q inv cost expected to moderate compared to back half of 2011 and cost/ft planned to increase to mid-teens. Was prev forecast at 25%</t>
        </r>
        <r>
          <rPr>
            <b/>
            <sz val="8"/>
            <color indexed="81"/>
            <rFont val="Tahoma"/>
            <family val="2"/>
          </rPr>
          <t xml:space="preserve">
solejay:</t>
        </r>
        <r>
          <rPr>
            <sz val="8"/>
            <color indexed="81"/>
            <rFont val="Tahoma"/>
            <family val="2"/>
          </rPr>
          <t xml:space="preserve">
11/2011:  Product cost increases were in the low to mid teens in 2H11.  Expect that to continue into 1H12</t>
        </r>
      </text>
    </comment>
    <comment ref="AD131" authorId="11">
      <text>
        <r>
          <rPr>
            <b/>
            <sz val="8"/>
            <color indexed="81"/>
            <rFont val="Tahoma"/>
            <family val="2"/>
          </rPr>
          <t xml:space="preserve">8/22/2012: </t>
        </r>
        <r>
          <rPr>
            <sz val="8"/>
            <color indexed="81"/>
            <rFont val="Tahoma"/>
            <family val="2"/>
          </rPr>
          <t>+3% / sf on cost basis</t>
        </r>
        <r>
          <rPr>
            <b/>
            <sz val="8"/>
            <color indexed="81"/>
            <rFont val="Tahoma"/>
            <family val="2"/>
          </rPr>
          <t xml:space="preserve">
5/23/12 kahng: </t>
        </r>
        <r>
          <rPr>
            <sz val="8"/>
            <color indexed="81"/>
            <rFont val="Tahoma"/>
            <family val="2"/>
          </rPr>
          <t>expected to increase MSD</t>
        </r>
        <r>
          <rPr>
            <b/>
            <sz val="8"/>
            <color indexed="81"/>
            <rFont val="Tahoma"/>
            <family val="2"/>
          </rPr>
          <t xml:space="preserve">
</t>
        </r>
        <r>
          <rPr>
            <b/>
            <sz val="8"/>
            <color indexed="81"/>
            <rFont val="Tahoma"/>
            <family val="2"/>
          </rPr>
          <t xml:space="preserve">solejay 11/2011:  </t>
        </r>
        <r>
          <rPr>
            <sz val="8"/>
            <color indexed="81"/>
            <rFont val="Tahoma"/>
            <family val="2"/>
          </rPr>
          <t>Product cost increases were in the low to mid teens in 2H11.  Expect that to continue into 1H12</t>
        </r>
      </text>
    </comment>
    <comment ref="AD132" authorId="12">
      <text>
        <r>
          <rPr>
            <b/>
            <sz val="8"/>
            <color indexed="81"/>
            <rFont val="Tahoma"/>
            <family val="2"/>
          </rPr>
          <t xml:space="preserve">11/28: </t>
        </r>
        <r>
          <rPr>
            <sz val="8"/>
            <color indexed="81"/>
            <rFont val="Tahoma"/>
            <family val="2"/>
          </rPr>
          <t>inventory at cost per foot -11% due to a decline in units and average cost</t>
        </r>
        <r>
          <rPr>
            <b/>
            <sz val="8"/>
            <color indexed="81"/>
            <rFont val="Tahoma"/>
            <family val="2"/>
          </rPr>
          <t xml:space="preserve">
8/22/2012: </t>
        </r>
        <r>
          <rPr>
            <sz val="8"/>
            <color indexed="81"/>
            <rFont val="Tahoma"/>
            <family val="2"/>
          </rPr>
          <t>Expect +MSD% cost per ft driven by lower AUC and lower units</t>
        </r>
        <r>
          <rPr>
            <b/>
            <sz val="8"/>
            <color indexed="81"/>
            <rFont val="Tahoma"/>
            <family val="2"/>
          </rPr>
          <t xml:space="preserve">
5/23/12 pk: </t>
        </r>
        <r>
          <rPr>
            <sz val="8"/>
            <color indexed="81"/>
            <rFont val="Tahoma"/>
            <family val="2"/>
          </rPr>
          <t>inventory down in the mid teens in the back half. Down low single on units</t>
        </r>
      </text>
    </comment>
    <comment ref="F133" authorId="13">
      <text>
        <r>
          <rPr>
            <b/>
            <sz val="8"/>
            <color indexed="81"/>
            <rFont val="Tahoma"/>
            <family val="2"/>
          </rPr>
          <t>casselau:</t>
        </r>
        <r>
          <rPr>
            <sz val="8"/>
            <color indexed="81"/>
            <rFont val="Tahoma"/>
            <family val="2"/>
          </rPr>
          <t xml:space="preserve">
at cost per foot, inv -8%; units per foot -9%; AUC change +1%</t>
        </r>
      </text>
    </comment>
    <comment ref="AD133" authorId="12">
      <text>
        <r>
          <rPr>
            <b/>
            <sz val="8"/>
            <color indexed="81"/>
            <rFont val="Tahoma"/>
            <family val="2"/>
          </rPr>
          <t>11/28:</t>
        </r>
        <r>
          <rPr>
            <sz val="8"/>
            <color indexed="81"/>
            <rFont val="Tahoma"/>
            <family val="2"/>
          </rPr>
          <t xml:space="preserve"> expect ending inventory cost psf to be down HSD</t>
        </r>
        <r>
          <rPr>
            <b/>
            <sz val="8"/>
            <color indexed="81"/>
            <rFont val="Tahoma"/>
            <family val="2"/>
          </rPr>
          <t xml:space="preserve">
5/23/12 pk: </t>
        </r>
        <r>
          <rPr>
            <sz val="8"/>
            <color indexed="81"/>
            <rFont val="Tahoma"/>
            <family val="2"/>
          </rPr>
          <t>inventory down in the mid teens in the back half. Down low single on units</t>
        </r>
      </text>
    </comment>
    <comment ref="AD137" authorId="11">
      <text>
        <r>
          <rPr>
            <b/>
            <sz val="8"/>
            <color indexed="81"/>
            <rFont val="Tahoma"/>
            <family val="2"/>
          </rPr>
          <t xml:space="preserve">5/23/12: </t>
        </r>
        <r>
          <rPr>
            <sz val="8"/>
            <color indexed="81"/>
            <rFont val="Tahoma"/>
            <family val="2"/>
          </rPr>
          <t>reported inv of cost per foot up 14% related to unit increases, with slight decline in cost</t>
        </r>
        <r>
          <rPr>
            <b/>
            <sz val="8"/>
            <color indexed="81"/>
            <rFont val="Tahoma"/>
            <family val="2"/>
          </rPr>
          <t xml:space="preserve">
3/7/12: </t>
        </r>
        <r>
          <rPr>
            <sz val="8"/>
            <color indexed="81"/>
            <rFont val="Tahoma"/>
            <family val="2"/>
          </rPr>
          <t>1Q inv cost expected to moderate compared to back half of 2011 and cost/ft planned to increase to mid-teens. Was prev forecast at 25%</t>
        </r>
        <r>
          <rPr>
            <b/>
            <sz val="8"/>
            <color indexed="81"/>
            <rFont val="Tahoma"/>
            <family val="2"/>
          </rPr>
          <t xml:space="preserve">
solejay:</t>
        </r>
        <r>
          <rPr>
            <sz val="8"/>
            <color indexed="81"/>
            <rFont val="Tahoma"/>
            <family val="2"/>
          </rPr>
          <t xml:space="preserve">
11/2011:  Product cost increases were in the low to mid teens in 2H11.  Expect that to continue into 1H12</t>
        </r>
      </text>
    </comment>
    <comment ref="AD138" authorId="13">
      <text>
        <r>
          <rPr>
            <b/>
            <sz val="8"/>
            <color indexed="81"/>
            <rFont val="Tahoma"/>
            <family val="2"/>
          </rPr>
          <t>casselau:</t>
        </r>
        <r>
          <rPr>
            <sz val="8"/>
            <color indexed="81"/>
            <rFont val="Tahoma"/>
            <family val="2"/>
          </rPr>
          <t xml:space="preserve">
5/22/13: 2Q ending inventory cost per foot is expected to -LSD</t>
        </r>
      </text>
    </comment>
    <comment ref="AD139" authorId="13">
      <text>
        <r>
          <rPr>
            <b/>
            <sz val="8"/>
            <color indexed="81"/>
            <rFont val="Tahoma"/>
            <family val="2"/>
          </rPr>
          <t xml:space="preserve">casselau:
12/6/13:  </t>
        </r>
        <r>
          <rPr>
            <sz val="8"/>
            <color indexed="81"/>
            <rFont val="Tahoma"/>
            <family val="2"/>
          </rPr>
          <t>at cost per ft, +6% against -11% LY, which reflects the impact of the timing shift; excluding the timing shift inv at cost per ft +LSD</t>
        </r>
        <r>
          <rPr>
            <sz val="8"/>
            <color indexed="81"/>
            <rFont val="Tahoma"/>
            <family val="2"/>
          </rPr>
          <t xml:space="preserve">
8/21/13: we expect 3Q ending inventory
at cost per foot to be up slightly against a decline of 12% last year.</t>
        </r>
      </text>
    </comment>
    <comment ref="AD140" authorId="13">
      <text>
        <r>
          <rPr>
            <b/>
            <sz val="8"/>
            <color indexed="81"/>
            <rFont val="Tahoma"/>
            <family val="2"/>
          </rPr>
          <t>casselau:</t>
        </r>
        <r>
          <rPr>
            <sz val="8"/>
            <color indexed="81"/>
            <rFont val="Tahoma"/>
            <family val="2"/>
          </rPr>
          <t xml:space="preserve">
</t>
        </r>
        <r>
          <rPr>
            <b/>
            <sz val="8"/>
            <color indexed="81"/>
            <rFont val="Tahoma"/>
            <family val="2"/>
          </rPr>
          <t>12/6/13:</t>
        </r>
        <r>
          <rPr>
            <sz val="8"/>
            <color indexed="81"/>
            <rFont val="Tahoma"/>
            <family val="2"/>
          </rPr>
          <t xml:space="preserve"> CC: expect year end inventory +LSD, cost per foot -HSD</t>
        </r>
      </text>
    </comment>
    <comment ref="AD144" authorId="13">
      <text>
        <r>
          <rPr>
            <b/>
            <sz val="9"/>
            <color indexed="81"/>
            <rFont val="Tahoma"/>
            <family val="2"/>
          </rPr>
          <t>casselau:</t>
        </r>
        <r>
          <rPr>
            <sz val="9"/>
            <color indexed="81"/>
            <rFont val="Tahoma"/>
            <family val="2"/>
          </rPr>
          <t xml:space="preserve">
5/21/14: inventory at cost per foot -7%</t>
        </r>
      </text>
    </comment>
    <comment ref="AD146" authorId="13">
      <text>
        <r>
          <rPr>
            <b/>
            <sz val="9"/>
            <color indexed="81"/>
            <rFont val="Tahoma"/>
            <family val="2"/>
          </rPr>
          <t>casselau:</t>
        </r>
        <r>
          <rPr>
            <sz val="9"/>
            <color indexed="81"/>
            <rFont val="Tahoma"/>
            <family val="2"/>
          </rPr>
          <t xml:space="preserve">
cost per foot -14%, units per foot -13%, AUC -1% y/y</t>
        </r>
      </text>
    </comment>
    <comment ref="AD147" authorId="13">
      <text>
        <r>
          <rPr>
            <sz val="9"/>
            <color indexed="81"/>
            <rFont val="Tahoma"/>
            <family val="2"/>
          </rPr>
          <t>casselau:
3/3/15: -5% cost per foot, -6% units per foot; AUC +1% 
12/4/14: ending 4Q inventory at cost per foot is expected to be up slightly, reflecting an acceleration of spring merchandise receipts, due to the West Coast port slowdown; Fall and holiday clearance expected -LDD</t>
        </r>
        <r>
          <rPr>
            <b/>
            <sz val="9"/>
            <color indexed="81"/>
            <rFont val="Tahoma"/>
            <family val="2"/>
          </rPr>
          <t xml:space="preserve">
</t>
        </r>
        <r>
          <rPr>
            <sz val="9"/>
            <color indexed="81"/>
            <rFont val="Tahoma"/>
            <family val="2"/>
          </rPr>
          <t xml:space="preserve">8/20/14: cost per foot expected -LDD or -MSD ex. ownership changes
planning inventory down -HSD to low teens (in-line with sales)
</t>
        </r>
      </text>
    </comment>
    <comment ref="AD151" authorId="13">
      <text>
        <r>
          <rPr>
            <b/>
            <sz val="9"/>
            <color indexed="81"/>
            <rFont val="Tahoma"/>
            <family val="2"/>
          </rPr>
          <t>casselau:</t>
        </r>
        <r>
          <rPr>
            <sz val="9"/>
            <color indexed="81"/>
            <rFont val="Tahoma"/>
            <family val="2"/>
          </rPr>
          <t xml:space="preserve">
5/21/14: inventory at cost per foot -7%</t>
        </r>
      </text>
    </comment>
    <comment ref="AD152" authorId="13">
      <text>
        <r>
          <rPr>
            <b/>
            <sz val="9"/>
            <color indexed="81"/>
            <rFont val="Tahoma"/>
            <family val="2"/>
          </rPr>
          <t>casselau:
8/19/15: inventory at cost per foot +5%, consistent with guidance and below our sales growth rate</t>
        </r>
        <r>
          <rPr>
            <sz val="9"/>
            <color indexed="81"/>
            <rFont val="Tahoma"/>
            <family val="2"/>
          </rPr>
          <t xml:space="preserve">
5/20/15: ending inventory at cost per foot is expected to be +MSD due to merchandise investments and positive sales trends</t>
        </r>
      </text>
    </comment>
    <comment ref="AD153" authorId="13">
      <text>
        <r>
          <rPr>
            <b/>
            <sz val="9"/>
            <color indexed="81"/>
            <rFont val="Tahoma"/>
            <family val="2"/>
          </rPr>
          <t>casselau:</t>
        </r>
        <r>
          <rPr>
            <sz val="9"/>
            <color indexed="81"/>
            <rFont val="Tahoma"/>
            <family val="2"/>
          </rPr>
          <t xml:space="preserve">
8/19/15: ending inv at cost expected to be ~flat</t>
        </r>
      </text>
    </comment>
    <comment ref="AD154" authorId="13">
      <text>
        <r>
          <rPr>
            <b/>
            <sz val="9"/>
            <color indexed="81"/>
            <rFont val="Tahoma"/>
            <family val="2"/>
          </rPr>
          <t>casselau:</t>
        </r>
        <r>
          <rPr>
            <sz val="9"/>
            <color indexed="81"/>
            <rFont val="Tahoma"/>
            <family val="2"/>
          </rPr>
          <t xml:space="preserve">
12/2/15: Fourth quarter 2015 ending inventory at cost is expected to be up in the high single-digits. The increase is primarily due to earlier receipts, as the company laps last year’s delays caused by the port slow down (When you clear out the impact of the timing of receipts related to last year's port strike, where inventory will be up just slightly)</t>
        </r>
      </text>
    </comment>
    <comment ref="AD159" authorId="14">
      <text>
        <r>
          <rPr>
            <b/>
            <sz val="9"/>
            <color indexed="81"/>
            <rFont val="Tahoma"/>
            <family val="2"/>
          </rPr>
          <t>Cassel, Lauren (Research):</t>
        </r>
        <r>
          <rPr>
            <sz val="9"/>
            <color indexed="81"/>
            <rFont val="Tahoma"/>
            <family val="2"/>
          </rPr>
          <t xml:space="preserve">
5/18/16: Second quarter 2016 ending inventory at cost is expected to be approximately flat. </t>
        </r>
      </text>
    </comment>
    <comment ref="AD160" authorId="14">
      <text>
        <r>
          <rPr>
            <b/>
            <sz val="9"/>
            <color indexed="81"/>
            <rFont val="Tahoma"/>
            <family val="2"/>
          </rPr>
          <t>Cassel, Lauren (Research):</t>
        </r>
        <r>
          <rPr>
            <sz val="9"/>
            <color indexed="81"/>
            <rFont val="Tahoma"/>
            <family val="2"/>
          </rPr>
          <t xml:space="preserve">
8/17/16: 3Q ending inventory at cost is expected +LSD</t>
        </r>
      </text>
    </comment>
    <comment ref="AD161" authorId="14">
      <text>
        <r>
          <rPr>
            <b/>
            <sz val="9"/>
            <color indexed="81"/>
            <rFont val="Tahoma"/>
            <family val="2"/>
          </rPr>
          <t>Cassel, Lauren (Research):</t>
        </r>
        <r>
          <rPr>
            <sz val="9"/>
            <color indexed="81"/>
            <rFont val="Tahoma"/>
            <family val="2"/>
          </rPr>
          <t xml:space="preserve">
11/30/16: inventory at cost is expected to be +HSD with units expected -MSD; strong inventory mgmt is driving units down, which is offset by an increase in AUC due to product mix and continued investment in merchandise composition</t>
        </r>
      </text>
    </comment>
    <comment ref="AD166" authorId="14">
      <text>
        <r>
          <rPr>
            <b/>
            <sz val="9"/>
            <color indexed="81"/>
            <rFont val="Tahoma"/>
            <family val="2"/>
          </rPr>
          <t>Cassel, Lauren (Research):</t>
        </r>
        <r>
          <rPr>
            <sz val="9"/>
            <color indexed="81"/>
            <rFont val="Tahoma"/>
            <family val="2"/>
          </rPr>
          <t xml:space="preserve">
5/17/17: expect 2Q ending inventory +MSD</t>
        </r>
      </text>
    </comment>
    <comment ref="AD167" authorId="14">
      <text>
        <r>
          <rPr>
            <b/>
            <sz val="9"/>
            <color indexed="81"/>
            <rFont val="Tahoma"/>
            <family val="2"/>
          </rPr>
          <t>Cassel, Lauren (Research):</t>
        </r>
        <r>
          <rPr>
            <sz val="9"/>
            <color indexed="81"/>
            <rFont val="Tahoma"/>
            <family val="2"/>
          </rPr>
          <t xml:space="preserve">
8/23/17: Expect 3Q ending inventory +MSD</t>
        </r>
      </text>
    </comment>
    <comment ref="AD172" authorId="14">
      <text>
        <r>
          <rPr>
            <b/>
            <sz val="9"/>
            <color indexed="81"/>
            <rFont val="Tahoma"/>
            <family val="2"/>
          </rPr>
          <t>Cassel, Lauren (Research):</t>
        </r>
        <r>
          <rPr>
            <sz val="9"/>
            <color indexed="81"/>
            <rFont val="Tahoma"/>
            <family val="2"/>
          </rPr>
          <t xml:space="preserve">
3/8/18: expect inventory +double digits with +2-3% driven by new clearance strategy</t>
        </r>
      </text>
    </comment>
  </commentList>
</comments>
</file>

<file path=xl/comments12.xml><?xml version="1.0" encoding="utf-8"?>
<comments xmlns="http://schemas.openxmlformats.org/spreadsheetml/2006/main">
  <authors>
    <author>Cassel, Lauren (Research)</author>
  </authors>
  <commentList>
    <comment ref="M5" authorId="0">
      <text>
        <r>
          <rPr>
            <b/>
            <sz val="9"/>
            <color indexed="81"/>
            <rFont val="Tahoma"/>
            <family val="2"/>
          </rPr>
          <t>Cassel, Lauren (Research):</t>
        </r>
        <r>
          <rPr>
            <sz val="9"/>
            <color indexed="81"/>
            <rFont val="Tahoma"/>
            <family val="2"/>
          </rPr>
          <t xml:space="preserve">
adjusted fof 53rd week</t>
        </r>
      </text>
    </comment>
  </commentList>
</comments>
</file>

<file path=xl/comments13.xml><?xml version="1.0" encoding="utf-8"?>
<comments xmlns="http://schemas.openxmlformats.org/spreadsheetml/2006/main">
  <authors>
    <author>soumyajd</author>
    <author>John Mark Warren</author>
    <author>Leon Michaelides</author>
    <author>jccastro</author>
  </authors>
  <commentList>
    <comment ref="I3" authorId="0">
      <text>
        <r>
          <rPr>
            <b/>
            <sz val="8"/>
            <color indexed="81"/>
            <rFont val="Tahoma"/>
            <family val="2"/>
          </rPr>
          <t>Input MW ticker</t>
        </r>
        <r>
          <rPr>
            <sz val="8"/>
            <color indexed="81"/>
            <rFont val="Tahoma"/>
            <family val="2"/>
          </rPr>
          <t xml:space="preserve">
</t>
        </r>
      </text>
    </comment>
    <comment ref="C31" authorId="1">
      <text>
        <r>
          <rPr>
            <sz val="8"/>
            <color indexed="81"/>
            <rFont val="Tahoma"/>
            <family val="2"/>
          </rPr>
          <t xml:space="preserve">The repayment is equal to the rent expense because the rent expense can be thought of as a payment of interest and principal  to the owner (lessor) of the asset.
</t>
        </r>
      </text>
    </comment>
    <comment ref="G35" authorId="2">
      <text>
        <r>
          <rPr>
            <sz val="8"/>
            <color indexed="81"/>
            <rFont val="Tahoma"/>
            <family val="2"/>
          </rPr>
          <t>This assumes that the average portfolio lease is halfway through it’s life.  Use the following amounts as a guideline if the average lease in the portfolio is newer/older, please contact AST to discuss the appropriate assumption.</t>
        </r>
      </text>
    </comment>
    <comment ref="C44" authorId="2">
      <text>
        <r>
          <rPr>
            <sz val="8"/>
            <color indexed="81"/>
            <rFont val="Tahoma"/>
            <family val="2"/>
          </rPr>
          <t>This rate is supposed to represent the average borrowing rate of the lease portfolio. If the company does not disclose this rate, you can use the regular borrowing rate of the company or the rate of capital leases, if exists.</t>
        </r>
      </text>
    </comment>
    <comment ref="C45" authorId="0">
      <text>
        <r>
          <rPr>
            <sz val="8"/>
            <color indexed="81"/>
            <rFont val="Tahoma"/>
            <family val="2"/>
          </rPr>
          <t>This rate is supposed to represent the cost of new leases which is equivalent to new debt, if not disclosed, use your forecasted interest rate on new debt for the company.</t>
        </r>
      </text>
    </comment>
    <comment ref="C58" authorId="0">
      <text>
        <r>
          <rPr>
            <sz val="8"/>
            <color indexed="81"/>
            <rFont val="Tahoma"/>
            <family val="2"/>
          </rPr>
          <t>You can break down your lease capex into maintenance and growth, if you don't know the breakdown you can assume all capex is maintenance.</t>
        </r>
      </text>
    </comment>
    <comment ref="C64" authorId="0">
      <text>
        <r>
          <rPr>
            <sz val="8"/>
            <color indexed="81"/>
            <rFont val="Tahoma"/>
            <family val="2"/>
          </rPr>
          <t>This is the main driver of the model. It is supposed to represent the growth rate on the rent expense and is used for growing all future payments.  When thinking about this rate, make sure it makes sense in relation to your units and/or your total operating expenses.</t>
        </r>
      </text>
    </comment>
    <comment ref="C66" authorId="2">
      <text>
        <r>
          <rPr>
            <sz val="8"/>
            <color indexed="81"/>
            <rFont val="Tahoma"/>
            <family val="2"/>
          </rPr>
          <t xml:space="preserve">This should only include non-cancelable leases
</t>
        </r>
      </text>
    </comment>
    <comment ref="C70" authorId="0">
      <text>
        <r>
          <rPr>
            <sz val="8"/>
            <color indexed="81"/>
            <rFont val="Tahoma"/>
            <family val="2"/>
          </rPr>
          <t>This is used for calculating the rate of depreciation for the assets added due to the leases.</t>
        </r>
      </text>
    </comment>
    <comment ref="C71" authorId="0">
      <text>
        <r>
          <rPr>
            <sz val="8"/>
            <color indexed="81"/>
            <rFont val="Tahoma"/>
            <family val="2"/>
          </rPr>
          <t>If you don't know what this is, one good approach is to calculate it taking the cumulative payments after year 5 (line 68) and dividing it by the payment in year 5 (line 81).
This row is used to distribute the remaining payments (line 68) over what is left of the lease life (starting in line 82).</t>
        </r>
      </text>
    </comment>
    <comment ref="H112" authorId="3">
      <text>
        <r>
          <rPr>
            <sz val="8"/>
            <color indexed="81"/>
            <rFont val="Tahoma"/>
            <family val="2"/>
          </rPr>
          <t xml:space="preserve">Sum of all future NPV's = </t>
        </r>
        <r>
          <rPr>
            <u/>
            <sz val="8"/>
            <color indexed="81"/>
            <rFont val="Tahoma"/>
            <family val="2"/>
          </rPr>
          <t>Initial</t>
        </r>
        <r>
          <rPr>
            <sz val="8"/>
            <color indexed="81"/>
            <rFont val="Tahoma"/>
            <family val="2"/>
          </rPr>
          <t xml:space="preserve"> debt balance</t>
        </r>
        <r>
          <rPr>
            <sz val="8"/>
            <color indexed="81"/>
            <rFont val="Tahoma"/>
            <family val="2"/>
          </rPr>
          <t xml:space="preserve">
</t>
        </r>
      </text>
    </comment>
    <comment ref="I112" authorId="3">
      <text>
        <r>
          <rPr>
            <sz val="8"/>
            <color indexed="81"/>
            <rFont val="Tahoma"/>
            <family val="2"/>
          </rPr>
          <t xml:space="preserve">Starting with this column (and all columns to the right) this calculates the </t>
        </r>
        <r>
          <rPr>
            <u/>
            <sz val="8"/>
            <color indexed="81"/>
            <rFont val="Tahoma"/>
            <family val="2"/>
          </rPr>
          <t>'additional'</t>
        </r>
        <r>
          <rPr>
            <sz val="8"/>
            <color indexed="81"/>
            <rFont val="Tahoma"/>
            <family val="2"/>
          </rPr>
          <t xml:space="preserve"> NPV value created through leases. What the formula does is compare what you thought you were going to pay last year, with what you really paid. It adjusts the period over period difference and then calculates the NPV of this difference.</t>
        </r>
        <r>
          <rPr>
            <sz val="8"/>
            <color indexed="81"/>
            <rFont val="Tahoma"/>
            <family val="2"/>
          </rPr>
          <t xml:space="preserve">
</t>
        </r>
      </text>
    </comment>
    <comment ref="H150" authorId="2">
      <text>
        <r>
          <rPr>
            <sz val="8"/>
            <color indexed="81"/>
            <rFont val="Tahoma"/>
            <family val="2"/>
          </rPr>
          <t xml:space="preserve">Input estimated percentage of leased assets that would not be depreciated (i.e. land).  This will be excluded from the calculation of your depreciation in the waterfall schedule.  It is assumed that the same portion applies to all years.
</t>
        </r>
      </text>
    </comment>
    <comment ref="H151" authorId="2">
      <text>
        <r>
          <rPr>
            <sz val="8"/>
            <color indexed="81"/>
            <rFont val="Tahoma"/>
            <family val="2"/>
          </rPr>
          <t xml:space="preserve">Factor to apply to smooth depreciation of the take on carrying value of leased assets.  This is used to depreciate them on a reducing balance method to simulate a portfolio where leases would roll off over time. </t>
        </r>
      </text>
    </comment>
    <comment ref="H152" authorId="2">
      <text>
        <r>
          <rPr>
            <sz val="8"/>
            <color indexed="81"/>
            <rFont val="Tahoma"/>
            <family val="2"/>
          </rPr>
          <t>This assumes that the average portfolio lease is halfway through it’s life.  Use the following amounts as a guideline if the average lease in the portfolio is newer/older, please contact AST to discuss the appropriate assumption.</t>
        </r>
      </text>
    </comment>
    <comment ref="H153" authorId="3">
      <text>
        <r>
          <rPr>
            <sz val="8"/>
            <color indexed="81"/>
            <rFont val="Tahoma"/>
            <family val="2"/>
          </rPr>
          <t>Original value of the asset recognized in the BS , excluding the portion that would not be depreciable</t>
        </r>
      </text>
    </comment>
    <comment ref="I153" authorId="3">
      <text>
        <r>
          <rPr>
            <sz val="8"/>
            <color indexed="81"/>
            <rFont val="Tahoma"/>
            <family val="2"/>
          </rPr>
          <t>total additions, except for the portion considered to be non-depreciable</t>
        </r>
      </text>
    </comment>
    <comment ref="H154" authorId="3">
      <text>
        <r>
          <rPr>
            <sz val="8"/>
            <color indexed="81"/>
            <rFont val="Tahoma"/>
            <family val="2"/>
          </rPr>
          <t>The original depreciation value is the total value of the asset divided by the total life. The total value of the asset will be affected by the multiple in cell C152. For example, if we assume we are at the mid-point of the lease life, then the multiple would be 2, which means we would multiply the asset by this factor to get to the original "book value" of the asset</t>
        </r>
        <r>
          <rPr>
            <sz val="8"/>
            <color indexed="81"/>
            <rFont val="Tahoma"/>
            <family val="2"/>
          </rPr>
          <t xml:space="preserve">
</t>
        </r>
      </text>
    </comment>
    <comment ref="I155" authorId="3">
      <text>
        <r>
          <rPr>
            <sz val="8"/>
            <color indexed="81"/>
            <rFont val="Tahoma"/>
            <family val="2"/>
          </rPr>
          <t>Depreciation of the additions, excluding the portion that is non depreciable</t>
        </r>
        <r>
          <rPr>
            <sz val="8"/>
            <color indexed="81"/>
            <rFont val="Tahoma"/>
            <family val="2"/>
          </rPr>
          <t xml:space="preserve">
</t>
        </r>
      </text>
    </comment>
  </commentList>
</comments>
</file>

<file path=xl/sharedStrings.xml><?xml version="1.0" encoding="utf-8"?>
<sst xmlns="http://schemas.openxmlformats.org/spreadsheetml/2006/main" count="3281" uniqueCount="1225">
  <si>
    <t xml:space="preserve">Earnings Per Share </t>
  </si>
  <si>
    <t>Average Shares</t>
  </si>
  <si>
    <t xml:space="preserve">EBITDA </t>
  </si>
  <si>
    <t>Margin Analysis</t>
  </si>
  <si>
    <t xml:space="preserve">Gross Margin </t>
  </si>
  <si>
    <t>Expense Ratio</t>
  </si>
  <si>
    <t>Operating Margin</t>
  </si>
  <si>
    <t>Pretax Margin</t>
  </si>
  <si>
    <t>Tax Rate</t>
  </si>
  <si>
    <t>Net Margin</t>
  </si>
  <si>
    <t>EBITDA Margin</t>
  </si>
  <si>
    <t>Year-Over-Year Growth</t>
  </si>
  <si>
    <t>Comp. Store Sales</t>
  </si>
  <si>
    <t>SG&amp;A  Expense</t>
  </si>
  <si>
    <t>Operating Income</t>
  </si>
  <si>
    <t>Earnings Per Share</t>
  </si>
  <si>
    <t>EBITDA</t>
  </si>
  <si>
    <t>Annual Data (Yearend)</t>
  </si>
  <si>
    <t>($ millions except per share data)</t>
  </si>
  <si>
    <t>1.  Sales</t>
  </si>
  <si>
    <t xml:space="preserve">     % Increase</t>
  </si>
  <si>
    <t>2.  Cost of Goods Sold</t>
  </si>
  <si>
    <t>3.  SG&amp;A Expense</t>
  </si>
  <si>
    <t xml:space="preserve">     Expense Ratio</t>
  </si>
  <si>
    <t>4.  Depr. &amp; Amort.</t>
  </si>
  <si>
    <t>7.  Pretax Income</t>
  </si>
  <si>
    <t xml:space="preserve">       % Margin</t>
  </si>
  <si>
    <t>8.  Income Taxes</t>
  </si>
  <si>
    <t xml:space="preserve">       % Tax Rate</t>
  </si>
  <si>
    <t xml:space="preserve">       % Net Margin</t>
  </si>
  <si>
    <t xml:space="preserve">       % Increase</t>
  </si>
  <si>
    <t>COGS</t>
  </si>
  <si>
    <t>Gross Margin</t>
  </si>
  <si>
    <t>SG&amp;A</t>
  </si>
  <si>
    <t>Net Income</t>
  </si>
  <si>
    <t>EPS</t>
  </si>
  <si>
    <t>3Q12E</t>
  </si>
  <si>
    <t>Inventory</t>
  </si>
  <si>
    <t>Cost of</t>
  </si>
  <si>
    <t>End of</t>
  </si>
  <si>
    <t>Prior</t>
  </si>
  <si>
    <t>Following</t>
  </si>
  <si>
    <t>Goods Sold</t>
  </si>
  <si>
    <t>Quarter</t>
  </si>
  <si>
    <t>Prior Year</t>
  </si>
  <si>
    <t>Year</t>
  </si>
  <si>
    <t>Store</t>
  </si>
  <si>
    <t>X</t>
  </si>
  <si>
    <t>1995</t>
  </si>
  <si>
    <t>1998</t>
  </si>
  <si>
    <t>Balance Sheet</t>
  </si>
  <si>
    <t>Assets</t>
  </si>
  <si>
    <t xml:space="preserve">  Merchandise inventory</t>
  </si>
  <si>
    <t xml:space="preserve">  Prepaid expenses</t>
  </si>
  <si>
    <t xml:space="preserve">    Total Current Assets</t>
  </si>
  <si>
    <t xml:space="preserve">    Total Current Liabilities</t>
  </si>
  <si>
    <t>Stockholders' Equity</t>
  </si>
  <si>
    <t>Memo: Debt:Total Capital</t>
  </si>
  <si>
    <t xml:space="preserve">           Return on Net Assets</t>
  </si>
  <si>
    <t xml:space="preserve">           Return on Average Equity</t>
  </si>
  <si>
    <t># of Stores</t>
  </si>
  <si>
    <t>Inventory per Average Store</t>
  </si>
  <si>
    <t>Net income</t>
  </si>
  <si>
    <t>Depreciation and other amortization</t>
  </si>
  <si>
    <t>Deferred income taxes</t>
  </si>
  <si>
    <t xml:space="preserve">  TOTAL OPERATING SOURCES</t>
  </si>
  <si>
    <t>TOTAL OPERATING USES</t>
  </si>
  <si>
    <t>External Sources and Changes in Cash</t>
  </si>
  <si>
    <t>TOTAL EXTERNAL SOURCES &amp; CASH</t>
  </si>
  <si>
    <t>NA</t>
  </si>
  <si>
    <t xml:space="preserve">Per Avg. </t>
  </si>
  <si>
    <t xml:space="preserve">Percent </t>
  </si>
  <si>
    <t>Change</t>
  </si>
  <si>
    <t>1999</t>
  </si>
  <si>
    <t>Quarterly Analysis of Inventory Turnover</t>
  </si>
  <si>
    <t>Inventory Turnover</t>
  </si>
  <si>
    <t>Payables / Inventory</t>
  </si>
  <si>
    <t>SG&amp;A expense per average store</t>
  </si>
  <si>
    <t>(in thousands)</t>
  </si>
  <si>
    <t>Debt to Total capital</t>
  </si>
  <si>
    <t>Cash Flow</t>
  </si>
  <si>
    <t>(8)</t>
  </si>
  <si>
    <t>(10)</t>
  </si>
  <si>
    <t>Sources of Cash</t>
  </si>
  <si>
    <t>Uses of Cash</t>
  </si>
  <si>
    <t>American Eagle Outfitters, Inc.</t>
  </si>
  <si>
    <t>1994*</t>
  </si>
  <si>
    <t>1995*</t>
  </si>
  <si>
    <t>Incremental Square Feet from Remodeled AE Stores</t>
  </si>
  <si>
    <t>Remodeled AE stores</t>
  </si>
  <si>
    <t xml:space="preserve"> * Fiscal years ending July</t>
  </si>
  <si>
    <t>?</t>
  </si>
  <si>
    <t xml:space="preserve"> (1) 1995 Operating Income reduced by $3.1m loss on sale of outlets</t>
  </si>
  <si>
    <t>8. Income Taxes (Credit) -- (Tax Rate)</t>
  </si>
  <si>
    <t xml:space="preserve">  Receivables</t>
  </si>
  <si>
    <t xml:space="preserve"> Deferred income taxes</t>
  </si>
  <si>
    <t xml:space="preserve">  Less:  Accum. Deprec. and Amort.</t>
  </si>
  <si>
    <t xml:space="preserve">  Notes Receivable</t>
  </si>
  <si>
    <t xml:space="preserve">  Other Assets</t>
  </si>
  <si>
    <t xml:space="preserve">  </t>
  </si>
  <si>
    <t xml:space="preserve">     Y/y growth</t>
  </si>
  <si>
    <t xml:space="preserve">  Accrued compensation and payroll taxes</t>
  </si>
  <si>
    <t xml:space="preserve">  Accrued rent</t>
  </si>
  <si>
    <t xml:space="preserve">  Accrued income taxes</t>
  </si>
  <si>
    <t xml:space="preserve">  Other liabilities and accrued expenses</t>
  </si>
  <si>
    <t>Liabilities and Stockholders' Equity</t>
  </si>
  <si>
    <t>Loss on impairment and write-off of fixed assets</t>
  </si>
  <si>
    <t>Loss on sale of outlets</t>
  </si>
  <si>
    <t xml:space="preserve">    Merchandise inventory</t>
  </si>
  <si>
    <t xml:space="preserve">    Receivables</t>
  </si>
  <si>
    <t xml:space="preserve">    Prepaid and other</t>
  </si>
  <si>
    <t xml:space="preserve">    Accounts payable</t>
  </si>
  <si>
    <t>Other non-cash adjustments</t>
  </si>
  <si>
    <t xml:space="preserve">Increase (decrease) in </t>
  </si>
  <si>
    <t>INTERNAL CASH GENERATION</t>
  </si>
  <si>
    <t xml:space="preserve">   (FUNDS NEEDED)</t>
  </si>
  <si>
    <t xml:space="preserve">   Total External Sources</t>
  </si>
  <si>
    <t xml:space="preserve">   Beginning Cash Balance</t>
  </si>
  <si>
    <t xml:space="preserve">   Ending cash balance</t>
  </si>
  <si>
    <t>New Store Size (Gross Sq. Ft.)</t>
  </si>
  <si>
    <t>Avg. Store Size (Gross Sq. Ft.)</t>
  </si>
  <si>
    <t>Modelware Required Tags</t>
  </si>
  <si>
    <t>Share Capital</t>
  </si>
  <si>
    <t>Expense Ratio (ex. D&amp;A)</t>
  </si>
  <si>
    <t>Expense Ratio (incl. D&amp;A)</t>
  </si>
  <si>
    <t>Retained earnings</t>
  </si>
  <si>
    <t>ND</t>
  </si>
  <si>
    <t xml:space="preserve">   Restatements</t>
  </si>
  <si>
    <t>Unrecorded Goodwill From Poolings</t>
  </si>
  <si>
    <t>Excess Cash</t>
  </si>
  <si>
    <t>9. Net Earnings</t>
  </si>
  <si>
    <t>Long-Term Liabilities</t>
  </si>
  <si>
    <t xml:space="preserve">(Increase) decrease in </t>
  </si>
  <si>
    <t xml:space="preserve">  Accounts receivable/Sales</t>
  </si>
  <si>
    <t xml:space="preserve">  Merchandise inventory/Sales</t>
  </si>
  <si>
    <t xml:space="preserve">  Accounts payable/Inventory</t>
  </si>
  <si>
    <t xml:space="preserve">  Other liab and Accr Exp/SG&amp;A</t>
  </si>
  <si>
    <t>2012E</t>
  </si>
  <si>
    <t>Option Expense</t>
  </si>
  <si>
    <t>2015E</t>
  </si>
  <si>
    <t xml:space="preserve">    Accrued liabilities and other</t>
  </si>
  <si>
    <t>2011A</t>
  </si>
  <si>
    <t>AEOS</t>
  </si>
  <si>
    <t>Comp</t>
  </si>
  <si>
    <t>Balance Check</t>
  </si>
  <si>
    <t>Balance check</t>
  </si>
  <si>
    <t>???????</t>
  </si>
  <si>
    <t>1Q</t>
  </si>
  <si>
    <t>2Q</t>
  </si>
  <si>
    <t>3Q</t>
  </si>
  <si>
    <t>4Q</t>
  </si>
  <si>
    <t>1995A</t>
  </si>
  <si>
    <t>1996A</t>
  </si>
  <si>
    <t>1997A</t>
  </si>
  <si>
    <t>1998A</t>
  </si>
  <si>
    <t>1999A</t>
  </si>
  <si>
    <t>At January 31 of the following year</t>
  </si>
  <si>
    <t xml:space="preserve">        Note: Ending cash balance + ST investments</t>
  </si>
  <si>
    <t>($ in millions)</t>
  </si>
  <si>
    <t>x</t>
  </si>
  <si>
    <t>For the fiscal year ending January 31 of the following year</t>
  </si>
  <si>
    <t>AE Total stores EOY</t>
  </si>
  <si>
    <t>M+O Total stores EOY</t>
  </si>
  <si>
    <t>+ New aerie Store Openings</t>
  </si>
  <si>
    <t>aerie Total stores EOY</t>
  </si>
  <si>
    <t>M+O New Store Size</t>
  </si>
  <si>
    <t>Aerie New Store Size</t>
  </si>
  <si>
    <t>($ in millions except per share data)</t>
  </si>
  <si>
    <t>2. Cost of Goods Sold and Occupancy (% Gross Margin)</t>
  </si>
  <si>
    <t xml:space="preserve">        Total Working Capital Uses</t>
  </si>
  <si>
    <t xml:space="preserve">  Unredeemed gift certificates</t>
  </si>
  <si>
    <t xml:space="preserve">    Unredeemed gift certificates</t>
  </si>
  <si>
    <t xml:space="preserve">   Capital Expenditures</t>
  </si>
  <si>
    <t xml:space="preserve">5.  Operating Income </t>
  </si>
  <si>
    <t>- Stores Closed (a)</t>
  </si>
  <si>
    <t>(a) Sold outlet store division in 1996, 47 stores excluded from total</t>
  </si>
  <si>
    <t>6.  Interest Expense (Income)</t>
  </si>
  <si>
    <t>Ending Gross Sq. Ft. (MM)</t>
  </si>
  <si>
    <t>Interest Exp/(Inc)</t>
  </si>
  <si>
    <t>Sales Per Avg. Gross Sq. Ft.</t>
  </si>
  <si>
    <t>TOTAL LIABILITIES AND S/H EQUITY</t>
  </si>
  <si>
    <t>Floor Space (Sq Ft millions)</t>
  </si>
  <si>
    <t>Statutory Tax Rate</t>
  </si>
  <si>
    <t>Federal taxes</t>
  </si>
  <si>
    <t>State Taxes</t>
  </si>
  <si>
    <t>Foreign taxes</t>
  </si>
  <si>
    <t>Average Basic Shares</t>
  </si>
  <si>
    <t>2014A</t>
  </si>
  <si>
    <t>2018E</t>
  </si>
  <si>
    <t>AEO.N</t>
  </si>
  <si>
    <t>2013A</t>
  </si>
  <si>
    <t>ex M&amp;O</t>
  </si>
  <si>
    <t>Net issuances</t>
  </si>
  <si>
    <t>excludes 77kids</t>
  </si>
  <si>
    <t>.</t>
  </si>
  <si>
    <t>($ millions)</t>
  </si>
  <si>
    <t xml:space="preserve">   Increase (decrease) in cash</t>
  </si>
  <si>
    <t>Quarterly Analysis of Debt and Total Capital</t>
  </si>
  <si>
    <t>Cash &amp; Equivalents</t>
  </si>
  <si>
    <t>Short-Term Debt</t>
  </si>
  <si>
    <t>Long-Term Debt</t>
  </si>
  <si>
    <t>Total Debt</t>
  </si>
  <si>
    <t>Net Debt (Total Debt Less Cash)</t>
  </si>
  <si>
    <t>Shareholders' Equity</t>
  </si>
  <si>
    <t>Total Capital</t>
  </si>
  <si>
    <t>Store Closures Square Footage</t>
  </si>
  <si>
    <t>Total Debt as % of Total Capital</t>
  </si>
  <si>
    <t>Net Debt as % of Total Capital</t>
  </si>
  <si>
    <t>Square Footage</t>
  </si>
  <si>
    <t>Open</t>
  </si>
  <si>
    <t>Y-o-Y</t>
  </si>
  <si>
    <t>At</t>
  </si>
  <si>
    <t>at End</t>
  </si>
  <si>
    <t>per</t>
  </si>
  <si>
    <t>of Quarter</t>
  </si>
  <si>
    <t>Sq. Ft.</t>
  </si>
  <si>
    <t>vs.</t>
  </si>
  <si>
    <t>Inventory vs.</t>
  </si>
  <si>
    <t>Quarterly</t>
  </si>
  <si>
    <t>Turnover Analysis</t>
  </si>
  <si>
    <t>Average (a)</t>
  </si>
  <si>
    <t>INTERACTIVE</t>
  </si>
  <si>
    <t xml:space="preserve">Type "Bull / Base / Bear" here to toggle scenarios &gt;&gt; </t>
  </si>
  <si>
    <t>Quarter (b)</t>
  </si>
  <si>
    <t>(11)</t>
  </si>
  <si>
    <t>(12)</t>
  </si>
  <si>
    <t>(13)</t>
  </si>
  <si>
    <t>Productivity (3)/(13)</t>
  </si>
  <si>
    <t>Annual Sales Model, Fiscal 1999A-2012E</t>
  </si>
  <si>
    <t>(14)</t>
  </si>
  <si>
    <t>(15)</t>
  </si>
  <si>
    <t>(16)</t>
  </si>
  <si>
    <t>(17)</t>
  </si>
  <si>
    <t>Per Avg.</t>
  </si>
  <si>
    <t>Square Ft.</t>
  </si>
  <si>
    <t>E</t>
  </si>
  <si>
    <t>Square Footage Analysis</t>
  </si>
  <si>
    <t>Store Analysis</t>
  </si>
  <si>
    <t>1. Net Sales (Year-to-Year % Increase/Comps)</t>
  </si>
  <si>
    <t>$3 m is consistent w/ what they are saying</t>
  </si>
  <si>
    <t>still optimistic on Q3 &amp;Q4 BTS &amp; holiday always strongest for them</t>
  </si>
  <si>
    <t>lines cleaner, lots of denim</t>
  </si>
  <si>
    <t>on Hand</t>
  </si>
  <si>
    <t>Days Inventory</t>
  </si>
  <si>
    <t>Avg. (a)</t>
  </si>
  <si>
    <t>Qtr (b)</t>
  </si>
  <si>
    <t>Follow</t>
  </si>
  <si>
    <t>est $2m 2Q</t>
  </si>
  <si>
    <t>est $3m 3Q</t>
  </si>
  <si>
    <t>est $4m 4Q</t>
  </si>
  <si>
    <t>2000E Direct sales notes:</t>
  </si>
  <si>
    <t>down a lot due to incr. promos</t>
  </si>
  <si>
    <t>Sales (mm) (a)</t>
  </si>
  <si>
    <t>Sales (mm, except per foot data) (a)</t>
  </si>
  <si>
    <t xml:space="preserve">Apr </t>
  </si>
  <si>
    <t xml:space="preserve">Amortization </t>
  </si>
  <si>
    <t>Total D&amp;A</t>
  </si>
  <si>
    <t>2008A</t>
  </si>
  <si>
    <t>2007A</t>
  </si>
  <si>
    <t>2006A</t>
  </si>
  <si>
    <t>2005A</t>
  </si>
  <si>
    <t>LEASE MODEL</t>
  </si>
  <si>
    <t>mscalc:defaultCurrencyCalc</t>
  </si>
  <si>
    <t>Template Start Year</t>
  </si>
  <si>
    <t>Reverse Rent Payment</t>
  </si>
  <si>
    <t>Add Implied Depreciation Expense</t>
  </si>
  <si>
    <t>Net Increase/(Decrease) to Pre-Tax Operating Income</t>
  </si>
  <si>
    <t>Add Estimated Interest Expense</t>
  </si>
  <si>
    <t>Net Increase/(Decrease) to Pre-tax Income</t>
  </si>
  <si>
    <t>Implied leased assets, beginning of period</t>
  </si>
  <si>
    <t xml:space="preserve">Additions </t>
  </si>
  <si>
    <t>Current year charge</t>
  </si>
  <si>
    <t>Implied leased assets</t>
  </si>
  <si>
    <t>Operating Lease Debt schedule</t>
  </si>
  <si>
    <t>Implied debt, beginning of period</t>
  </si>
  <si>
    <t>Interest</t>
  </si>
  <si>
    <t>Repayment</t>
  </si>
  <si>
    <t>Debt Issuances (Reductions)</t>
  </si>
  <si>
    <t>Implied debt</t>
  </si>
  <si>
    <t>% assets to liabilities</t>
  </si>
  <si>
    <t>Cumulative Adjustment To Equity</t>
  </si>
  <si>
    <t>Principal Paid</t>
  </si>
  <si>
    <t>Year over Year Adjustment in Equity</t>
  </si>
  <si>
    <t>Weighted average interest rate of lease portfolio</t>
  </si>
  <si>
    <t>ZAV(Avg(TF.FN.InterestExpenseOnDebt(period=#1,sdate=0FY,edate=-4FY,curn=#2)/(TF.FN.STDebtAndCurrentPortionLTDebt(period=#1,sdate=0FY,edate=-4FY,curn=#2)+TF.FN.LTDebtExclCapitalizedLeases(period=#1,sdate=0FY,edate=-4FY,curn=#2))))</t>
  </si>
  <si>
    <t>Interest implicit in new leases signed</t>
  </si>
  <si>
    <t>ZAV(TF.FN.InterestExpenseOnDebt(period=FY0,sdate=#1,edate=#2,curn=#3)/(ZAV(TF.FN.STDebtAndCurrentPortionLTDebt(period=FY0,sdate=#1,edate=#2,curn=#3))+ZAV(TF.FN.LTDebtExclCapitalizedLeases(period=FY0,sdate=#1,edate=#2,curn=#3))))</t>
  </si>
  <si>
    <t>Number of Units Leased</t>
  </si>
  <si>
    <t>Growth in Leased Units</t>
  </si>
  <si>
    <t>Leased Units / Total Units in Capacity (%)</t>
  </si>
  <si>
    <t>Capex per Unit</t>
  </si>
  <si>
    <t>% change in capex per unit</t>
  </si>
  <si>
    <t>Capital expenditure financed through operating leases</t>
  </si>
  <si>
    <t>Marginal Tax Rate</t>
  </si>
  <si>
    <t>% of Capital Expenditures financed through operating leases (sustainable)</t>
  </si>
  <si>
    <t>- AE store closures</t>
  </si>
  <si>
    <t>- aerie store closures</t>
  </si>
  <si>
    <t>Capital expenditure financed through operating leases (Sustainable)</t>
  </si>
  <si>
    <t>Capital expenditure financed through operating leases (Growth)</t>
  </si>
  <si>
    <t>Current Year Operating Lease Payments</t>
  </si>
  <si>
    <t>YOY % Change in Current Year Operating Lease Expense</t>
  </si>
  <si>
    <t>Total Reported Lease Commitments</t>
  </si>
  <si>
    <t>Growth in Aggregate Lease Obligations</t>
  </si>
  <si>
    <t>Cumulative Payments After Year 5</t>
  </si>
  <si>
    <t>Implied Total Lease Life</t>
  </si>
  <si>
    <t>Implied Remaining Duration on Reported Lease Payments</t>
  </si>
  <si>
    <t>% of average lease life term completed</t>
  </si>
  <si>
    <t>Lease Payment Schedule - Non Cancelable Leases Only</t>
  </si>
  <si>
    <t>Current year rental payment</t>
  </si>
  <si>
    <t>Expected payments forecast year 1</t>
  </si>
  <si>
    <t>Expected payments forecast year 2</t>
  </si>
  <si>
    <t>Expected payments forecast year 3</t>
  </si>
  <si>
    <t>2014 EPS</t>
  </si>
  <si>
    <t>Mulitple</t>
  </si>
  <si>
    <t>Scenario</t>
  </si>
  <si>
    <t>Stock price</t>
  </si>
  <si>
    <t>Upside</t>
  </si>
  <si>
    <t>Risk/reward</t>
  </si>
  <si>
    <t>Downside</t>
  </si>
  <si>
    <t>Difference</t>
  </si>
  <si>
    <t>Expected payments forecast year 4</t>
  </si>
  <si>
    <t>Expected payments forecast year 5</t>
  </si>
  <si>
    <t>Expected payments forecast year 6</t>
  </si>
  <si>
    <t>Expected payments forecast year 7</t>
  </si>
  <si>
    <t>Expected payments forecast year 8</t>
  </si>
  <si>
    <t>Expected payments forecast year 9</t>
  </si>
  <si>
    <t>Expected payments forecast year 10</t>
  </si>
  <si>
    <t>Expected payments forecast year 11</t>
  </si>
  <si>
    <t xml:space="preserve">2-yr Inventory </t>
  </si>
  <si>
    <t>Growth y/y</t>
  </si>
  <si>
    <t>2-yr Sales</t>
  </si>
  <si>
    <t>GrowtB y/y</t>
  </si>
  <si>
    <t>Fwd Sales</t>
  </si>
  <si>
    <t>to Inventory</t>
  </si>
  <si>
    <t>Expected payments forecast year 12</t>
  </si>
  <si>
    <t>Expected payments forecast year 13</t>
  </si>
  <si>
    <t>Expected payments forecast year 14</t>
  </si>
  <si>
    <t>Expected payments forecast year 15</t>
  </si>
  <si>
    <t>Expected payments forecast year 16</t>
  </si>
  <si>
    <t>Expected payments forecast year 17</t>
  </si>
  <si>
    <t>Expected payments forecast year 18</t>
  </si>
  <si>
    <t>Expected payments forecast year 19</t>
  </si>
  <si>
    <t>Expected payments forecast year 20</t>
  </si>
  <si>
    <t>Expected payments forecast year 21</t>
  </si>
  <si>
    <t>Expected payments forecast year 22</t>
  </si>
  <si>
    <t>Expected payments forecast year 23</t>
  </si>
  <si>
    <t>Expected payments forecast year 24</t>
  </si>
  <si>
    <t>Expected payments forecast year 25</t>
  </si>
  <si>
    <t>Expected payments forecast year 26</t>
  </si>
  <si>
    <t>Expected payments forecast year 27</t>
  </si>
  <si>
    <t>Expected payments forecast year 28</t>
  </si>
  <si>
    <t>Expected payments forecast year 29</t>
  </si>
  <si>
    <t>Expected payments forecast year 30</t>
  </si>
  <si>
    <t>Rental Payments Schedule</t>
  </si>
  <si>
    <t>Present Value of Incremental Lease Payments</t>
  </si>
  <si>
    <t>Increase in current year lease payments versus previous years expected</t>
  </si>
  <si>
    <t>Estimated additions to leased assets in period</t>
  </si>
  <si>
    <t>Depreciation schedule</t>
  </si>
  <si>
    <t>Assumed Average Lease Life</t>
  </si>
  <si>
    <t>Percentage of assets, non depreciable</t>
  </si>
  <si>
    <t>Fade rate for depreciation of opening balance</t>
  </si>
  <si>
    <t>Multiple to take the asset to the original book value</t>
  </si>
  <si>
    <t>Total depreciable assets</t>
  </si>
  <si>
    <t>Depreciation of take on book value</t>
  </si>
  <si>
    <t>Interest Rate Calculation</t>
  </si>
  <si>
    <t>TRSL data download</t>
  </si>
  <si>
    <t>5 years Average Interest Rate</t>
  </si>
  <si>
    <t xml:space="preserve">Interest Rate </t>
  </si>
  <si>
    <t>ZAV(TF.FN.InterestExpenseOnDebt(period=FY0,sdate=-8FY,edate=0FY,curn=#1,scale=6))</t>
  </si>
  <si>
    <t>Short Term Debt and Current Portion Long Term Debt</t>
  </si>
  <si>
    <t>ZAV(TF.FN.STDebtAndCurrentPortionLTDebt(period=FY0,sdate=-8FY,edate=0FY,curn=#1,scale=6))</t>
  </si>
  <si>
    <t>Long Term Debt excluding Capitalized Leases</t>
  </si>
  <si>
    <t>ZAV(TF.FN.LTDebtExclCapitalizedLeases(period=FY0,sdate=-8FY,edate=0FY,curn=#1,scale=6))</t>
  </si>
  <si>
    <t>AEO.N,mscalc:defaultCurrencyCalc</t>
  </si>
  <si>
    <t>Market Capitalization</t>
  </si>
  <si>
    <t>Inventory Growth</t>
  </si>
  <si>
    <t xml:space="preserve">Sales Growth </t>
  </si>
  <si>
    <t>2016E</t>
  </si>
  <si>
    <t>2017E</t>
  </si>
  <si>
    <t>International licensed stores at end of period</t>
  </si>
  <si>
    <t>2-yr stack</t>
  </si>
  <si>
    <t>2013E</t>
  </si>
  <si>
    <t>Dividend</t>
  </si>
  <si>
    <t>Currency</t>
  </si>
  <si>
    <t>Total Op Expense</t>
  </si>
  <si>
    <t>Count</t>
  </si>
  <si>
    <t>AEO.N,mscalc:sedolCodeCalc</t>
  </si>
  <si>
    <t>AEO.N,mscalc:targetPrice,,,,USD</t>
  </si>
  <si>
    <t>AEO.N,mscalc:closePriceCurrencyCalc</t>
  </si>
  <si>
    <t>Maintenance Capex</t>
  </si>
  <si>
    <t>Growth Capex</t>
  </si>
  <si>
    <t>Depreciation as % of Total D&amp;A</t>
  </si>
  <si>
    <t xml:space="preserve">  Non Current Deferred Tax Asset </t>
  </si>
  <si>
    <t>Pension Plan Assets</t>
  </si>
  <si>
    <t>Pension Plan Obligation</t>
  </si>
  <si>
    <t>Defecit/Surplus</t>
  </si>
  <si>
    <t>,mscalc:targetPrice,,,,USD</t>
  </si>
  <si>
    <t>,mscalc:sedolCodeCalc</t>
  </si>
  <si>
    <t>,mscalc:closePriceCurrencyCalc</t>
  </si>
  <si>
    <t>AEO.N,mscalc:targetPrice</t>
  </si>
  <si>
    <t>Interest Expense</t>
  </si>
  <si>
    <t>+ New AE Store Openings</t>
  </si>
  <si>
    <t>+ New M+O Store Openings</t>
  </si>
  <si>
    <t>Adj. Rent % of Sales</t>
  </si>
  <si>
    <t>CY</t>
  </si>
  <si>
    <t>LY</t>
  </si>
  <si>
    <t>MS</t>
  </si>
  <si>
    <t>Cons</t>
  </si>
  <si>
    <t>Variance vs.</t>
  </si>
  <si>
    <t>EPS Impact</t>
  </si>
  <si>
    <t>Guidance</t>
  </si>
  <si>
    <t>New</t>
  </si>
  <si>
    <t>Old</t>
  </si>
  <si>
    <t>Actual vs. MSe</t>
  </si>
  <si>
    <t>Summary</t>
  </si>
  <si>
    <t xml:space="preserve">Old - </t>
  </si>
  <si>
    <t>Interest and Other Expense/(Income)</t>
  </si>
  <si>
    <t>Interest Expense/(Income)</t>
  </si>
  <si>
    <t>Net Inc. From Ops</t>
  </si>
  <si>
    <t>FY12 Cons.</t>
  </si>
  <si>
    <t>AEO</t>
  </si>
  <si>
    <t>FY12 Guidance</t>
  </si>
  <si>
    <t>A</t>
  </si>
  <si>
    <t>Current Stock Price</t>
  </si>
  <si>
    <t xml:space="preserve">Excl.  </t>
  </si>
  <si>
    <t>Occup. Costs</t>
  </si>
  <si>
    <t>CapEx</t>
  </si>
  <si>
    <t>Adjusted Rent Expense</t>
  </si>
  <si>
    <t>2H</t>
  </si>
  <si>
    <t>y/y</t>
  </si>
  <si>
    <t>Rent % of Retail Sales</t>
  </si>
  <si>
    <t>7. Pretax Income (Loss) (% Margin)</t>
  </si>
  <si>
    <t>EBIT</t>
  </si>
  <si>
    <t>2014E</t>
  </si>
  <si>
    <t>USD</t>
  </si>
  <si>
    <t>will open 44, 1st in march finalized by aug canada aeos stores</t>
  </si>
  <si>
    <t>2000A</t>
  </si>
  <si>
    <t>AEOS Canada</t>
  </si>
  <si>
    <t>Martin + Osa</t>
  </si>
  <si>
    <t>aerie</t>
  </si>
  <si>
    <t>Thriftys/BlueNotes</t>
  </si>
  <si>
    <t>2000 comments</t>
  </si>
  <si>
    <t>% of sales</t>
  </si>
  <si>
    <t>U.S.</t>
  </si>
  <si>
    <t>Canada</t>
  </si>
  <si>
    <t>% Tot</t>
  </si>
  <si>
    <t>2001 % of business</t>
  </si>
  <si>
    <t>bp less</t>
  </si>
  <si>
    <t>New Store Size (Gross Sq. Ft.) AE Can.</t>
  </si>
  <si>
    <t>Retail Sales</t>
  </si>
  <si>
    <t>American Eagle Outfitters (Total Company)</t>
  </si>
  <si>
    <t>Internet/Catalog Sales (U.S. only)</t>
  </si>
  <si>
    <t>- Stores Closed (U.S.)</t>
  </si>
  <si>
    <t>- Stores Closed (Canada)</t>
  </si>
  <si>
    <t>Avg. Gross Sq. Ft. (MM)</t>
  </si>
  <si>
    <t>Invested Capital:</t>
  </si>
  <si>
    <t>Goodwill</t>
  </si>
  <si>
    <t>Other Assets</t>
  </si>
  <si>
    <t>Incremental NWC</t>
  </si>
  <si>
    <t>Turns:</t>
  </si>
  <si>
    <t>(a) Projected sales figures exclude Internet sales.  Reported total sales figures in F00 and F01 exclude CIR estimates for quarterly Internet sales, and the Bluenotes division from 4Q00.</t>
  </si>
  <si>
    <t>VBA Inputs:</t>
  </si>
  <si>
    <t>LIFO Reserve</t>
  </si>
  <si>
    <t>Required Cash</t>
  </si>
  <si>
    <t>Annual Earnings Model, Fiscal 1999A-2014E</t>
  </si>
  <si>
    <t>For VDF model calculations</t>
  </si>
  <si>
    <t>Current assets</t>
  </si>
  <si>
    <t>Non-interest bearing current liabilities</t>
  </si>
  <si>
    <t xml:space="preserve">6. Other/Interest Expense (Income) (% of Sales) </t>
  </si>
  <si>
    <t>Net fixed assets</t>
  </si>
  <si>
    <t>Accumulated goodwill amortization</t>
  </si>
  <si>
    <t>Unrecorded goodwill</t>
  </si>
  <si>
    <t>Present value of operating leases</t>
  </si>
  <si>
    <t>Cumulative asset writedowns</t>
  </si>
  <si>
    <t>Total fixed assets &amp; equivalents</t>
  </si>
  <si>
    <t>Net working capital (NWC)</t>
  </si>
  <si>
    <t>Average invested capital</t>
  </si>
  <si>
    <t>Incremental invested capital (YE)</t>
  </si>
  <si>
    <t>Invested capital (YE)</t>
  </si>
  <si>
    <t>2012A</t>
  </si>
  <si>
    <t>10. Extraordinary/Discontinued Items (after-tax)</t>
  </si>
  <si>
    <t>Notes: 2005 quarters will not add to year because 1Q05 has been restated while 2Q-4Q have yet to be restated, 2005 excludes the impact of discontinued operations</t>
  </si>
  <si>
    <t>1 Options expense excluded from operating income and net income prior to 2006</t>
  </si>
  <si>
    <t>11. Earnings Per Share Before Extraordinary/Discontinued (Charge)/Credit- Fully Diluted</t>
  </si>
  <si>
    <t>Incremental fixed assets</t>
  </si>
  <si>
    <t>15</t>
  </si>
  <si>
    <t>Incremental other assets</t>
  </si>
  <si>
    <t>NWC turns</t>
  </si>
  <si>
    <t>Fixed asset turns</t>
  </si>
  <si>
    <t>Other assets turns</t>
  </si>
  <si>
    <t>YE IC turns</t>
  </si>
  <si>
    <t>Avg IC turns</t>
  </si>
  <si>
    <t>Adjustments:</t>
  </si>
  <si>
    <t>Thriftys/BN</t>
  </si>
  <si>
    <t>-</t>
  </si>
  <si>
    <t>(b)</t>
  </si>
  <si>
    <t>(b) Sales from the company's acquisition of Dylex units and NLS excluded from results of U.S. operations from 4Q00 forward.</t>
  </si>
  <si>
    <t>Internet</t>
  </si>
  <si>
    <t>sales</t>
  </si>
  <si>
    <t>(c)</t>
  </si>
  <si>
    <t>14. Cash Dividend Per Share</t>
  </si>
  <si>
    <t>(a) Figures include the Canada retail operation from 4Q00 forward.</t>
  </si>
  <si>
    <t>Retail Sales ($MM)</t>
  </si>
  <si>
    <t>Internet/Catalog Sales ($MM)</t>
  </si>
  <si>
    <t>SGA</t>
  </si>
  <si>
    <t>Op Inc</t>
  </si>
  <si>
    <t>Tax</t>
  </si>
  <si>
    <t>Net Inc</t>
  </si>
  <si>
    <t>SG&amp;A Per Square Foot</t>
  </si>
  <si>
    <t>F01 Canada contribution</t>
  </si>
  <si>
    <t xml:space="preserve"> Property and Equipment</t>
  </si>
  <si>
    <t xml:space="preserve"> Net Property and Equipment</t>
  </si>
  <si>
    <t xml:space="preserve">  Goodwill, net of accumulated amort.</t>
  </si>
  <si>
    <t xml:space="preserve">  Accounts payable</t>
  </si>
  <si>
    <t xml:space="preserve">  Current portion of notes payable</t>
  </si>
  <si>
    <t>Note Payable</t>
  </si>
  <si>
    <t>Other</t>
  </si>
  <si>
    <t xml:space="preserve">  Cash and cash equivalents</t>
  </si>
  <si>
    <t xml:space="preserve">  Short-term investments</t>
  </si>
  <si>
    <t>Stock compensation</t>
  </si>
  <si>
    <t>2001A</t>
  </si>
  <si>
    <t>Deferred Revenue</t>
  </si>
  <si>
    <t>2002 % of business</t>
  </si>
  <si>
    <t>77 Kids stores EOY</t>
  </si>
  <si>
    <t>77 Kids New Store Size</t>
  </si>
  <si>
    <t>Revenue</t>
  </si>
  <si>
    <t>Capital Expenditures</t>
  </si>
  <si>
    <t>Change in working capital</t>
  </si>
  <si>
    <t>This sheet contains Factset binary data for use with this workbook's =FDS codes.  Modifying the worksheet's contents may damage the workbook's =FDS functionality.</t>
  </si>
  <si>
    <t xml:space="preserve">Jul </t>
  </si>
  <si>
    <t xml:space="preserve">Oct </t>
  </si>
  <si>
    <t>Change in sales</t>
  </si>
  <si>
    <t>Change in WC/change in sales</t>
  </si>
  <si>
    <t>Net new stores</t>
  </si>
  <si>
    <t>Approx. cost of new store</t>
  </si>
  <si>
    <t>Reported capital expenditures</t>
  </si>
  <si>
    <t>Organic growth</t>
  </si>
  <si>
    <t>2048592</t>
  </si>
  <si>
    <t>10a. Net Income including Discontinued Operations</t>
  </si>
  <si>
    <t>Acquisitions</t>
  </si>
  <si>
    <t>Other capital projects $</t>
  </si>
  <si>
    <t>Other capital projects %</t>
  </si>
  <si>
    <t>Est. increase in depreciation</t>
  </si>
  <si>
    <t>Calculated increase in depreciation</t>
  </si>
  <si>
    <t>1.33-1.36</t>
  </si>
  <si>
    <t xml:space="preserve">NA </t>
  </si>
  <si>
    <t>Expense Analysis</t>
  </si>
  <si>
    <t>SG&amp;A /</t>
  </si>
  <si>
    <t>Avg. Store</t>
  </si>
  <si>
    <t>Percent</t>
  </si>
  <si>
    <t>Avg. Sq. Ft.</t>
  </si>
  <si>
    <t>Potential</t>
  </si>
  <si>
    <t>Total Store</t>
  </si>
  <si>
    <t>ACTUAL</t>
  </si>
  <si>
    <t>remove because not broken out</t>
  </si>
  <si>
    <t>Thrifty's/Bluenotes</t>
  </si>
  <si>
    <t>New Store Size (Gross Sq. Ft.) Thriftys/Bluenotes</t>
  </si>
  <si>
    <t>T/BN</t>
  </si>
  <si>
    <t>AE us</t>
  </si>
  <si>
    <t>American Eagle Outfitters, Inc. (U.S. and Canada)</t>
  </si>
  <si>
    <t xml:space="preserve">American Eagle Outfitters, Inc. </t>
  </si>
  <si>
    <t>Return on Equity</t>
  </si>
  <si>
    <t>Proceeds (net of payments) from notes payable</t>
  </si>
  <si>
    <t>Proceeds from stock options exercised</t>
  </si>
  <si>
    <t>Net Inc. From Operations</t>
  </si>
  <si>
    <t>Rent Expense</t>
  </si>
  <si>
    <t>GM excl. Rent % of Sales</t>
  </si>
  <si>
    <t xml:space="preserve">  Accrued comp/SG&amp;A</t>
  </si>
  <si>
    <t>2002A</t>
  </si>
  <si>
    <t>Inventory     (Y-o-Y % Change vs. % Sales Growth)</t>
  </si>
  <si>
    <t>Plus:  Receivables and Other Current Assets     (Y-o-Y % Change vs. % Sales Growth)</t>
  </si>
  <si>
    <t>Less:   Accounts Payable     (Y-o-Y % Change vs. % Sales Growth)</t>
  </si>
  <si>
    <t>Source: Company reports and Morgan Stanley estimates.</t>
  </si>
  <si>
    <t>Items</t>
  </si>
  <si>
    <t>ITEMS</t>
  </si>
  <si>
    <t>Less:  Accrued Liabilities and Other     (Y-o-Y % Change vs. % Sales Growth)</t>
  </si>
  <si>
    <t>Equals:  "Operating" Working Capital     (Y-o-Y % Change vs. % Sales Growth)</t>
  </si>
  <si>
    <t>Year-to-Year Dollar Change in Working Capital</t>
  </si>
  <si>
    <t xml:space="preserve">NM </t>
  </si>
  <si>
    <t>AE U.S.</t>
  </si>
  <si>
    <t xml:space="preserve">Total Store Count </t>
  </si>
  <si>
    <t>AE Canada</t>
  </si>
  <si>
    <t>Total Sq Ft Growth</t>
  </si>
  <si>
    <t>Goodwill Impairment Charge</t>
  </si>
  <si>
    <t>Goodwill Impairmt Chg</t>
  </si>
  <si>
    <t>2003A</t>
  </si>
  <si>
    <t>Quarterly Analysis of "Operating" Working Capital, 1999-2004A</t>
  </si>
  <si>
    <t>Analysis of Space Productivity, 1999A-2004E</t>
  </si>
  <si>
    <t xml:space="preserve">  Long-term investments</t>
  </si>
  <si>
    <t xml:space="preserve">     % Operating Margin</t>
  </si>
  <si>
    <t>Basic Shares Outstanding (Weighted Average)</t>
  </si>
  <si>
    <t>Basic Shares Outstanding</t>
  </si>
  <si>
    <t>Average Basic Shares Outstanding</t>
  </si>
  <si>
    <t>Dividend Per Share</t>
  </si>
  <si>
    <t>operating income</t>
  </si>
  <si>
    <t>interest</t>
  </si>
  <si>
    <t>pre tax</t>
  </si>
  <si>
    <t>tax</t>
  </si>
  <si>
    <t>net income</t>
  </si>
  <si>
    <t>eps</t>
  </si>
  <si>
    <t>Cash Per Share</t>
  </si>
  <si>
    <t>Annual Sales Model, Fiscal 2000A-2009E</t>
  </si>
  <si>
    <t>Analysis of Space Productivity, 2002-2004E</t>
  </si>
  <si>
    <t>CF Per Share</t>
  </si>
  <si>
    <t>CF Yield</t>
  </si>
  <si>
    <t>FCF Per Share</t>
  </si>
  <si>
    <t>FCF Yield</t>
  </si>
  <si>
    <t>Current Price</t>
  </si>
  <si>
    <t>AEOS.US</t>
  </si>
  <si>
    <t>Equity Value</t>
  </si>
  <si>
    <t>Y/Y</t>
  </si>
  <si>
    <t>Growth</t>
  </si>
  <si>
    <t xml:space="preserve">% of </t>
  </si>
  <si>
    <t>% of Total</t>
  </si>
  <si>
    <t>Full Year</t>
  </si>
  <si>
    <t>Internet Sales</t>
  </si>
  <si>
    <t xml:space="preserve">     Comp Store Sales</t>
  </si>
  <si>
    <t>BASE CASE</t>
  </si>
  <si>
    <t>Depreciation &amp; Amortization</t>
  </si>
  <si>
    <t>Interest and Other Exp/(Inc)</t>
  </si>
  <si>
    <t>Pretax Income</t>
  </si>
  <si>
    <t>Net Income from Operations</t>
  </si>
  <si>
    <t>Operating EPS</t>
  </si>
  <si>
    <t>Average Diluted Shares</t>
  </si>
  <si>
    <t>Comparable Store Sales</t>
  </si>
  <si>
    <t>BULL CASE</t>
  </si>
  <si>
    <t>Base Case Sales Comp Spread</t>
  </si>
  <si>
    <t>Bull Case Sales Comp Spread</t>
  </si>
  <si>
    <t>BEAR CASE</t>
  </si>
  <si>
    <t>Bear Case Sales Comp Spread</t>
  </si>
  <si>
    <t>Revenues</t>
  </si>
  <si>
    <t>Benefit (%)</t>
  </si>
  <si>
    <t>Proceeds (net of purchase) from ST/LT investments</t>
  </si>
  <si>
    <t xml:space="preserve">   % Chg. from LY (Avg. Sq. Ft.)</t>
  </si>
  <si>
    <t>Assumptions</t>
  </si>
  <si>
    <t>Multiple</t>
  </si>
  <si>
    <r>
      <t>3a. Options Expense</t>
    </r>
    <r>
      <rPr>
        <vertAlign val="superscript"/>
        <sz val="10"/>
        <rFont val="Arial"/>
        <family val="2"/>
      </rPr>
      <t>1</t>
    </r>
  </si>
  <si>
    <t>12a.  EPS excl. Options Exp</t>
  </si>
  <si>
    <t>Implied EV</t>
  </si>
  <si>
    <t>Year End Cash</t>
  </si>
  <si>
    <t xml:space="preserve">Year End LT Debt </t>
  </si>
  <si>
    <t xml:space="preserve"> Net Debt</t>
  </si>
  <si>
    <t>Diluted Shares</t>
  </si>
  <si>
    <t>Per Share Equity Value</t>
  </si>
  <si>
    <t>Discount Rate</t>
  </si>
  <si>
    <t>Years to Discount</t>
  </si>
  <si>
    <t>EBITDA Multiple</t>
  </si>
  <si>
    <t>3-yr Avg</t>
  </si>
  <si>
    <t>5-yr Avg</t>
  </si>
  <si>
    <t>ANF</t>
  </si>
  <si>
    <t xml:space="preserve">  Teen Avg</t>
  </si>
  <si>
    <t>EXPR</t>
  </si>
  <si>
    <t>PLCE</t>
  </si>
  <si>
    <t xml:space="preserve">  Youth Avg</t>
  </si>
  <si>
    <t>3yr</t>
  </si>
  <si>
    <t>5yr</t>
  </si>
  <si>
    <t>Current (FY15)</t>
  </si>
  <si>
    <t>3a. Options Expense (% of Sales)</t>
  </si>
  <si>
    <t>11b. Earnings Per Share - Fully Diluted (Incl. Impact of Extrdny/Discont Items)</t>
  </si>
  <si>
    <t>11a. Earnings Per Share Excl Options Expense - Fully Diluted</t>
  </si>
  <si>
    <t>Options Expense</t>
  </si>
  <si>
    <t>Annual Data (YE)</t>
  </si>
  <si>
    <t>Total Sq Ft (mil.)</t>
  </si>
  <si>
    <t>Goodwill/Asset Impairment Loss</t>
  </si>
  <si>
    <t xml:space="preserve">WC </t>
  </si>
  <si>
    <t>INV PSF</t>
  </si>
  <si>
    <t>+ New 77 Kids Store Openings</t>
  </si>
  <si>
    <t>* FY 2003 and 2004 exclude the operations of Bluenotes, which was sold in December 2004</t>
  </si>
  <si>
    <t xml:space="preserve">     Marketing Expense</t>
  </si>
  <si>
    <t>restated</t>
  </si>
  <si>
    <t>Cash &amp; ST Investments Per Share</t>
  </si>
  <si>
    <t xml:space="preserve">  Current potion of deferred lease credits</t>
  </si>
  <si>
    <t>Deferred Lease Credits</t>
  </si>
  <si>
    <t>9.  Net Income from Cont. Ops</t>
  </si>
  <si>
    <t>10. Loss from Discnt'd. Ops</t>
  </si>
  <si>
    <t xml:space="preserve">    Deferred lease credits</t>
  </si>
  <si>
    <t>Stock Repurchase</t>
  </si>
  <si>
    <t>Loss from Discontinued Ops</t>
  </si>
  <si>
    <t>FX Impact</t>
  </si>
  <si>
    <t>Dividend paid</t>
  </si>
  <si>
    <t>11. Net Income</t>
  </si>
  <si>
    <t xml:space="preserve">12.  Earnings Per Share </t>
  </si>
  <si>
    <t>13.  Shares Outstanding</t>
  </si>
  <si>
    <t>12. Average Shares Outstanding - Fully Diluted</t>
  </si>
  <si>
    <t>Depreciation</t>
  </si>
  <si>
    <t>Base</t>
  </si>
  <si>
    <t>(on retail sales)</t>
  </si>
  <si>
    <t>Bull</t>
  </si>
  <si>
    <t>Bear</t>
  </si>
  <si>
    <t>D&amp;A</t>
  </si>
  <si>
    <t>revised</t>
  </si>
  <si>
    <t>2004A</t>
  </si>
  <si>
    <t>1993</t>
  </si>
  <si>
    <t>% Change</t>
  </si>
  <si>
    <t>Period</t>
  </si>
  <si>
    <t>Total</t>
  </si>
  <si>
    <t>Stores</t>
  </si>
  <si>
    <t>%</t>
  </si>
  <si>
    <t>Jan '07</t>
  </si>
  <si>
    <t>Jan '08</t>
  </si>
  <si>
    <t>Jan '09</t>
  </si>
  <si>
    <t>Jan '10</t>
  </si>
  <si>
    <t>Jan '11</t>
  </si>
  <si>
    <t>Jan '12</t>
  </si>
  <si>
    <t>Jan '13</t>
  </si>
  <si>
    <t>Jan '14</t>
  </si>
  <si>
    <t>Jan '15</t>
  </si>
  <si>
    <t>Jan '16</t>
  </si>
  <si>
    <t>Jan '17</t>
  </si>
  <si>
    <t>Avg Size (gross square feet)</t>
  </si>
  <si>
    <t xml:space="preserve">CapEx ($ Millions) </t>
  </si>
  <si>
    <t>(1)</t>
  </si>
  <si>
    <t>Cumulative</t>
  </si>
  <si>
    <t>--</t>
  </si>
  <si>
    <t>NM</t>
  </si>
  <si>
    <t>CAGR</t>
  </si>
  <si>
    <t>1989</t>
  </si>
  <si>
    <t>1990</t>
  </si>
  <si>
    <t>1991</t>
  </si>
  <si>
    <t>1992</t>
  </si>
  <si>
    <t xml:space="preserve">Net Sales ($MM) </t>
  </si>
  <si>
    <t xml:space="preserve">   % Chg. from LY</t>
  </si>
  <si>
    <t># Stores Open BOY</t>
  </si>
  <si>
    <t>+ New Store Openings</t>
  </si>
  <si>
    <t># Stores Open EOY</t>
  </si>
  <si>
    <t>Avg. # Open</t>
  </si>
  <si>
    <t xml:space="preserve">   % Chg. Avg. Units</t>
  </si>
  <si>
    <t>Avg. Sales Per Store ($MM)</t>
  </si>
  <si>
    <t>Comparable-Store Sales</t>
  </si>
  <si>
    <t>New Space Productivity</t>
  </si>
  <si>
    <t>Operating Profit ($MM)</t>
  </si>
  <si>
    <t xml:space="preserve">     % Margin</t>
  </si>
  <si>
    <t>TOTAL ASSETS</t>
  </si>
  <si>
    <t xml:space="preserve"> </t>
  </si>
  <si>
    <t>Apr</t>
  </si>
  <si>
    <t>Jul</t>
  </si>
  <si>
    <t>Oct</t>
  </si>
  <si>
    <t>Jan</t>
  </si>
  <si>
    <t>Sales</t>
  </si>
  <si>
    <t>Total/Comp</t>
  </si>
  <si>
    <t>Non-Comp.</t>
  </si>
  <si>
    <t>Comp-</t>
  </si>
  <si>
    <t>Spread</t>
  </si>
  <si>
    <t>No. of Stores</t>
  </si>
  <si>
    <t>Space</t>
  </si>
  <si>
    <t>(1) - (2)</t>
  </si>
  <si>
    <t>Average</t>
  </si>
  <si>
    <t>2009A</t>
  </si>
  <si>
    <t>2010A</t>
  </si>
  <si>
    <t>Expansion</t>
  </si>
  <si>
    <t>Productivity (3)/(6)</t>
  </si>
  <si>
    <t>(2)</t>
  </si>
  <si>
    <t>(3)</t>
  </si>
  <si>
    <t>(4)</t>
  </si>
  <si>
    <t>(5)</t>
  </si>
  <si>
    <t>(6)</t>
  </si>
  <si>
    <t>(7)</t>
  </si>
  <si>
    <t>(9)</t>
  </si>
  <si>
    <t>1st Qtr</t>
  </si>
  <si>
    <t>2nd Qtr</t>
  </si>
  <si>
    <t>3rd Qtr</t>
  </si>
  <si>
    <t>4th Qtr</t>
  </si>
  <si>
    <t xml:space="preserve">  Year</t>
  </si>
  <si>
    <t>1994</t>
  </si>
  <si>
    <t>1995 (a)</t>
  </si>
  <si>
    <t xml:space="preserve">Quarterly Operating Results and Financial Analysis </t>
  </si>
  <si>
    <t>1996</t>
  </si>
  <si>
    <t>1997</t>
  </si>
  <si>
    <t/>
  </si>
  <si>
    <t>6 Mos.</t>
  </si>
  <si>
    <t>9 Mos.</t>
  </si>
  <si>
    <t>3. Selling, General and Administrative Expense (% of Sales)</t>
  </si>
  <si>
    <t>4. Depreciation and Amortization (% of Sales)</t>
  </si>
  <si>
    <t>5. Operating Income (% Margin) 1. Less 2., 3., and 4.</t>
  </si>
  <si>
    <t>8. Non-Recurring (Charge)/Credit</t>
  </si>
  <si>
    <t>($ millions except per-share data)</t>
  </si>
  <si>
    <t>Quarterly Results and Estimates</t>
  </si>
  <si>
    <t>Annual Results and Estimates</t>
  </si>
  <si>
    <t>Income Statement</t>
  </si>
  <si>
    <t>Total Sales</t>
  </si>
  <si>
    <t>Cost of Goods Sold</t>
  </si>
  <si>
    <t>Gross Profit</t>
  </si>
  <si>
    <t>SG&amp;A Expense</t>
  </si>
  <si>
    <t>Depr. &amp; Amort.</t>
  </si>
  <si>
    <t xml:space="preserve">  Operating Income</t>
  </si>
  <si>
    <t xml:space="preserve">   Pretax Income</t>
  </si>
  <si>
    <t>Taxes</t>
  </si>
  <si>
    <t>2019E</t>
  </si>
  <si>
    <t>2015A</t>
  </si>
  <si>
    <t>Jan '18</t>
  </si>
  <si>
    <t>Jan '19</t>
  </si>
  <si>
    <t>Jan '20</t>
  </si>
  <si>
    <t>WACC</t>
  </si>
  <si>
    <t>NOPAT</t>
  </si>
  <si>
    <t>AEO.N,mscalc:sharePriceCurrent</t>
  </si>
  <si>
    <t>$R$2</t>
  </si>
  <si>
    <t>16.9</t>
  </si>
  <si>
    <t>2020E</t>
  </si>
  <si>
    <t>Jan '21</t>
  </si>
  <si>
    <t xml:space="preserve">     Marketing Ratio</t>
  </si>
  <si>
    <t>2016A</t>
  </si>
  <si>
    <t>Sales/Avg Sq Ft (Store Only)</t>
  </si>
  <si>
    <t>Sales/Avg Sq Ft (Including eComm)</t>
  </si>
  <si>
    <t>Sales Per Avg. Gross Sq. Ft. (Store Only)</t>
  </si>
  <si>
    <t>2017A</t>
  </si>
  <si>
    <t>2021E</t>
  </si>
  <si>
    <t xml:space="preserve">SG&amp;A/Avg Sq Ft </t>
  </si>
  <si>
    <t>11A-16</t>
  </si>
  <si>
    <t>1Q15</t>
  </si>
  <si>
    <t>2Q15</t>
  </si>
  <si>
    <t>3Q15</t>
  </si>
  <si>
    <t>4Q15</t>
  </si>
  <si>
    <t>FY15 y/y Margin Change</t>
  </si>
  <si>
    <t>Per Share Value @ 4.0x FY18 EBITDA</t>
  </si>
  <si>
    <t>Model</t>
  </si>
  <si>
    <t>Forecasts</t>
  </si>
  <si>
    <t>Metric</t>
  </si>
  <si>
    <t>Margin</t>
  </si>
  <si>
    <t>Operating Taxes</t>
  </si>
  <si>
    <t xml:space="preserve">  NOPAT Margin</t>
  </si>
  <si>
    <t>+Depreciation &amp; Amortization</t>
  </si>
  <si>
    <t xml:space="preserve"> Increase in WC (&amp; other NOA)</t>
  </si>
  <si>
    <t>Total Reinvestment</t>
  </si>
  <si>
    <t xml:space="preserve">  Reinvest Rate</t>
  </si>
  <si>
    <t>Free Cash Flow from Operations</t>
  </si>
  <si>
    <t>Discount Factor</t>
  </si>
  <si>
    <t>NPV of Forecasted Cash Flows</t>
  </si>
  <si>
    <t>Terminal Value</t>
  </si>
  <si>
    <t>NPV of Terminal Value</t>
  </si>
  <si>
    <t>Terminal Value Growth Rate</t>
  </si>
  <si>
    <t xml:space="preserve">Debt Balance </t>
  </si>
  <si>
    <t>Risk-Free Rate</t>
  </si>
  <si>
    <t>Cash Balance (2018E)</t>
  </si>
  <si>
    <t>Market Risk Premium</t>
  </si>
  <si>
    <t>Net Debt</t>
  </si>
  <si>
    <t>Equity Beta</t>
  </si>
  <si>
    <t>Cost of Debt (Pre-tax)</t>
  </si>
  <si>
    <t>Required Equity Return</t>
  </si>
  <si>
    <t>Cost of Debt (Post-tax @ 35%)</t>
  </si>
  <si>
    <t xml:space="preserve">Fully Diluted Shares </t>
  </si>
  <si>
    <t>Current Share Price</t>
  </si>
  <si>
    <t>Market Enterprise Value</t>
  </si>
  <si>
    <t>Sum of NPV Forecasted CFs</t>
  </si>
  <si>
    <t>Intrinsic Enterprise Value</t>
  </si>
  <si>
    <t>Less: Debt</t>
  </si>
  <si>
    <t>Plus: Cash</t>
  </si>
  <si>
    <t>Less: MV of Non-controlling Interest</t>
  </si>
  <si>
    <t>Plus: MV of Equity Investments</t>
  </si>
  <si>
    <t>Equity Value per Share</t>
  </si>
  <si>
    <t>1Q16</t>
  </si>
  <si>
    <t>2Q16</t>
  </si>
  <si>
    <t>3Q16</t>
  </si>
  <si>
    <t>4Q16</t>
  </si>
  <si>
    <t>1Q17</t>
  </si>
  <si>
    <t>2Q17</t>
  </si>
  <si>
    <t>Forward Sales Growth</t>
  </si>
  <si>
    <t>2022E</t>
  </si>
  <si>
    <t>2025E</t>
  </si>
  <si>
    <t>Jan '22</t>
  </si>
  <si>
    <t>3Q17E</t>
  </si>
  <si>
    <t>3QFY2018</t>
  </si>
  <si>
    <t>16-22E</t>
  </si>
  <si>
    <t>3Q17</t>
  </si>
  <si>
    <t>4Q17</t>
  </si>
  <si>
    <t>3-yr stack</t>
  </si>
  <si>
    <t>excludes 77kids going forward</t>
  </si>
  <si>
    <t>4Q17A</t>
  </si>
  <si>
    <t>4Q16A</t>
  </si>
  <si>
    <t>4Q17E</t>
  </si>
  <si>
    <t>Feb</t>
  </si>
  <si>
    <t>Operating Results Summary &amp; Financial Analysis, Fiscal 2013-2020E</t>
  </si>
  <si>
    <t>Bull '19</t>
  </si>
  <si>
    <t>Bear '19</t>
  </si>
  <si>
    <t>MSA13041</t>
  </si>
  <si>
    <t>Research</t>
  </si>
  <si>
    <t>e = Morgan Stanley Research estimates unless otherwise noted</t>
  </si>
  <si>
    <t>Source: Morgan Stanley Research unless otherwise noted</t>
  </si>
  <si>
    <t>Stocks ratings are relative to the analyst's industry coverage universe.</t>
  </si>
  <si>
    <t>1585 Broadway</t>
  </si>
  <si>
    <t>New York, NY  10036-8293</t>
  </si>
  <si>
    <t>United States</t>
  </si>
  <si>
    <t>Tel: +1 (1)212 761 4000</t>
  </si>
  <si>
    <t>Authors: Kimberly Greenberger</t>
  </si>
  <si>
    <t>Date: 08 Mar 2018</t>
  </si>
  <si>
    <t>Ticker: AEO.N</t>
  </si>
  <si>
    <t>Stock Rating: Underweight</t>
  </si>
  <si>
    <t>Industry: Retail, Specialty Retail</t>
  </si>
  <si>
    <t>Industry View: Cautious</t>
  </si>
  <si>
    <t>Price as of 08 Mar 2018: 18.36</t>
  </si>
  <si>
    <t>Target Price: 16</t>
  </si>
  <si>
    <t>Analyst Certification</t>
  </si>
  <si>
    <t>Unless otherwise stated, the individuals listed on the cover page of this report are research analysts.</t>
  </si>
  <si>
    <t>Global Research Conflict Management Policy</t>
  </si>
  <si>
    <t>Important US Regulatory Disclosures on Subject Companies</t>
  </si>
  <si>
    <t>Morgan Stanley &amp; Co. LLC makes a market in the securities of American Eagle Outfitters, Inc..</t>
  </si>
  <si>
    <t>STOCK RATINGS</t>
  </si>
  <si>
    <t>Global Stock Ratings Distribution</t>
  </si>
  <si>
    <t>(as of February 28, 2018)</t>
  </si>
  <si>
    <t>Coverage Universe</t>
  </si>
  <si>
    <t>Investment Banking Clients (IBC)</t>
  </si>
  <si>
    <t>Other Material Investment Services Clients (MISC)</t>
  </si>
  <si>
    <t>Stock Rating Category</t>
  </si>
  <si>
    <t>% of Total IBC</t>
  </si>
  <si>
    <t>% of Rating Category</t>
  </si>
  <si>
    <t>% of Total Other MISC</t>
  </si>
  <si>
    <t>Overweight/Buy</t>
  </si>
  <si>
    <t>Equal-weight/Hold</t>
  </si>
  <si>
    <t>Not-Rated/Hold</t>
  </si>
  <si>
    <t>Underweight/Sell</t>
  </si>
  <si>
    <t>Analyst Stock Ratings</t>
  </si>
  <si>
    <t>Analyst Industry Views</t>
  </si>
  <si>
    <t>Stock Price, Price Target and Rating History (See Rating Definitions)</t>
  </si>
  <si>
    <t>Important Disclosures for Morgan Stanley Smith Barney LLC Customers</t>
  </si>
  <si>
    <t>Other Important Disclosures</t>
  </si>
  <si>
    <t>Morgan Stanley Research, or any portion thereof may not be reprinted, sold or redistributed without the</t>
  </si>
  <si>
    <t>written consent of Morgan Stanley.</t>
  </si>
  <si>
    <t>The trademarks and service marks contained in Morgan Stanley Research are the property of their</t>
  </si>
  <si>
    <t>respective owners. Third-party data providers make no warranties or representations relating to the</t>
  </si>
  <si>
    <t>accuracy, completeness, or timeliness of the data they provide and shall not have liability for any</t>
  </si>
  <si>
    <t>damages relating to such data. The Global Industry Classification Standard (GICS) was developed by and</t>
  </si>
  <si>
    <t>is the exclusive property of MSCI and S&amp;P.</t>
  </si>
  <si>
    <t>As required by the Capital Markets Board of Turkey, investment information, comments and recommendations</t>
  </si>
  <si>
    <t>stated here, are not within the scope of investment advisory activity. Investment advisory service is</t>
  </si>
  <si>
    <t>provided exclusively to persons based on their risk and income preferences by the authorized firms.</t>
  </si>
  <si>
    <t>Comments and recommendations stated here are general in nature. These opinions may not fit to your</t>
  </si>
  <si>
    <t>financial status, risk and return preferences. For this reason, to make an investment decision by</t>
  </si>
  <si>
    <t>relying solely to this information stated here may not bring about outcomes that fit your expectations.</t>
  </si>
  <si>
    <t>The information in Morgan Stanley Research is being communicated by Morgan Stanley &amp; Co. International</t>
  </si>
  <si>
    <t>plc (QFC Branch), regulated by the Qatar Financial Centre Regulatory Authority (the QFCRA), and is</t>
  </si>
  <si>
    <t>directed at business customers and market counterparties only and is not intended for Retail Customers</t>
  </si>
  <si>
    <t>as defined by the QFCRA.</t>
  </si>
  <si>
    <t>plc (DIFC Branch), regulated by the Dubai Financial Services Authority (the DFSA), and is directed at</t>
  </si>
  <si>
    <t>Professional Clients only, as defined by the DFSA. The financial products or financial services to which</t>
  </si>
  <si>
    <t>this research relates will only be made available to a customer who we are satisfied meets the</t>
  </si>
  <si>
    <t>regulatory criteria to be a Professional Client.</t>
  </si>
  <si>
    <t>Morgan Stanley Research is disseminated in Brazil by Morgan Stanley C.T.V.M. S.A.; in Mexico by Morgan</t>
  </si>
  <si>
    <t>Stanley México, Casa de Bolsa, S.A. de C.V which is regulated by Comision Nacional Bancaria y de</t>
  </si>
  <si>
    <t>Valores. Paseo de los Tamarindos 90, Torre 1, Col. Bosques de las Lomas Floor 29, 05120 Mexico City; in</t>
  </si>
  <si>
    <t>Japan by Morgan Stanley MUFG Securities Co., Ltd. and, for Commodities related research reports only,</t>
  </si>
  <si>
    <t>Morgan Stanley Capital Group Japan Co., Ltd; in Hong Kong by Morgan Stanley Asia Limited (which accepts</t>
  </si>
  <si>
    <t>responsibility for its contents) and by Morgan Stanley Asia International Limited, Hong Kong Branch; in</t>
  </si>
  <si>
    <t>Singapore by Morgan Stanley Asia (Singapore) Pte. (Registration number 199206298Z) and/or Morgan Stanley</t>
  </si>
  <si>
    <t>Asia (Singapore) Securities Pte Ltd (Registration number 200008434H), regulated by the Monetary</t>
  </si>
  <si>
    <t>Authority of Singapore (which accepts legal responsibility for its contents and should be contacted with</t>
  </si>
  <si>
    <t>respect to any matters arising from, or in connection with, Morgan Stanley Research) and by Morgan</t>
  </si>
  <si>
    <t>Stanley Asia International Limited, Singapore Branch (Registration number T11FC0207F); in Australia to</t>
  </si>
  <si>
    <t>"wholesale clients" within the meaning of the Australian Corporations Act by Morgan Stanley Australia</t>
  </si>
  <si>
    <t>Limited A.B.N. 67 003 734 576, holder of Australian financial services license No. 233742, which accepts</t>
  </si>
  <si>
    <t>responsibility for its contents; in Australia to "wholesale clients" and "retail clients" within the</t>
  </si>
  <si>
    <t>meaning of the Australian Corporations Act by Morgan Stanley Wealth Management Australia Pty Ltd (A.B.N.</t>
  </si>
  <si>
    <t>19 009 145 555, holder of Australian financial services license No. 240813, which accepts responsibility</t>
  </si>
  <si>
    <t>for its contents; in Korea by Morgan Stanley &amp; Co International plc, Seoul Branch; in India by Morgan</t>
  </si>
  <si>
    <t>Stanley India Company Private Limited; in Indonesia by PT. Morgan Stanley Sekuritas Indonesia; in Canada</t>
  </si>
  <si>
    <t>by Morgan Stanley Canada Limited, which has approved of and takes responsibility for its contents in</t>
  </si>
  <si>
    <t>Canada; in Germany by Morgan Stanley Bank AG, Frankfurt am Main and Morgan Stanley Private Wealth</t>
  </si>
  <si>
    <t>Management Limited, Niederlassung Deutschland, regulated by Bundesanstalt fuer</t>
  </si>
  <si>
    <t>Finanzdienstleistungsaufsicht (BaFin); in Spain by Morgan Stanley, S.V., S.A., a Morgan Stanley group</t>
  </si>
  <si>
    <t>company, which is supervised by the Spanish Securities Markets Commission (CNMV) and states that Morgan</t>
  </si>
  <si>
    <t>Stanley Research has been written and distributed in accordance with the rules of conduct applicable to</t>
  </si>
  <si>
    <t>financial research as established under Spanish regulations; in the US by Morgan Stanley &amp; Co. LLC,</t>
  </si>
  <si>
    <t>which accepts responsibility for its contents. Morgan Stanley &amp; Co. International plc, authorized by the</t>
  </si>
  <si>
    <t>Prudential Regulatory Authority and regulated by the Financial Conduct Authority and the Prudential</t>
  </si>
  <si>
    <t>Regulatory Authority, disseminates in the UK research that it has prepared, and approves solely for the</t>
  </si>
  <si>
    <t>purposes of section 21 of the Financial Services and Markets Act 2000, research which has been prepared</t>
  </si>
  <si>
    <t>by any of its affiliates. RMB Morgan Stanley Proprietary Limited is a member of the JSE Limited and</t>
  </si>
  <si>
    <t>regulated by the Financial Services Board in South Africa. RMB Morgan Stanley Proprietary Limited is a</t>
  </si>
  <si>
    <t>joint venture owned equally by Morgan Stanley International Holdings Inc. and RMB Investment Advisory</t>
  </si>
  <si>
    <t>(Proprietary) Limited, which is wholly owned by FirstRand Limited. The information in Morgan Stanley</t>
  </si>
  <si>
    <t>Research is being disseminated by Morgan Stanley Saudi Arabia, regulated by the Capital Market Authority</t>
  </si>
  <si>
    <t>in the Kingdom of Saudi Arabia , and is directed at Sophisticated investors only.</t>
  </si>
  <si>
    <t>Morgan Stanley is not incorporated under PRC law and the research in relation to this report is</t>
  </si>
  <si>
    <t>conducted outside the PRC. Morgan Stanley Research does not constitute an offer to sell or the</t>
  </si>
  <si>
    <t>solicitation of an offer to buy any securities in the PRC. PRC investors shall have the relevant</t>
  </si>
  <si>
    <t>qualifications to invest in such securities and shall be responsible for obtaining all relevant</t>
  </si>
  <si>
    <t>approvals, licenses, verifications and/or registrations from the relevant governmental authorities</t>
  </si>
  <si>
    <t>themselves. Neither this report nor any part of it is intended as, or shall constitute, provision of any</t>
  </si>
  <si>
    <t>consultancy or advisory service of securities investment as defined under PRC law. Such information is</t>
  </si>
  <si>
    <t>provided for your reference only.</t>
  </si>
  <si>
    <t>To our readers based in Taiwan or trading in Taiwan securities/instruments: Information on</t>
  </si>
  <si>
    <t>securities/instruments that trade in Taiwan is distributed by Morgan Stanley Taiwan Limited ("MSTL").</t>
  </si>
  <si>
    <t>Such information is for your reference only. The reader should independently evaluate the investment</t>
  </si>
  <si>
    <t>risks and is solely responsible for their investment decisions. Morgan Stanley Research may not be</t>
  </si>
  <si>
    <t>distributed to the public media or quoted or used by the public media without the express written</t>
  </si>
  <si>
    <t>consent of Morgan Stanley. Any non-customer reader within the scope of Article 7-1 of the Taiwan Stock</t>
  </si>
  <si>
    <t>Exchange Recommendation Regulations accessing and/or receiving Morgan Stanley Research is not permitted</t>
  </si>
  <si>
    <t>to provide Morgan Stanley Research to any third party (including but not limited to related parties,</t>
  </si>
  <si>
    <t>affiliated companies and any other third parties) or engage in any activities regarding Morgan Stanley</t>
  </si>
  <si>
    <t>Research which may create or give the appearance of creating a conflict of interest. Information on</t>
  </si>
  <si>
    <t>securities/instruments that do not trade in Taiwan is for informational purposes only and is not to be</t>
  </si>
  <si>
    <t>construed as a recommendation or a solicitation to trade in such securities/instruments. MSTL may not</t>
  </si>
  <si>
    <t>execute transactions for clients in these securities/instruments.</t>
  </si>
  <si>
    <t>Morgan Stanley may make investment decisions that are inconsistent with the recommendations or views in</t>
  </si>
  <si>
    <t>this report.</t>
  </si>
  <si>
    <t>Morgan Stanley Research personnel may participate in company events such as site visits and are</t>
  </si>
  <si>
    <t>generally prohibited from accepting payment by the company of associated expenses unless pre-approved by</t>
  </si>
  <si>
    <t>authorized members of Research management.</t>
  </si>
  <si>
    <t>With the exception of information regarding Morgan Stanley, Morgan Stanley Research is based on public</t>
  </si>
  <si>
    <t>information. Morgan Stanley makes every effort to use reliable, comprehensive information, but we make</t>
  </si>
  <si>
    <t>no representation that it is accurate or complete. We have no obligation to tell you when opinions or</t>
  </si>
  <si>
    <t>information in Morgan Stanley Research change apart from when we intend to discontinue equity research</t>
  </si>
  <si>
    <t>coverage of a subject company. Facts and views presented in Morgan Stanley Research have not been</t>
  </si>
  <si>
    <t>reviewed by, and may not reflect information known to, professionals in other Morgan Stanley business</t>
  </si>
  <si>
    <t>areas, including investment banking personnel.</t>
  </si>
  <si>
    <t>The "Important US Regulatory Disclosures on Subject Companies" section in Morgan Stanley Research lists</t>
  </si>
  <si>
    <t>all companies mentioned where Morgan Stanley owns 1% or more of a class of common equity securities of</t>
  </si>
  <si>
    <t>the companies. For all other companies mentioned in Morgan Stanley Research, Morgan Stanley may have an</t>
  </si>
  <si>
    <t>investment of less than 1% in securities/instruments or derivatives of securities/instruments of</t>
  </si>
  <si>
    <t>companies and may trade them in ways different from those discussed in Morgan Stanley Research.</t>
  </si>
  <si>
    <t>Employees of Morgan Stanley not involved in the preparation of Morgan Stanley Research may have</t>
  </si>
  <si>
    <t>investments in securities/instruments or derivatives of securities/instruments of companies mentioned</t>
  </si>
  <si>
    <t>and may trade them in ways different from those discussed in Morgan Stanley Research. Derivatives may be</t>
  </si>
  <si>
    <t>issued by Morgan Stanley or associated persons.</t>
  </si>
  <si>
    <t>The fixed income research analysts, strategists or economists principally responsible for the</t>
  </si>
  <si>
    <t>preparation of Morgan Stanley Research have received compensation based upon various factors, including</t>
  </si>
  <si>
    <t>quality, accuracy and value of research, firm profitability or revenues (which include fixed income</t>
  </si>
  <si>
    <t>trading and capital markets profitability or revenues), client feedback and competitive factors. Fixed</t>
  </si>
  <si>
    <t>Income Research analysts', strategists' or economists' compensation is not linked to investment banking</t>
  </si>
  <si>
    <t>or capital markets transactions performed by Morgan Stanley or the profitability or revenues of</t>
  </si>
  <si>
    <t>particular trading desks.</t>
  </si>
  <si>
    <t>Morgan Stanley Research does not provide individually tailored investment advice. Morgan Stanley</t>
  </si>
  <si>
    <t>Research has been prepared without regard to the circumstances and objectives of those who receive it.</t>
  </si>
  <si>
    <t>Morgan Stanley recommends that investors independently evaluate particular investments and strategies,</t>
  </si>
  <si>
    <t>and encourages investors to seek the advice of a financial adviser. The appropriateness of an investment</t>
  </si>
  <si>
    <t>or strategy will depend on an investor's circumstances and objectives. The securities, instruments, or</t>
  </si>
  <si>
    <t>strategies discussed in Morgan Stanley Research may not be suitable for all investors, and certain</t>
  </si>
  <si>
    <t>investors may not be eligible to purchase or participate in some or all of them. Morgan Stanley Research</t>
  </si>
  <si>
    <t>is not an offer to buy or sell or the solicitation of an offer to buy or sell any security/instrument or</t>
  </si>
  <si>
    <t>to participate in any particular trading strategy. The value of and income from your investments may</t>
  </si>
  <si>
    <t>vary because of changes in interest rates, foreign exchange rates, default rates, prepayment rates,</t>
  </si>
  <si>
    <t>securities/instruments prices, market indexes, operational or financial conditions of companies or other</t>
  </si>
  <si>
    <t>factors. There may be time limitations on the exercise of options or other rights in</t>
  </si>
  <si>
    <t>securities/instruments transactions. Past performance is not necessarily a guide to future performance.</t>
  </si>
  <si>
    <t>Estimates of future performance are based on assumptions that may not be realized. If provided, and</t>
  </si>
  <si>
    <t>unless otherwise stated, the closing price on the cover page is that of the primary exchange for the</t>
  </si>
  <si>
    <t>subject company's securities/instruments.</t>
  </si>
  <si>
    <t>If you do not agree to our Terms of Use and/or if you do not wish to provide your consent to Morgan</t>
  </si>
  <si>
    <t>Stanley processing your personal data or using cookies please do not access our research.</t>
  </si>
  <si>
    <t>Any access and/or use of Morgan Stanley Research is subject to Morgan Stanley's Terms of Use</t>
  </si>
  <si>
    <t>(http://www.morganstanley.com/terms.html). By accessing and/or using Morgan Stanley Research, you are</t>
  </si>
  <si>
    <t>indicating that you have read and agree to be bound by our Terms of Use</t>
  </si>
  <si>
    <t>(http://www.morganstanley.com/terms.html). In addition you consent to Morgan Stanley processing your</t>
  </si>
  <si>
    <t>personal data and using cookies in accordance with our Privacy Policy and our Global Cookies Policy</t>
  </si>
  <si>
    <t>(http://www.morganstanley.com/privacy_pledge.html), including for the purposes of setting your</t>
  </si>
  <si>
    <t>preferences and to collect readership data so that we can deliver better and more personalized service</t>
  </si>
  <si>
    <t>and products to you. To find out more information about how Morgan Stanley processes personal data, how</t>
  </si>
  <si>
    <t>we use cookies and how to reject cookies see our Privacy Policy and our Global Cookies Policy</t>
  </si>
  <si>
    <t>(http://www.morganstanley.com/privacy_pledge.html).</t>
  </si>
  <si>
    <t>Morgan Stanley Research is provided to our clients through our proprietary research portal on Matrix and</t>
  </si>
  <si>
    <t>also distributed electronically by Morgan Stanley to clients. Certain, but not all, Morgan Stanley</t>
  </si>
  <si>
    <t>Research products are also made available to clients through third-party vendors or redistributed to</t>
  </si>
  <si>
    <t>clients through alternate electronic means as a convenience. For access to all available Morgan Stanley</t>
  </si>
  <si>
    <t>Research, please contact your sales representative or go to Matrix at</t>
  </si>
  <si>
    <t>http://www.morganstanley.com/matrix.</t>
  </si>
  <si>
    <t>Morgan Stanley produces an equity research product called a "Tactical Idea." Views contained in a</t>
  </si>
  <si>
    <t>"Tactical Idea" on a particular stock may be contrary to the recommendations or views expressed in</t>
  </si>
  <si>
    <t>research on the same stock. This may be the result of differing time horizons, methodologies, market</t>
  </si>
  <si>
    <t>events, or other factors. For all research available on a particular stock, please contact your sales</t>
  </si>
  <si>
    <t>representative or go to Matrix at http://www.morganstanley.com/matrix.</t>
  </si>
  <si>
    <t>Morgan Stanley is not acting as a municipal advisor and the opinions or views contained herein are not</t>
  </si>
  <si>
    <t>intended to be, and do not constitute, advice within the meaning of Section 975 of the Dodd-Frank Wall</t>
  </si>
  <si>
    <t>Street Reform and Consumer Protection Act.</t>
  </si>
  <si>
    <t>Morgan Stanley Research policy is to update research reports as and when the Research Analyst and</t>
  </si>
  <si>
    <t>Research Management deem appropriate, based on developments with the issuer, the sector, or the market</t>
  </si>
  <si>
    <t>that may have a material impact on the research views or opinions stated therein. In addition, certain</t>
  </si>
  <si>
    <t>Research publications are intended to be updated on a regular periodic basis</t>
  </si>
  <si>
    <t>(weekly/monthly/quarterly/annual) and will ordinarily be updated with that frequency, unless the</t>
  </si>
  <si>
    <t>Research Analyst and Research Management determine that a different publication schedule is appropriate</t>
  </si>
  <si>
    <t>based on current conditions.</t>
  </si>
  <si>
    <t>Each Morgan Stanley Equity Research report is reviewed and approved on behalf of Morgan Stanley Smith</t>
  </si>
  <si>
    <t>Barney LLC. This review and approval is conducted by the same person who reviews the Equity Research</t>
  </si>
  <si>
    <t>report on behalf of Morgan Stanley. This could create a conflict of interest.</t>
  </si>
  <si>
    <t>Important disclosures regarding the relationship between the companies that are the subject of Morgan</t>
  </si>
  <si>
    <t>Stanley Research and Morgan Stanley Smith Barney LLC or Morgan Stanley or any of their affiliates, are</t>
  </si>
  <si>
    <t>available on the Morgan Stanley Wealth Management disclosure website at</t>
  </si>
  <si>
    <t>www.morganstanley.com/online/researchdisclosures. For Morgan Stanley specific disclosures, you may refer</t>
  </si>
  <si>
    <t>to www.morganstanley.com/researchdisclosures.</t>
  </si>
  <si>
    <t>Benchmarks for each region are as follows: North America - S&amp;P 500; Latin America - relevant MSCI</t>
  </si>
  <si>
    <t>country index or MSCI Latin America Index; Europe - MSCI Europe; Japan - TOPIX; Asia - relevant MSCI</t>
  </si>
  <si>
    <t>country index or MSCI sub-regional index or MSCI AC Asia Pacific ex Japan Index.</t>
  </si>
  <si>
    <t>Cautious (C): The analyst views the performance of his or her industry coverage universe over the next</t>
  </si>
  <si>
    <t>12-18 months with caution vs. the relevant broad market benchmark, as indicated below.</t>
  </si>
  <si>
    <t>In-Line (I): The analyst expects the performance of his or her industry coverage universe over the next</t>
  </si>
  <si>
    <t>12-18 months to be in line with the relevant broad market benchmark, as indicated below.</t>
  </si>
  <si>
    <t>Attractive (A): The analyst expects the performance of his or her industry coverage universe over the</t>
  </si>
  <si>
    <t>next 12-18 months to be attractive vs. the relevant broad market benchmark, as indicated below.</t>
  </si>
  <si>
    <t>Unless otherwise specified, the time frame for price targets included in Morgan Stanley Research is 12</t>
  </si>
  <si>
    <t>to 18 months.</t>
  </si>
  <si>
    <t>Underweight (U). The stock's total return is expected to be below the average total return of the</t>
  </si>
  <si>
    <t>analyst's industry (or industry team's) coverage universe, on a risk-adjusted basis, over the next 12-18</t>
  </si>
  <si>
    <t>months.</t>
  </si>
  <si>
    <t>Not-Rated (NR). Currently the analyst does not have adequate conviction about the stock's total return</t>
  </si>
  <si>
    <t>relative to the average total return of the analyst's industry (or industry team's) coverage universe,</t>
  </si>
  <si>
    <t>on a risk-adjusted basis, over the next 12-18 months.</t>
  </si>
  <si>
    <t>Equal-weight (E). The stock's total return is expected to be in line with the average total return of</t>
  </si>
  <si>
    <t>the analyst's industry (or industry team's) coverage universe, on a risk-adjusted basis, over the next</t>
  </si>
  <si>
    <t>12-18 months.</t>
  </si>
  <si>
    <t>Overweight (O). The stock's total return is expected to exceed the average total return of the analyst's</t>
  </si>
  <si>
    <t>industry (or industry team's) coverage universe, on a risk-adjusted basis, over the next 12-18 months.</t>
  </si>
  <si>
    <t>Data include common stock and ADRs currently assigned ratings. Investment Banking Clients are companies</t>
  </si>
  <si>
    <t>from whom Morgan Stanley received investment banking compensation in the last 12 months. Due to rounding</t>
  </si>
  <si>
    <t>off of decimals, the percentages provided in the "% of total" column may not add up to exactly 100</t>
  </si>
  <si>
    <t>percent.</t>
  </si>
  <si>
    <t>For disclosure purposes only (in accordance with NASD and NYSE requirements), we include the category</t>
  </si>
  <si>
    <t>headings of Buy, Hold, and Sell alongside our ratings of Overweight, Equal-weight, Not-Rated and</t>
  </si>
  <si>
    <t>Underweight. Morgan Stanley does not assign ratings of Buy, Hold or Sell to the stocks we cover.</t>
  </si>
  <si>
    <t>Overweight, Equal-weight, Not-Rated and Underweight are not the equivalent of buy, hold, and sell but</t>
  </si>
  <si>
    <t>represent recommended relative weightings (see definitions below). To satisfy regulatory requirements,</t>
  </si>
  <si>
    <t>we correspond Overweight, our most positive stock rating, with a buy recommendation; we correspond</t>
  </si>
  <si>
    <t>Equal-weight and Not-Rated to hold and Underweight to sell recommendations, respectively.</t>
  </si>
  <si>
    <t>The Stock Ratings described below apply to Morgan Stanley's Fundamental Equity Research and do not apply</t>
  </si>
  <si>
    <t>to Debt Research produced by the Firm.</t>
  </si>
  <si>
    <t>Morgan Stanley uses a relative rating system using terms such as Overweight, Equal-weight, Not-Rated or</t>
  </si>
  <si>
    <t>Underweight (see definitions below). Morgan Stanley does not assign ratings of Buy, Hold or Sell to the</t>
  </si>
  <si>
    <t>stocks we cover. Overweight, Equal-weight, Not-Rated and Underweight are not the equivalent of buy, hold</t>
  </si>
  <si>
    <t>and sell. Investors should carefully read the definitions of all ratings used in Morgan Stanley</t>
  </si>
  <si>
    <t>Research. In addition, since Morgan Stanley Research contains more complete information concerning the</t>
  </si>
  <si>
    <t>analyst's views, investors should carefully read Morgan Stanley Research, in its entirety, and not infer</t>
  </si>
  <si>
    <t>the contents from the rating alone. In any case, ratings (or research) should not be used or relied upon</t>
  </si>
  <si>
    <t>as investment advice. An investor's decision to buy or sell a stock should depend on individual</t>
  </si>
  <si>
    <t>circumstances (such as the investor's existing holdings) and other considerations.</t>
  </si>
  <si>
    <t>Certain disclosures listed above are also for compliance with applicable regulations in non-US</t>
  </si>
  <si>
    <t>jurisdictions.</t>
  </si>
  <si>
    <t>Morgan Stanley and its affiliates do business that relates to companies/instruments covered in Morgan</t>
  </si>
  <si>
    <t>Stanley Research, including market making, providing liquidity, fund management, commercial banking,</t>
  </si>
  <si>
    <t>extension of credit, investment services and investment banking. Morgan Stanley sells to and buys from</t>
  </si>
  <si>
    <t>customers the securities/instruments of companies covered in Morgan Stanley Research on a principal</t>
  </si>
  <si>
    <t>basis. Morgan Stanley may have a position in the debt of the Company or instruments discussed in this</t>
  </si>
  <si>
    <t>report. Morgan Stanley trades or may trade as principal in the debt securities (or in related</t>
  </si>
  <si>
    <t>derivatives) that are the subject of the debt research report.</t>
  </si>
  <si>
    <t>The equity research analysts or strategists principally responsible for the preparation of Morgan</t>
  </si>
  <si>
    <t>Stanley Research have received compensation based upon various factors, including quality of research,</t>
  </si>
  <si>
    <t>investor client feedback, stock picking, competitive factors, firm revenues and overall investment</t>
  </si>
  <si>
    <t>banking revenues. Equity Research analysts' or strategists' compensation is not linked to investment</t>
  </si>
  <si>
    <t>banking or capital markets transactions performed by Morgan Stanley or the profitability or revenues of</t>
  </si>
  <si>
    <t>Morgan Stanley Research has been published in accordance with our conflict management policy, which is</t>
  </si>
  <si>
    <t>available at www.morganstanley.com/institutional/research/conflictpolicies.</t>
  </si>
  <si>
    <t>The following analysts hereby certify that their views about the companies and their securities</t>
  </si>
  <si>
    <t>discussed in this report are accurately expressed and that they have not received and will not receive</t>
  </si>
  <si>
    <t>direct or indirect compensation in exchange for expressing specific recommendations or views in this</t>
  </si>
  <si>
    <t>report: Kimberly C Greenberger.</t>
  </si>
  <si>
    <t>For valuation methodology and risks associated with any recommendation, rating or price target</t>
  </si>
  <si>
    <t>referenced in this research report, please contact the Client Support Team as follows: US/Canada +1 800</t>
  </si>
  <si>
    <t>303-2495; Hong Kong +852 2848-5999; Latin America +1 718 754-5444 (U.S.); London +44 (0)20-7425-8169;</t>
  </si>
  <si>
    <t>Singapore +65 6834-6860; Sydney +61 (0)2-9770-1505; Tokyo +81 (0)3-6836-9000. Alternatively you may</t>
  </si>
  <si>
    <t>contact your investment representative or Morgan Stanley Research at 1585 Broadway, (Attention: Research</t>
  </si>
  <si>
    <t>Management), New York, NY 10036 USA.</t>
  </si>
  <si>
    <t>For important disclosures, stock price charts and equity rating histories regarding companies that are</t>
  </si>
  <si>
    <t>the subject of this report, please see the Morgan Stanley Research Disclosure Website at</t>
  </si>
  <si>
    <t>www.morganstanley.com/researchdisclosures, or contact your investment representative or Morgan Stanley</t>
  </si>
  <si>
    <t>Research at 1585 Broadway, (Attention: Research Management), New York, NY, 10036 USA.</t>
  </si>
  <si>
    <t>The information and opinions in Morgan Stanley Research were prepared by Morgan Stanley &amp; Co. LLC,</t>
  </si>
  <si>
    <t>and/or Morgan Stanley C.T.V.M. S.A., and/or Morgan Stanley Mexico, Casa de Bolsa, S.A. de C.V., and/or</t>
  </si>
  <si>
    <t>Morgan Stanley Canada Limited. As used in this disclosure section, "Morgan Stanley" includes Morgan</t>
  </si>
  <si>
    <t>Stanley &amp; Co. LLC, Morgan Stanley C.T.V.M. S.A., Morgan Stanley Mexico, Casa de Bolsa, S.A. de C.V.,</t>
  </si>
  <si>
    <t>Morgan Stanley Canada Limited and their affiliates as necessary.</t>
  </si>
  <si>
    <t>Morgan Stanley does and seeks to do business with companies covered in Morgan Stanley Research. As a</t>
  </si>
  <si>
    <t>result, investors should be aware that the firm may have a conflict of interest that could affect the</t>
  </si>
  <si>
    <t>objectivity of Morgan Stanley Research. Investors should consider Morgan Stanley Research as only a</t>
  </si>
  <si>
    <t>single factor in making their investment decision.</t>
  </si>
  <si>
    <t>© Copyright 2018 Morgan Stanley</t>
  </si>
  <si>
    <t>MacroVersion</t>
  </si>
  <si>
    <t>PublishDate</t>
  </si>
  <si>
    <t>Discipline</t>
  </si>
  <si>
    <t>ResearchTopic</t>
  </si>
  <si>
    <t>Company</t>
  </si>
  <si>
    <t>DocType</t>
  </si>
  <si>
    <t>SubjectCode</t>
  </si>
  <si>
    <t>Description</t>
  </si>
  <si>
    <t>KeepVersions</t>
  </si>
  <si>
    <t>All</t>
  </si>
  <si>
    <t>Rating</t>
  </si>
  <si>
    <t>CurrYearTotalRevenue*</t>
  </si>
  <si>
    <t>CurrYearEPS*</t>
  </si>
  <si>
    <t>NextYearTotalRevenue*</t>
  </si>
  <si>
    <t>NextYearEPS*</t>
  </si>
  <si>
    <t>FollowingYearTotalRevenue*</t>
  </si>
  <si>
    <t>FollowingYearEPS*</t>
  </si>
  <si>
    <t>5YearGrowthRate</t>
  </si>
  <si>
    <t>UpdateReason</t>
  </si>
  <si>
    <t>Authors</t>
  </si>
  <si>
    <t>Tickers</t>
  </si>
  <si>
    <t>CUSIP</t>
  </si>
  <si>
    <t>RIC</t>
  </si>
  <si>
    <t>SEDOL</t>
  </si>
  <si>
    <t>PathName</t>
  </si>
  <si>
    <t>Distribution</t>
  </si>
  <si>
    <t>Deleted</t>
  </si>
  <si>
    <t>NO</t>
  </si>
  <si>
    <t>EmailAlert</t>
  </si>
  <si>
    <t>YES</t>
  </si>
  <si>
    <t>CurrQtrEPS</t>
  </si>
  <si>
    <t>CYEnd</t>
  </si>
  <si>
    <t>CQEnd</t>
  </si>
  <si>
    <t>CurrYearTotalRevenueActual*</t>
  </si>
  <si>
    <t>NextYearTotalRevenueActual*</t>
  </si>
  <si>
    <t>FollowingYearTotalRevenueActual*</t>
  </si>
  <si>
    <t>Multiplier</t>
  </si>
  <si>
    <t>TemplateRegion</t>
  </si>
  <si>
    <t>ObjectType</t>
  </si>
  <si>
    <t>excel</t>
  </si>
  <si>
    <t>LanguageCode</t>
  </si>
  <si>
    <t>en-US</t>
  </si>
  <si>
    <t>SubmitterUserId</t>
  </si>
  <si>
    <t>IndustryId</t>
  </si>
  <si>
    <t>TickerRegion</t>
  </si>
  <si>
    <t>AdditionalInstructions</t>
  </si>
  <si>
    <t>*Estimated</t>
  </si>
  <si>
    <t>Underweight / Cautious</t>
  </si>
  <si>
    <t>Quarterly Update</t>
  </si>
  <si>
    <t>NorthAmerica</t>
  </si>
  <si>
    <t>casselau</t>
  </si>
  <si>
    <t>L:\RETAIL\Greenberger\Companies\AEO\Models\AEO.xlsm</t>
  </si>
  <si>
    <t>[BRO MSA]</t>
  </si>
  <si>
    <t>[PRODUCT MODEL]</t>
  </si>
  <si>
    <t>[EMAIL_ALERT YES]</t>
  </si>
  <si>
    <t>[DISCIPLINE Company]</t>
  </si>
  <si>
    <t>[SUPPRESSED NO]</t>
  </si>
  <si>
    <t>[DOCDAT 2018-03-08]</t>
  </si>
  <si>
    <t>[DOCTIME 21:34]</t>
  </si>
  <si>
    <t>[PSYM AEO.N(S&amp;P) (None)]</t>
  </si>
  <si>
    <t>[COU 1]</t>
  </si>
  <si>
    <t>[ANA ]</t>
  </si>
  <si>
    <t>[HL AEO.N Model]</t>
  </si>
  <si>
    <t>[IND RETSPA]</t>
  </si>
  <si>
    <t>[PANA MSA13041]</t>
  </si>
</sst>
</file>

<file path=xl/styles.xml><?xml version="1.0" encoding="utf-8"?>
<styleSheet xmlns="http://schemas.openxmlformats.org/spreadsheetml/2006/main" xmlns:mc="http://schemas.openxmlformats.org/markup-compatibility/2006" xmlns:x14ac="http://schemas.microsoft.com/office/spreadsheetml/2009/9/ac" mc:Ignorable="x14ac">
  <numFmts count="74">
    <numFmt numFmtId="5" formatCode="&quot;$&quot;#,##0_);\(&quot;$&quot;#,##0\)"/>
    <numFmt numFmtId="6" formatCode="&quot;$&quot;#,##0_);[Red]\(&quot;$&quot;#,##0\)"/>
    <numFmt numFmtId="7" formatCode="&quot;$&quot;#,##0.00_);\(&quot;$&quot;#,##0.00\)"/>
    <numFmt numFmtId="8" formatCode="&quot;$&quot;#,##0.00_);[Red]\(&quot;$&quot;#,##0.00\)"/>
    <numFmt numFmtId="44" formatCode="_(&quot;$&quot;* #,##0.00_);_(&quot;$&quot;* \(#,##0.00\);_(&quot;$&quot;* &quot;-&quot;??_);_(@_)"/>
    <numFmt numFmtId="43" formatCode="_(* #,##0.00_);_(* \(#,##0.00\);_(* &quot;-&quot;??_);_(@_)"/>
    <numFmt numFmtId="164" formatCode="mm/dd/yy_)"/>
    <numFmt numFmtId="165" formatCode="#,##0.0_);\(#,##0.0\)"/>
    <numFmt numFmtId="166" formatCode="&quot;$&quot;#,##0.0_);\(&quot;$&quot;#,##0.0\)"/>
    <numFmt numFmtId="167" formatCode="#,##0.000_);\(#,##0.000\)"/>
    <numFmt numFmtId="168" formatCode="0.00_)"/>
    <numFmt numFmtId="169" formatCode="\+0%;\-0%"/>
    <numFmt numFmtId="170" formatCode="\(\+0.0;\(\-0.0\)"/>
    <numFmt numFmtId="171" formatCode="0.0;\(0.0\)"/>
    <numFmt numFmtId="172" formatCode="\(0.00\)"/>
    <numFmt numFmtId="173" formatCode="\(0.0\)"/>
    <numFmt numFmtId="174" formatCode="\+0.0;\-0.0"/>
    <numFmt numFmtId="175" formatCode="\+0.0%;\-0.0%"/>
    <numFmt numFmtId="176" formatCode="\+0;\-0"/>
    <numFmt numFmtId="177" formatCode="0.0%"/>
    <numFmt numFmtId="178" formatCode="0.000"/>
    <numFmt numFmtId="179" formatCode="\/0\)"/>
    <numFmt numFmtId="180" formatCode="\/0\);\/\-0\)"/>
    <numFmt numFmtId="181" formatCode="###0_);\(###0\)"/>
    <numFmt numFmtId="182" formatCode="General_)"/>
    <numFmt numFmtId="183" formatCode="0.000_)"/>
    <numFmt numFmtId="184" formatCode="&quot;$&quot;#,##0.000_);\(&quot;$&quot;#,##0.000\)"/>
    <numFmt numFmtId="185" formatCode="&quot;$&quot;#,##0.0_);[Red]\(&quot;$&quot;#,##0.0\)"/>
    <numFmt numFmtId="186" formatCode="#,##0.0_);[Red]\(#,##0.0\)"/>
    <numFmt numFmtId="187" formatCode="#,##0.000_);[Red]\(#,##0.000\)"/>
    <numFmt numFmtId="188" formatCode="&quot;$&quot;#,##0.0\ ;[Red]\(&quot;$&quot;#,##0.0\)"/>
    <numFmt numFmtId="189" formatCode="#,##0.0%\ ;[Red]\(#,##0.0%\)"/>
    <numFmt numFmtId="190" formatCode="#,##0.0"/>
    <numFmt numFmtId="191" formatCode="0.0%;\(0.0%\)"/>
    <numFmt numFmtId="192" formatCode="&quot;$&quot;#,##0.0_);\(&quot;$&quot;#,##0.0\);\ \-\-"/>
    <numFmt numFmtId="193" formatCode="\/0.0\)"/>
    <numFmt numFmtId="194" formatCode="0.0_);[Red]\(0.0\)"/>
    <numFmt numFmtId="195" formatCode="&quot;$&quot;#,##0"/>
    <numFmt numFmtId="196" formatCode="0_);\(0\)"/>
    <numFmt numFmtId="197" formatCode="0.0_);\(0.0\)"/>
    <numFmt numFmtId="199" formatCode="\/0.0;\/\-0.0"/>
    <numFmt numFmtId="200" formatCode="\/0.0;\/\-0.0\)"/>
    <numFmt numFmtId="201" formatCode="&quot;$&quot;#,##0.0"/>
    <numFmt numFmtId="203" formatCode="####\A"/>
    <numFmt numFmtId="205" formatCode="\+0.00;\-0.00"/>
    <numFmt numFmtId="206" formatCode="###0&quot;E&quot;"/>
    <numFmt numFmtId="207" formatCode="#,##0.0;\(#,##0.0\)"/>
    <numFmt numFmtId="208" formatCode="0000\A"/>
    <numFmt numFmtId="209" formatCode="0_);[Red]\(0\)"/>
    <numFmt numFmtId="212" formatCode="_-&quot;£&quot;* #,##0.00_-;\-&quot;£&quot;* #,##0.00_-;_-&quot;£&quot;* &quot;-&quot;??_-;_-@_-"/>
    <numFmt numFmtId="213" formatCode="_-* #,##0.00_-;\-* #,##0.00_-;_-* &quot;-&quot;??_-;_-@_-"/>
    <numFmt numFmtId="223" formatCode="0.0\x"/>
    <numFmt numFmtId="225" formatCode="0\ &quot;bps&quot;"/>
    <numFmt numFmtId="227" formatCode="\(0.000\)"/>
    <numFmt numFmtId="228" formatCode="\+0.000;\-0.000"/>
    <numFmt numFmtId="229" formatCode="\/0.00\)"/>
    <numFmt numFmtId="230" formatCode="#,##0.00%\ ;[Red]\(#,##0.00%\)"/>
    <numFmt numFmtId="232" formatCode="_(* #,##0_);_(* \(#,##0\);_(* &quot;-&quot;??_);_(@_)"/>
    <numFmt numFmtId="237" formatCode="0.0"/>
    <numFmt numFmtId="238" formatCode="#,##0;\(#,##0\)"/>
    <numFmt numFmtId="239" formatCode="\F###0\E"/>
    <numFmt numFmtId="242" formatCode="\F###0\A"/>
    <numFmt numFmtId="243" formatCode="###0"/>
    <numFmt numFmtId="244" formatCode="###0.00"/>
    <numFmt numFmtId="245" formatCode="###0.0"/>
    <numFmt numFmtId="246" formatCode="\F###0"/>
    <numFmt numFmtId="248" formatCode="0.0%_);\(0.0%\);&quot;–&quot;_)"/>
    <numFmt numFmtId="249" formatCode="_(* #,##0.0_);_(* \(#,##0.0\);_(* &quot;-&quot;?_);_(@_)"/>
    <numFmt numFmtId="250" formatCode="_(&quot;$&quot;* #,##0.0_);_(&quot;$&quot;* \(#,##0.0\);_(&quot;$&quot;* &quot;-&quot;?_);_(@_)"/>
    <numFmt numFmtId="251" formatCode="\(\+0.0;\(\-0.0"/>
    <numFmt numFmtId="252" formatCode="####&quot;E&quot;"/>
    <numFmt numFmtId="254" formatCode="mm/yyyy"/>
    <numFmt numFmtId="255" formatCode="\+0.0000;\-0.0000"/>
    <numFmt numFmtId="264" formatCode="mm/dd/yy\ hh:mm"/>
  </numFmts>
  <fonts count="160">
    <font>
      <sz val="10"/>
      <name val="Courier"/>
    </font>
    <font>
      <sz val="10"/>
      <name val="MS Sans Serif"/>
      <family val="2"/>
    </font>
    <font>
      <sz val="10"/>
      <name val="Helv"/>
    </font>
    <font>
      <sz val="8"/>
      <name val="Helv"/>
    </font>
    <font>
      <sz val="10"/>
      <name val="Courier"/>
      <family val="3"/>
    </font>
    <font>
      <sz val="7"/>
      <name val="Courier"/>
      <family val="3"/>
    </font>
    <font>
      <sz val="10"/>
      <name val="Arial"/>
      <family val="2"/>
    </font>
    <font>
      <u/>
      <sz val="10"/>
      <name val="Helv"/>
    </font>
    <font>
      <sz val="8"/>
      <color indexed="8"/>
      <name val="Arial"/>
      <family val="2"/>
    </font>
    <font>
      <sz val="10"/>
      <name val="Arial"/>
      <family val="2"/>
    </font>
    <font>
      <sz val="10"/>
      <color indexed="8"/>
      <name val="Arial"/>
      <family val="2"/>
    </font>
    <font>
      <b/>
      <sz val="10"/>
      <name val="Arial"/>
      <family val="2"/>
    </font>
    <font>
      <b/>
      <u/>
      <sz val="10"/>
      <name val="Arial"/>
      <family val="2"/>
    </font>
    <font>
      <sz val="10"/>
      <color indexed="39"/>
      <name val="Arial"/>
      <family val="2"/>
    </font>
    <font>
      <u/>
      <sz val="10"/>
      <name val="Arial"/>
      <family val="2"/>
    </font>
    <font>
      <sz val="8"/>
      <name val="Arial"/>
      <family val="2"/>
    </font>
    <font>
      <b/>
      <sz val="8"/>
      <name val="Arial"/>
      <family val="2"/>
    </font>
    <font>
      <b/>
      <u/>
      <sz val="8"/>
      <name val="Arial"/>
      <family val="2"/>
    </font>
    <font>
      <sz val="8"/>
      <color indexed="12"/>
      <name val="Arial"/>
      <family val="2"/>
    </font>
    <font>
      <sz val="10"/>
      <color indexed="12"/>
      <name val="Arial"/>
      <family val="2"/>
    </font>
    <font>
      <b/>
      <u/>
      <sz val="10"/>
      <name val="Arial"/>
      <family val="2"/>
    </font>
    <font>
      <b/>
      <sz val="8"/>
      <color indexed="12"/>
      <name val="Arial"/>
      <family val="2"/>
    </font>
    <font>
      <sz val="8"/>
      <color indexed="81"/>
      <name val="Tahoma"/>
      <family val="2"/>
    </font>
    <font>
      <b/>
      <sz val="8"/>
      <color indexed="81"/>
      <name val="Tahoma"/>
      <family val="2"/>
    </font>
    <font>
      <sz val="10"/>
      <name val="Courier"/>
      <family val="3"/>
    </font>
    <font>
      <b/>
      <sz val="10"/>
      <color indexed="12"/>
      <name val="Arial"/>
      <family val="2"/>
    </font>
    <font>
      <i/>
      <sz val="8"/>
      <name val="Arial"/>
      <family val="2"/>
    </font>
    <font>
      <i/>
      <sz val="10"/>
      <name val="Arial"/>
      <family val="2"/>
    </font>
    <font>
      <sz val="8"/>
      <color indexed="9"/>
      <name val="Arial"/>
      <family val="2"/>
    </font>
    <font>
      <sz val="10"/>
      <color indexed="14"/>
      <name val="Arial"/>
      <family val="2"/>
    </font>
    <font>
      <sz val="9"/>
      <name val="Arial"/>
      <family val="2"/>
    </font>
    <font>
      <b/>
      <u/>
      <sz val="8"/>
      <color indexed="12"/>
      <name val="Arial"/>
      <family val="2"/>
    </font>
    <font>
      <sz val="10"/>
      <color indexed="10"/>
      <name val="Arial"/>
      <family val="2"/>
    </font>
    <font>
      <b/>
      <i/>
      <sz val="10"/>
      <name val="Arial"/>
      <family val="2"/>
    </font>
    <font>
      <sz val="8"/>
      <color indexed="17"/>
      <name val="Arial"/>
      <family val="2"/>
    </font>
    <font>
      <b/>
      <sz val="12"/>
      <name val="Arial"/>
      <family val="2"/>
    </font>
    <font>
      <i/>
      <sz val="9"/>
      <name val="Arial"/>
      <family val="2"/>
    </font>
    <font>
      <sz val="8"/>
      <color indexed="10"/>
      <name val="Arial"/>
      <family val="2"/>
    </font>
    <font>
      <b/>
      <sz val="10"/>
      <color indexed="81"/>
      <name val="Tahoma"/>
      <family val="2"/>
    </font>
    <font>
      <sz val="10"/>
      <color indexed="81"/>
      <name val="Tahoma"/>
      <family val="2"/>
    </font>
    <font>
      <b/>
      <sz val="9"/>
      <color indexed="81"/>
      <name val="Tahoma"/>
      <family val="2"/>
    </font>
    <font>
      <sz val="9"/>
      <color indexed="81"/>
      <name val="Tahoma"/>
      <family val="2"/>
    </font>
    <font>
      <sz val="10"/>
      <color indexed="55"/>
      <name val="Arial"/>
      <family val="2"/>
    </font>
    <font>
      <sz val="8"/>
      <color indexed="55"/>
      <name val="Arial"/>
      <family val="2"/>
    </font>
    <font>
      <b/>
      <sz val="10"/>
      <color indexed="55"/>
      <name val="Arial"/>
      <family val="2"/>
    </font>
    <font>
      <sz val="10"/>
      <name val="Courier"/>
      <family val="3"/>
    </font>
    <font>
      <i/>
      <sz val="7"/>
      <name val="Arial"/>
      <family val="2"/>
    </font>
    <font>
      <b/>
      <sz val="9"/>
      <name val="Arial"/>
      <family val="2"/>
    </font>
    <font>
      <u/>
      <sz val="9"/>
      <name val="Arial"/>
      <family val="2"/>
    </font>
    <font>
      <b/>
      <sz val="9"/>
      <color indexed="12"/>
      <name val="Arial"/>
      <family val="2"/>
    </font>
    <font>
      <sz val="9"/>
      <color indexed="12"/>
      <name val="Arial"/>
      <family val="2"/>
    </font>
    <font>
      <sz val="9"/>
      <color indexed="50"/>
      <name val="Arial"/>
      <family val="2"/>
    </font>
    <font>
      <sz val="9"/>
      <color indexed="14"/>
      <name val="Arial"/>
      <family val="2"/>
    </font>
    <font>
      <b/>
      <sz val="8"/>
      <color indexed="21"/>
      <name val="Arial"/>
      <family val="2"/>
    </font>
    <font>
      <sz val="8"/>
      <color indexed="21"/>
      <name val="Arial"/>
      <family val="2"/>
    </font>
    <font>
      <sz val="8"/>
      <color indexed="20"/>
      <name val="Arial"/>
      <family val="2"/>
    </font>
    <font>
      <b/>
      <sz val="10"/>
      <color indexed="20"/>
      <name val="Arial"/>
      <family val="2"/>
    </font>
    <font>
      <sz val="10"/>
      <color indexed="20"/>
      <name val="Arial"/>
      <family val="2"/>
    </font>
    <font>
      <sz val="10"/>
      <color indexed="20"/>
      <name val="Courier"/>
      <family val="3"/>
    </font>
    <font>
      <sz val="10"/>
      <color indexed="20"/>
      <name val="Courier"/>
      <family val="3"/>
    </font>
    <font>
      <u/>
      <sz val="10"/>
      <color indexed="20"/>
      <name val="Arial"/>
      <family val="2"/>
    </font>
    <font>
      <u/>
      <sz val="8"/>
      <color indexed="20"/>
      <name val="Arial"/>
      <family val="2"/>
    </font>
    <font>
      <vertAlign val="superscript"/>
      <sz val="10"/>
      <name val="Arial"/>
      <family val="2"/>
    </font>
    <font>
      <sz val="8"/>
      <name val="Courier"/>
      <family val="3"/>
    </font>
    <font>
      <sz val="9"/>
      <name val="Futura UBS Bk"/>
    </font>
    <font>
      <b/>
      <sz val="10"/>
      <color indexed="9"/>
      <name val="Arial"/>
      <family val="2"/>
    </font>
    <font>
      <i/>
      <sz val="10"/>
      <color indexed="9"/>
      <name val="Arial"/>
      <family val="2"/>
    </font>
    <font>
      <sz val="10"/>
      <color indexed="9"/>
      <name val="Arial"/>
      <family val="2"/>
    </font>
    <font>
      <sz val="10"/>
      <color indexed="17"/>
      <name val="Arial"/>
      <family val="2"/>
    </font>
    <font>
      <i/>
      <sz val="10"/>
      <color indexed="12"/>
      <name val="Arial"/>
      <family val="2"/>
    </font>
    <font>
      <sz val="10"/>
      <color indexed="23"/>
      <name val="CIR Trade Gothic Cn"/>
    </font>
    <font>
      <sz val="10"/>
      <color indexed="23"/>
      <name val="Arial"/>
      <family val="2"/>
    </font>
    <font>
      <sz val="9"/>
      <color indexed="17"/>
      <name val="Arial"/>
      <family val="2"/>
    </font>
    <font>
      <sz val="9"/>
      <color indexed="23"/>
      <name val="Arial"/>
      <family val="2"/>
    </font>
    <font>
      <b/>
      <u/>
      <sz val="8"/>
      <color indexed="81"/>
      <name val="Tahoma"/>
      <family val="2"/>
    </font>
    <font>
      <b/>
      <u/>
      <sz val="10"/>
      <color indexed="81"/>
      <name val="Tahoma"/>
      <family val="2"/>
    </font>
    <font>
      <b/>
      <sz val="8"/>
      <color indexed="9"/>
      <name val="Arial"/>
      <family val="2"/>
    </font>
    <font>
      <b/>
      <sz val="10"/>
      <color indexed="8"/>
      <name val="Times New Roman"/>
      <family val="1"/>
    </font>
    <font>
      <sz val="9"/>
      <name val="Times New Roman"/>
      <family val="1"/>
    </font>
    <font>
      <sz val="10"/>
      <color indexed="8"/>
      <name val="Times New Roman"/>
      <family val="1"/>
    </font>
    <font>
      <i/>
      <sz val="8"/>
      <name val="Times New Roman"/>
      <family val="1"/>
    </font>
    <font>
      <sz val="8"/>
      <name val="Arial"/>
      <family val="2"/>
    </font>
    <font>
      <b/>
      <sz val="14"/>
      <color indexed="18"/>
      <name val="Arial"/>
      <family val="2"/>
    </font>
    <font>
      <sz val="8"/>
      <name val="Times New Roman"/>
      <family val="1"/>
    </font>
    <font>
      <sz val="8"/>
      <color indexed="22"/>
      <name val="Arial"/>
      <family val="2"/>
    </font>
    <font>
      <sz val="10"/>
      <color indexed="22"/>
      <name val="Arial"/>
      <family val="2"/>
    </font>
    <font>
      <sz val="8"/>
      <color indexed="23"/>
      <name val="Arial"/>
      <family val="2"/>
    </font>
    <font>
      <sz val="10"/>
      <color indexed="43"/>
      <name val="Arial"/>
      <family val="2"/>
    </font>
    <font>
      <b/>
      <sz val="12"/>
      <color indexed="12"/>
      <name val="Arial"/>
      <family val="2"/>
    </font>
    <font>
      <u/>
      <sz val="8"/>
      <color indexed="81"/>
      <name val="Tahoma"/>
      <family val="2"/>
    </font>
    <font>
      <b/>
      <sz val="10"/>
      <color indexed="22"/>
      <name val="Arial"/>
      <family val="2"/>
    </font>
    <font>
      <sz val="10"/>
      <color indexed="53"/>
      <name val="Arial"/>
      <family val="2"/>
    </font>
    <font>
      <i/>
      <sz val="10"/>
      <color indexed="22"/>
      <name val="Arial"/>
      <family val="2"/>
    </font>
    <font>
      <b/>
      <i/>
      <sz val="10"/>
      <color indexed="12"/>
      <name val="Arial"/>
      <family val="2"/>
    </font>
    <font>
      <b/>
      <sz val="8"/>
      <color indexed="62"/>
      <name val="Arial"/>
      <family val="2"/>
    </font>
    <font>
      <b/>
      <u/>
      <sz val="8"/>
      <color indexed="23"/>
      <name val="Arial"/>
      <family val="2"/>
    </font>
    <font>
      <sz val="9"/>
      <color indexed="48"/>
      <name val="Arial"/>
      <family val="2"/>
    </font>
    <font>
      <sz val="12"/>
      <name val="Times New Roman"/>
      <family val="1"/>
    </font>
    <font>
      <sz val="11"/>
      <color indexed="8"/>
      <name val="Calibri"/>
      <family val="2"/>
    </font>
    <font>
      <sz val="11"/>
      <color indexed="9"/>
      <name val="Calibri"/>
      <family val="2"/>
    </font>
    <font>
      <sz val="11"/>
      <color indexed="20"/>
      <name val="Calibri"/>
      <family val="2"/>
    </font>
    <font>
      <b/>
      <sz val="11"/>
      <color indexed="52"/>
      <name val="Calibri"/>
      <family val="2"/>
    </font>
    <font>
      <b/>
      <sz val="11"/>
      <color indexed="9"/>
      <name val="Calibri"/>
      <family val="2"/>
    </font>
    <font>
      <i/>
      <sz val="11"/>
      <color indexed="23"/>
      <name val="Calibri"/>
      <family val="2"/>
    </font>
    <font>
      <sz val="11"/>
      <color indexed="17"/>
      <name val="Calibri"/>
      <family val="2"/>
    </font>
    <font>
      <b/>
      <sz val="15"/>
      <color indexed="56"/>
      <name val="Calibri"/>
      <family val="2"/>
    </font>
    <font>
      <b/>
      <sz val="13"/>
      <color indexed="56"/>
      <name val="Calibri"/>
      <family val="2"/>
    </font>
    <font>
      <b/>
      <sz val="11"/>
      <color indexed="56"/>
      <name val="Calibri"/>
      <family val="2"/>
    </font>
    <font>
      <sz val="11"/>
      <color indexed="52"/>
      <name val="Calibri"/>
      <family val="2"/>
    </font>
    <font>
      <sz val="11"/>
      <color indexed="60"/>
      <name val="Calibri"/>
      <family val="2"/>
    </font>
    <font>
      <b/>
      <sz val="11"/>
      <color indexed="63"/>
      <name val="Calibri"/>
      <family val="2"/>
    </font>
    <font>
      <b/>
      <sz val="11"/>
      <color indexed="8"/>
      <name val="Calibri"/>
      <family val="2"/>
    </font>
    <font>
      <sz val="11"/>
      <color indexed="10"/>
      <name val="Calibri"/>
      <family val="2"/>
    </font>
    <font>
      <sz val="11"/>
      <name val="Arial"/>
      <family val="2"/>
    </font>
    <font>
      <b/>
      <sz val="11"/>
      <name val="Arial"/>
      <family val="2"/>
    </font>
    <font>
      <b/>
      <sz val="10"/>
      <color indexed="10"/>
      <name val="Arial"/>
      <family val="2"/>
    </font>
    <font>
      <sz val="7"/>
      <color indexed="81"/>
      <name val="Tahoma"/>
      <family val="2"/>
    </font>
    <font>
      <b/>
      <sz val="10"/>
      <color indexed="8"/>
      <name val="Arial"/>
      <family val="2"/>
    </font>
    <font>
      <sz val="10"/>
      <color indexed="24"/>
      <name val="Arial"/>
      <family val="2"/>
    </font>
    <font>
      <b/>
      <u/>
      <sz val="10"/>
      <color indexed="8"/>
      <name val="Arial"/>
      <family val="2"/>
    </font>
    <font>
      <b/>
      <u/>
      <sz val="10"/>
      <color indexed="12"/>
      <name val="Arial"/>
      <family val="2"/>
    </font>
    <font>
      <u/>
      <sz val="10"/>
      <color indexed="8"/>
      <name val="Arial"/>
      <family val="2"/>
    </font>
    <font>
      <sz val="10"/>
      <color indexed="50"/>
      <name val="Arial"/>
      <family val="2"/>
    </font>
    <font>
      <u/>
      <sz val="10"/>
      <color indexed="12"/>
      <name val="Arial"/>
      <family val="2"/>
    </font>
    <font>
      <u/>
      <sz val="10"/>
      <color indexed="17"/>
      <name val="Arial"/>
      <family val="2"/>
    </font>
    <font>
      <sz val="10"/>
      <color indexed="63"/>
      <name val="Arial"/>
      <family val="2"/>
    </font>
    <font>
      <sz val="10"/>
      <color indexed="54"/>
      <name val="Arial"/>
      <family val="2"/>
    </font>
    <font>
      <sz val="10"/>
      <color indexed="56"/>
      <name val="Arial"/>
      <family val="2"/>
    </font>
    <font>
      <sz val="10"/>
      <color indexed="51"/>
      <name val="Arial"/>
      <family val="2"/>
    </font>
    <font>
      <u/>
      <sz val="10"/>
      <color indexed="51"/>
      <name val="Arial"/>
      <family val="2"/>
    </font>
    <font>
      <u/>
      <sz val="10"/>
      <color indexed="14"/>
      <name val="Arial"/>
      <family val="2"/>
    </font>
    <font>
      <sz val="10"/>
      <color indexed="57"/>
      <name val="Arial"/>
      <family val="2"/>
    </font>
    <font>
      <b/>
      <sz val="10"/>
      <color indexed="57"/>
      <name val="Arial"/>
      <family val="2"/>
    </font>
    <font>
      <sz val="10"/>
      <color indexed="19"/>
      <name val="Arial"/>
      <family val="2"/>
    </font>
    <font>
      <b/>
      <sz val="10"/>
      <color indexed="17"/>
      <name val="Arial"/>
      <family val="2"/>
    </font>
    <font>
      <sz val="10"/>
      <name val="Arial"/>
      <family val="2"/>
    </font>
    <font>
      <sz val="8"/>
      <name val="Arial"/>
      <family val="2"/>
    </font>
    <font>
      <sz val="10"/>
      <color indexed="8"/>
      <name val="MS Sans Serif"/>
      <family val="2"/>
    </font>
    <font>
      <sz val="8.25"/>
      <name val="Microsoft Sans Serif"/>
      <family val="2"/>
    </font>
    <font>
      <sz val="10"/>
      <name val="ＭＳ Ｐゴシック"/>
      <family val="3"/>
      <charset val="128"/>
    </font>
    <font>
      <b/>
      <i/>
      <sz val="10"/>
      <color indexed="62"/>
      <name val="Arial"/>
      <family val="2"/>
    </font>
    <font>
      <i/>
      <sz val="10"/>
      <color indexed="8"/>
      <name val="Arial"/>
      <family val="2"/>
    </font>
    <font>
      <i/>
      <sz val="10"/>
      <color indexed="23"/>
      <name val="Arial"/>
      <family val="2"/>
    </font>
    <font>
      <i/>
      <sz val="10"/>
      <color indexed="44"/>
      <name val="Arial"/>
      <family val="2"/>
    </font>
    <font>
      <i/>
      <sz val="8"/>
      <color indexed="55"/>
      <name val="Arial"/>
      <family val="2"/>
    </font>
    <font>
      <i/>
      <sz val="8"/>
      <color indexed="9"/>
      <name val="Arial"/>
      <family val="2"/>
    </font>
    <font>
      <sz val="10"/>
      <color rgb="FF0070C0"/>
      <name val="Arial"/>
      <family val="2"/>
    </font>
    <font>
      <sz val="10"/>
      <color theme="4"/>
      <name val="Arial"/>
      <family val="2"/>
    </font>
    <font>
      <sz val="8"/>
      <color theme="4"/>
      <name val="Arial"/>
      <family val="2"/>
    </font>
    <font>
      <sz val="10"/>
      <color rgb="FF00B050"/>
      <name val="Arial"/>
      <family val="2"/>
    </font>
    <font>
      <sz val="10"/>
      <color theme="3" tint="0.39997558519241921"/>
      <name val="Arial"/>
      <family val="2"/>
    </font>
    <font>
      <b/>
      <sz val="8"/>
      <color rgb="FF0000FF"/>
      <name val="Arial"/>
      <family val="2"/>
    </font>
    <font>
      <sz val="8"/>
      <color rgb="FF0000FF"/>
      <name val="Arial"/>
      <family val="2"/>
    </font>
    <font>
      <sz val="10"/>
      <color rgb="FF0000FF"/>
      <name val="Arial"/>
      <family val="2"/>
    </font>
    <font>
      <i/>
      <sz val="10"/>
      <color rgb="FF0000FF"/>
      <name val="Arial"/>
      <family val="2"/>
    </font>
    <font>
      <b/>
      <sz val="8"/>
      <color theme="4"/>
      <name val="Arial"/>
      <family val="2"/>
    </font>
    <font>
      <sz val="8"/>
      <color rgb="FF0070C0"/>
      <name val="Arial"/>
      <family val="2"/>
    </font>
    <font>
      <sz val="10"/>
      <name val="Arial"/>
    </font>
    <font>
      <sz val="10"/>
      <color rgb="FF000000"/>
      <name val="Arial"/>
      <family val="2"/>
    </font>
    <font>
      <b/>
      <sz val="12"/>
      <color rgb="FF000080"/>
      <name val="Arial"/>
      <family val="2"/>
    </font>
  </fonts>
  <fills count="37">
    <fill>
      <patternFill patternType="none"/>
    </fill>
    <fill>
      <patternFill patternType="gray125"/>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22"/>
        <bgColor indexed="64"/>
      </patternFill>
    </fill>
    <fill>
      <patternFill patternType="solid">
        <fgColor indexed="9"/>
        <bgColor indexed="64"/>
      </patternFill>
    </fill>
    <fill>
      <patternFill patternType="solid">
        <fgColor indexed="43"/>
      </patternFill>
    </fill>
    <fill>
      <patternFill patternType="solid">
        <fgColor indexed="26"/>
      </patternFill>
    </fill>
    <fill>
      <patternFill patternType="solid">
        <fgColor indexed="43"/>
        <bgColor indexed="64"/>
      </patternFill>
    </fill>
    <fill>
      <patternFill patternType="solid">
        <fgColor indexed="13"/>
        <bgColor indexed="64"/>
      </patternFill>
    </fill>
    <fill>
      <patternFill patternType="solid">
        <fgColor indexed="47"/>
        <bgColor indexed="64"/>
      </patternFill>
    </fill>
    <fill>
      <patternFill patternType="solid">
        <fgColor indexed="48"/>
        <bgColor indexed="64"/>
      </patternFill>
    </fill>
    <fill>
      <patternFill patternType="solid">
        <fgColor indexed="53"/>
        <bgColor indexed="64"/>
      </patternFill>
    </fill>
    <fill>
      <patternFill patternType="solid">
        <fgColor indexed="44"/>
        <bgColor indexed="64"/>
      </patternFill>
    </fill>
    <fill>
      <patternFill patternType="solid">
        <fgColor rgb="FFFFFF00"/>
        <bgColor indexed="64"/>
      </patternFill>
    </fill>
    <fill>
      <patternFill patternType="solid">
        <fgColor theme="0" tint="-0.14999847407452621"/>
        <bgColor indexed="64"/>
      </patternFill>
    </fill>
    <fill>
      <patternFill patternType="solid">
        <fgColor theme="3" tint="0.59999389629810485"/>
        <bgColor indexed="64"/>
      </patternFill>
    </fill>
    <fill>
      <patternFill patternType="solid">
        <fgColor theme="0"/>
        <bgColor indexed="64"/>
      </patternFill>
    </fill>
    <fill>
      <patternFill patternType="solid">
        <fgColor indexed="65"/>
        <bgColor indexed="64"/>
      </patternFill>
    </fill>
  </fills>
  <borders count="53">
    <border>
      <left/>
      <right/>
      <top/>
      <bottom/>
      <diagonal/>
    </border>
    <border>
      <left style="thin">
        <color indexed="64"/>
      </left>
      <right/>
      <top/>
      <bottom/>
      <diagonal/>
    </border>
    <border>
      <left/>
      <right/>
      <top/>
      <bottom style="thin">
        <color indexed="64"/>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medium">
        <color indexed="64"/>
      </bottom>
      <diagonal/>
    </border>
    <border>
      <left style="thin">
        <color indexed="64"/>
      </left>
      <right style="thin">
        <color indexed="64"/>
      </right>
      <top/>
      <bottom/>
      <diagonal/>
    </border>
    <border>
      <left/>
      <right/>
      <top style="thin">
        <color indexed="64"/>
      </top>
      <bottom style="thin">
        <color indexed="64"/>
      </bottom>
      <diagonal/>
    </border>
    <border>
      <left style="thin">
        <color indexed="64"/>
      </left>
      <right/>
      <top style="thin">
        <color indexed="64"/>
      </top>
      <bottom/>
      <diagonal/>
    </border>
    <border>
      <left style="thin">
        <color indexed="64"/>
      </left>
      <right style="thin">
        <color indexed="64"/>
      </right>
      <top style="thin">
        <color indexed="64"/>
      </top>
      <bottom style="thin">
        <color indexed="64"/>
      </bottom>
      <diagonal/>
    </border>
    <border>
      <left/>
      <right/>
      <top style="medium">
        <color indexed="64"/>
      </top>
      <bottom style="medium">
        <color indexed="64"/>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style="medium">
        <color indexed="64"/>
      </top>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bottom style="thin">
        <color indexed="8"/>
      </bottom>
      <diagonal/>
    </border>
    <border>
      <left/>
      <right/>
      <top/>
      <bottom style="double">
        <color indexed="64"/>
      </bottom>
      <diagonal/>
    </border>
    <border>
      <left/>
      <right/>
      <top style="thin">
        <color indexed="64"/>
      </top>
      <bottom/>
      <diagonal/>
    </border>
    <border>
      <left/>
      <right/>
      <top style="thin">
        <color indexed="62"/>
      </top>
      <bottom style="double">
        <color indexed="62"/>
      </bottom>
      <diagonal/>
    </border>
    <border>
      <left style="medium">
        <color indexed="64"/>
      </left>
      <right/>
      <top style="medium">
        <color indexed="64"/>
      </top>
      <bottom style="medium">
        <color indexed="64"/>
      </bottom>
      <diagonal/>
    </border>
    <border>
      <left/>
      <right style="medium">
        <color indexed="64"/>
      </right>
      <top/>
      <bottom style="medium">
        <color indexed="64"/>
      </bottom>
      <diagonal/>
    </border>
    <border>
      <left/>
      <right style="medium">
        <color indexed="64"/>
      </right>
      <top style="medium">
        <color indexed="64"/>
      </top>
      <bottom/>
      <diagonal/>
    </border>
    <border>
      <left style="thin">
        <color indexed="64"/>
      </left>
      <right/>
      <top/>
      <bottom style="thin">
        <color indexed="64"/>
      </bottom>
      <diagonal/>
    </border>
    <border>
      <left/>
      <right style="thin">
        <color indexed="64"/>
      </right>
      <top style="thin">
        <color indexed="64"/>
      </top>
      <bottom/>
      <diagonal/>
    </border>
    <border>
      <left/>
      <right style="thin">
        <color indexed="64"/>
      </right>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bottom style="thin">
        <color indexed="64"/>
      </bottom>
      <diagonal/>
    </border>
    <border>
      <left/>
      <right/>
      <top style="thin">
        <color indexed="20"/>
      </top>
      <bottom style="thin">
        <color indexed="20"/>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bottom style="thin">
        <color indexed="64"/>
      </bottom>
      <diagonal/>
    </border>
    <border>
      <left style="medium">
        <color indexed="64"/>
      </left>
      <right style="medium">
        <color indexed="64"/>
      </right>
      <top/>
      <bottom style="double">
        <color indexed="64"/>
      </bottom>
      <diagonal/>
    </border>
    <border>
      <left/>
      <right style="medium">
        <color indexed="64"/>
      </right>
      <top style="medium">
        <color indexed="64"/>
      </top>
      <bottom style="medium">
        <color indexed="64"/>
      </bottom>
      <diagonal/>
    </border>
    <border>
      <left style="thin">
        <color rgb="FF000000"/>
      </left>
      <right style="thin">
        <color rgb="FF000000"/>
      </right>
      <top style="thin">
        <color rgb="FF000000"/>
      </top>
      <bottom style="thin">
        <color rgb="FF000000"/>
      </bottom>
      <diagonal/>
    </border>
    <border>
      <left style="thin">
        <color rgb="FF000000"/>
      </left>
      <right/>
      <top style="thin">
        <color rgb="FF000000"/>
      </top>
      <bottom style="thin">
        <color rgb="FF000000"/>
      </bottom>
      <diagonal/>
    </border>
    <border>
      <left/>
      <right style="thin">
        <color rgb="FF000000"/>
      </right>
      <top style="thin">
        <color rgb="FF000000"/>
      </top>
      <bottom style="thin">
        <color rgb="FF000000"/>
      </bottom>
      <diagonal/>
    </border>
    <border>
      <left/>
      <right/>
      <top style="thin">
        <color rgb="FF000000"/>
      </top>
      <bottom style="thin">
        <color rgb="FF000000"/>
      </bottom>
      <diagonal/>
    </border>
    <border>
      <left/>
      <right/>
      <top/>
      <bottom style="thin">
        <color rgb="FF000000"/>
      </bottom>
      <diagonal/>
    </border>
    <border>
      <left/>
      <right/>
      <top style="thin">
        <color rgb="FF000000"/>
      </top>
      <bottom/>
      <diagonal/>
    </border>
  </borders>
  <cellStyleXfs count="90">
    <xf numFmtId="37" fontId="0" fillId="0" borderId="0"/>
    <xf numFmtId="0" fontId="6" fillId="0" borderId="0"/>
    <xf numFmtId="0" fontId="6" fillId="26" borderId="0" applyNumberFormat="0" applyFont="0" applyBorder="0" applyAlignment="0" applyProtection="0"/>
    <xf numFmtId="0" fontId="135" fillId="0" borderId="0" applyNumberFormat="0" applyFont="0" applyFill="0" applyBorder="0" applyAlignment="0" applyProtection="0"/>
    <xf numFmtId="0" fontId="6" fillId="0" borderId="0"/>
    <xf numFmtId="0" fontId="1" fillId="0" borderId="0"/>
    <xf numFmtId="0" fontId="1" fillId="0" borderId="0"/>
    <xf numFmtId="0" fontId="98" fillId="2" borderId="0" applyNumberFormat="0" applyBorder="0" applyAlignment="0" applyProtection="0"/>
    <xf numFmtId="0" fontId="98" fillId="3" borderId="0" applyNumberFormat="0" applyBorder="0" applyAlignment="0" applyProtection="0"/>
    <xf numFmtId="0" fontId="98" fillId="4" borderId="0" applyNumberFormat="0" applyBorder="0" applyAlignment="0" applyProtection="0"/>
    <xf numFmtId="0" fontId="98" fillId="5" borderId="0" applyNumberFormat="0" applyBorder="0" applyAlignment="0" applyProtection="0"/>
    <xf numFmtId="0" fontId="98" fillId="6" borderId="0" applyNumberFormat="0" applyBorder="0" applyAlignment="0" applyProtection="0"/>
    <xf numFmtId="0" fontId="98" fillId="7" borderId="0" applyNumberFormat="0" applyBorder="0" applyAlignment="0" applyProtection="0"/>
    <xf numFmtId="0" fontId="98" fillId="8" borderId="0" applyNumberFormat="0" applyBorder="0" applyAlignment="0" applyProtection="0"/>
    <xf numFmtId="0" fontId="98" fillId="9" borderId="0" applyNumberFormat="0" applyBorder="0" applyAlignment="0" applyProtection="0"/>
    <xf numFmtId="0" fontId="98" fillId="10" borderId="0" applyNumberFormat="0" applyBorder="0" applyAlignment="0" applyProtection="0"/>
    <xf numFmtId="0" fontId="98" fillId="5" borderId="0" applyNumberFormat="0" applyBorder="0" applyAlignment="0" applyProtection="0"/>
    <xf numFmtId="0" fontId="98" fillId="8" borderId="0" applyNumberFormat="0" applyBorder="0" applyAlignment="0" applyProtection="0"/>
    <xf numFmtId="0" fontId="98" fillId="11" borderId="0" applyNumberFormat="0" applyBorder="0" applyAlignment="0" applyProtection="0"/>
    <xf numFmtId="0" fontId="99" fillId="12" borderId="0" applyNumberFormat="0" applyBorder="0" applyAlignment="0" applyProtection="0"/>
    <xf numFmtId="0" fontId="99" fillId="9" borderId="0" applyNumberFormat="0" applyBorder="0" applyAlignment="0" applyProtection="0"/>
    <xf numFmtId="0" fontId="99" fillId="10" borderId="0" applyNumberFormat="0" applyBorder="0" applyAlignment="0" applyProtection="0"/>
    <xf numFmtId="0" fontId="99" fillId="13" borderId="0" applyNumberFormat="0" applyBorder="0" applyAlignment="0" applyProtection="0"/>
    <xf numFmtId="0" fontId="99" fillId="14" borderId="0" applyNumberFormat="0" applyBorder="0" applyAlignment="0" applyProtection="0"/>
    <xf numFmtId="0" fontId="99" fillId="15" borderId="0" applyNumberFormat="0" applyBorder="0" applyAlignment="0" applyProtection="0"/>
    <xf numFmtId="0" fontId="99" fillId="16" borderId="0" applyNumberFormat="0" applyBorder="0" applyAlignment="0" applyProtection="0"/>
    <xf numFmtId="0" fontId="99" fillId="17" borderId="0" applyNumberFormat="0" applyBorder="0" applyAlignment="0" applyProtection="0"/>
    <xf numFmtId="0" fontId="99" fillId="18" borderId="0" applyNumberFormat="0" applyBorder="0" applyAlignment="0" applyProtection="0"/>
    <xf numFmtId="0" fontId="99" fillId="13" borderId="0" applyNumberFormat="0" applyBorder="0" applyAlignment="0" applyProtection="0"/>
    <xf numFmtId="0" fontId="99" fillId="14" borderId="0" applyNumberFormat="0" applyBorder="0" applyAlignment="0" applyProtection="0"/>
    <xf numFmtId="0" fontId="99" fillId="19" borderId="0" applyNumberFormat="0" applyBorder="0" applyAlignment="0" applyProtection="0"/>
    <xf numFmtId="0" fontId="100" fillId="3" borderId="0" applyNumberFormat="0" applyBorder="0" applyAlignment="0" applyProtection="0"/>
    <xf numFmtId="0" fontId="77" fillId="0" borderId="0"/>
    <xf numFmtId="0" fontId="101" fillId="20" borderId="3" applyNumberFormat="0" applyAlignment="0" applyProtection="0"/>
    <xf numFmtId="0" fontId="102" fillId="21" borderId="4" applyNumberFormat="0" applyAlignment="0" applyProtection="0"/>
    <xf numFmtId="40" fontId="1" fillId="0" borderId="0" applyFont="0" applyFill="0" applyBorder="0" applyAlignment="0" applyProtection="0"/>
    <xf numFmtId="43" fontId="135"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8" fontId="1" fillId="0" borderId="0" applyFont="0" applyFill="0" applyBorder="0" applyAlignment="0" applyProtection="0"/>
    <xf numFmtId="44" fontId="6" fillId="0" borderId="0" applyFont="0" applyFill="0" applyBorder="0" applyAlignment="0" applyProtection="0"/>
    <xf numFmtId="0" fontId="103" fillId="0" borderId="0" applyNumberFormat="0" applyFill="0" applyBorder="0" applyAlignment="0" applyProtection="0"/>
    <xf numFmtId="0" fontId="6" fillId="0" borderId="0">
      <alignment vertical="center"/>
    </xf>
    <xf numFmtId="0" fontId="104" fillId="4" borderId="0" applyNumberFormat="0" applyBorder="0" applyAlignment="0" applyProtection="0"/>
    <xf numFmtId="0" fontId="105" fillId="0" borderId="11" applyNumberFormat="0" applyFill="0" applyAlignment="0" applyProtection="0"/>
    <xf numFmtId="0" fontId="106" fillId="0" borderId="12" applyNumberFormat="0" applyFill="0" applyAlignment="0" applyProtection="0"/>
    <xf numFmtId="0" fontId="107" fillId="0" borderId="13" applyNumberFormat="0" applyFill="0" applyAlignment="0" applyProtection="0"/>
    <xf numFmtId="0" fontId="107" fillId="0" borderId="0" applyNumberFormat="0" applyFill="0" applyBorder="0" applyAlignment="0" applyProtection="0"/>
    <xf numFmtId="0" fontId="135" fillId="0" borderId="0" applyNumberFormat="0" applyFill="0" applyBorder="0" applyAlignment="0" applyProtection="0">
      <alignment vertical="top"/>
      <protection locked="0"/>
    </xf>
    <xf numFmtId="0" fontId="97" fillId="8" borderId="0" applyNumberFormat="0" applyFont="0" applyBorder="0" applyAlignment="0">
      <protection locked="0"/>
    </xf>
    <xf numFmtId="0" fontId="108" fillId="0" borderId="15" applyNumberFormat="0" applyFill="0" applyAlignment="0" applyProtection="0"/>
    <xf numFmtId="0" fontId="109" fillId="24" borderId="0" applyNumberFormat="0" applyBorder="0" applyAlignment="0" applyProtection="0"/>
    <xf numFmtId="0" fontId="6" fillId="0" borderId="0"/>
    <xf numFmtId="0" fontId="2" fillId="0" borderId="0"/>
    <xf numFmtId="37" fontId="4" fillId="0" borderId="0"/>
    <xf numFmtId="0" fontId="6" fillId="0" borderId="0"/>
    <xf numFmtId="0" fontId="6" fillId="0" borderId="0"/>
    <xf numFmtId="0" fontId="2" fillId="0" borderId="0"/>
    <xf numFmtId="0" fontId="6" fillId="0" borderId="0"/>
    <xf numFmtId="0" fontId="4" fillId="0" borderId="0"/>
    <xf numFmtId="182" fontId="5" fillId="0" borderId="0" applyNumberFormat="0" applyBorder="0" applyAlignment="0">
      <alignment horizontal="left"/>
    </xf>
    <xf numFmtId="0" fontId="78" fillId="0" borderId="0"/>
    <xf numFmtId="182" fontId="4" fillId="0" borderId="0"/>
    <xf numFmtId="0" fontId="15" fillId="0" borderId="0"/>
    <xf numFmtId="0" fontId="15" fillId="0" borderId="0"/>
    <xf numFmtId="165" fontId="4" fillId="0" borderId="0"/>
    <xf numFmtId="182" fontId="4" fillId="0" borderId="0"/>
    <xf numFmtId="182" fontId="4" fillId="0" borderId="0"/>
    <xf numFmtId="0" fontId="6" fillId="0" borderId="0"/>
    <xf numFmtId="0" fontId="6" fillId="0" borderId="0"/>
    <xf numFmtId="182" fontId="4" fillId="0" borderId="0"/>
    <xf numFmtId="0" fontId="3" fillId="0" borderId="0"/>
    <xf numFmtId="0" fontId="6" fillId="0" borderId="0"/>
    <xf numFmtId="0" fontId="81" fillId="25" borderId="16" applyNumberFormat="0" applyFont="0" applyAlignment="0" applyProtection="0"/>
    <xf numFmtId="0" fontId="110" fillId="20" borderId="17" applyNumberFormat="0" applyAlignment="0" applyProtection="0"/>
    <xf numFmtId="0" fontId="78" fillId="0" borderId="0">
      <alignment vertical="center"/>
    </xf>
    <xf numFmtId="9" fontId="1" fillId="0" borderId="0" applyFont="0" applyFill="0" applyBorder="0" applyAlignment="0" applyProtection="0"/>
    <xf numFmtId="9" fontId="6" fillId="0" borderId="0" applyFont="0" applyFill="0" applyBorder="0" applyAlignment="0" applyProtection="0"/>
    <xf numFmtId="9" fontId="135" fillId="0" borderId="0" applyFont="0" applyFill="0" applyBorder="0" applyAlignment="0" applyProtection="0"/>
    <xf numFmtId="0" fontId="6" fillId="26" borderId="0" applyNumberFormat="0" applyFont="0" applyBorder="0" applyAlignment="0" applyProtection="0"/>
    <xf numFmtId="0" fontId="79" fillId="0" borderId="0"/>
    <xf numFmtId="0" fontId="79" fillId="0" borderId="18">
      <alignment horizontal="centerContinuous"/>
    </xf>
    <xf numFmtId="0" fontId="80" fillId="0" borderId="18"/>
    <xf numFmtId="0" fontId="15" fillId="23" borderId="9" applyNumberFormat="0" applyProtection="0">
      <alignment wrapText="1"/>
    </xf>
    <xf numFmtId="0" fontId="16" fillId="0" borderId="19">
      <alignment horizontal="center" wrapText="1"/>
    </xf>
    <xf numFmtId="0" fontId="111" fillId="0" borderId="21" applyNumberFormat="0" applyFill="0" applyAlignment="0" applyProtection="0"/>
    <xf numFmtId="186" fontId="7" fillId="0" borderId="0"/>
    <xf numFmtId="0" fontId="112" fillId="0" borderId="0" applyNumberFormat="0" applyFill="0" applyBorder="0" applyAlignment="0" applyProtection="0"/>
    <xf numFmtId="0" fontId="4" fillId="0" borderId="0"/>
    <xf numFmtId="0" fontId="157" fillId="0" borderId="0"/>
  </cellStyleXfs>
  <cellXfs count="2220">
    <xf numFmtId="37" fontId="0" fillId="0" borderId="0" xfId="0"/>
    <xf numFmtId="182" fontId="9" fillId="0" borderId="0" xfId="66" applyFont="1"/>
    <xf numFmtId="164" fontId="9" fillId="0" borderId="0" xfId="66" applyNumberFormat="1" applyFont="1" applyBorder="1" applyProtection="1"/>
    <xf numFmtId="182" fontId="11" fillId="0" borderId="0" xfId="66" applyFont="1"/>
    <xf numFmtId="182" fontId="9" fillId="0" borderId="0" xfId="66" applyFont="1" applyAlignment="1" applyProtection="1">
      <alignment horizontal="left"/>
    </xf>
    <xf numFmtId="166" fontId="9" fillId="0" borderId="0" xfId="66" applyNumberFormat="1" applyFont="1" applyProtection="1"/>
    <xf numFmtId="185" fontId="9" fillId="0" borderId="0" xfId="39" applyNumberFormat="1" applyFont="1"/>
    <xf numFmtId="182" fontId="12" fillId="0" borderId="0" xfId="66" applyFont="1" applyAlignment="1" applyProtection="1">
      <alignment horizontal="centerContinuous"/>
    </xf>
    <xf numFmtId="182" fontId="9" fillId="0" borderId="0" xfId="66" applyFont="1" applyAlignment="1">
      <alignment horizontal="centerContinuous"/>
    </xf>
    <xf numFmtId="166" fontId="9" fillId="0" borderId="0" xfId="66" quotePrefix="1" applyNumberFormat="1" applyFont="1" applyAlignment="1" applyProtection="1">
      <alignment horizontal="right"/>
    </xf>
    <xf numFmtId="37" fontId="11" fillId="0" borderId="0" xfId="0" applyFont="1" applyAlignment="1" applyProtection="1">
      <alignment horizontal="left"/>
    </xf>
    <xf numFmtId="37" fontId="9" fillId="0" borderId="0" xfId="0" applyFont="1"/>
    <xf numFmtId="37" fontId="9" fillId="0" borderId="0" xfId="0" applyFont="1" applyAlignment="1">
      <alignment horizontal="right"/>
    </xf>
    <xf numFmtId="37" fontId="11" fillId="0" borderId="2" xfId="0" applyFont="1" applyBorder="1" applyAlignment="1" applyProtection="1">
      <alignment horizontal="left"/>
    </xf>
    <xf numFmtId="37" fontId="9" fillId="0" borderId="2" xfId="0" applyFont="1" applyBorder="1"/>
    <xf numFmtId="164" fontId="9" fillId="0" borderId="2" xfId="0" applyNumberFormat="1" applyFont="1" applyBorder="1" applyProtection="1"/>
    <xf numFmtId="164" fontId="9" fillId="0" borderId="2" xfId="0" applyNumberFormat="1" applyFont="1" applyBorder="1" applyAlignment="1" applyProtection="1">
      <alignment horizontal="right"/>
    </xf>
    <xf numFmtId="37" fontId="15" fillId="0" borderId="0" xfId="0" applyFont="1"/>
    <xf numFmtId="37" fontId="15" fillId="0" borderId="0" xfId="0" applyFont="1" applyAlignment="1">
      <alignment horizontal="right"/>
    </xf>
    <xf numFmtId="37" fontId="16" fillId="0" borderId="0" xfId="0" applyFont="1"/>
    <xf numFmtId="37" fontId="15" fillId="0" borderId="0" xfId="0" applyFont="1" applyAlignment="1" applyProtection="1">
      <alignment horizontal="left"/>
    </xf>
    <xf numFmtId="5" fontId="15" fillId="0" borderId="0" xfId="0" applyNumberFormat="1" applyFont="1" applyProtection="1"/>
    <xf numFmtId="37" fontId="15" fillId="0" borderId="0" xfId="0" applyNumberFormat="1" applyFont="1" applyProtection="1"/>
    <xf numFmtId="165" fontId="15" fillId="0" borderId="0" xfId="0" applyNumberFormat="1" applyFont="1" applyProtection="1"/>
    <xf numFmtId="165" fontId="15" fillId="0" borderId="0" xfId="0" applyNumberFormat="1" applyFont="1" applyAlignment="1" applyProtection="1">
      <alignment horizontal="right"/>
    </xf>
    <xf numFmtId="165" fontId="15" fillId="0" borderId="0" xfId="0" applyNumberFormat="1" applyFont="1"/>
    <xf numFmtId="37" fontId="15" fillId="0" borderId="2" xfId="0" applyFont="1" applyBorder="1"/>
    <xf numFmtId="0" fontId="11" fillId="0" borderId="0" xfId="53" applyFont="1" applyFill="1" applyBorder="1"/>
    <xf numFmtId="181" fontId="14" fillId="0" borderId="0" xfId="53" applyNumberFormat="1" applyFont="1" applyFill="1" applyBorder="1" applyAlignment="1">
      <alignment horizontal="right"/>
    </xf>
    <xf numFmtId="165" fontId="19" fillId="0" borderId="0" xfId="53" applyNumberFormat="1" applyFont="1" applyFill="1" applyBorder="1"/>
    <xf numFmtId="182" fontId="9" fillId="0" borderId="0" xfId="67" applyFont="1"/>
    <xf numFmtId="182" fontId="11" fillId="0" borderId="2" xfId="67" applyFont="1" applyBorder="1" applyAlignment="1" applyProtection="1">
      <alignment horizontal="left"/>
    </xf>
    <xf numFmtId="37" fontId="16" fillId="0" borderId="2" xfId="0" applyFont="1" applyBorder="1" applyAlignment="1">
      <alignment horizontal="centerContinuous"/>
    </xf>
    <xf numFmtId="37" fontId="16" fillId="0" borderId="0" xfId="0" applyFont="1" applyAlignment="1">
      <alignment horizontal="centerContinuous"/>
    </xf>
    <xf numFmtId="37" fontId="15" fillId="0" borderId="0" xfId="0" applyNumberFormat="1" applyFont="1"/>
    <xf numFmtId="165" fontId="15" fillId="0" borderId="2" xfId="0" applyNumberFormat="1" applyFont="1" applyBorder="1"/>
    <xf numFmtId="39" fontId="15" fillId="0" borderId="0" xfId="0" applyNumberFormat="1" applyFont="1"/>
    <xf numFmtId="37" fontId="15" fillId="0" borderId="0" xfId="0" applyFont="1" applyAlignment="1">
      <alignment horizontal="centerContinuous"/>
    </xf>
    <xf numFmtId="166" fontId="15" fillId="0" borderId="0" xfId="0" applyNumberFormat="1" applyFont="1" applyProtection="1"/>
    <xf numFmtId="37" fontId="17" fillId="0" borderId="0" xfId="0" applyFont="1" applyAlignment="1">
      <alignment horizontal="centerContinuous"/>
    </xf>
    <xf numFmtId="37" fontId="16" fillId="0" borderId="0" xfId="0" applyFont="1" applyBorder="1" applyAlignment="1">
      <alignment horizontal="centerContinuous"/>
    </xf>
    <xf numFmtId="7" fontId="15" fillId="0" borderId="0" xfId="0" applyNumberFormat="1" applyFont="1" applyProtection="1"/>
    <xf numFmtId="165" fontId="15" fillId="0" borderId="2" xfId="0" applyNumberFormat="1" applyFont="1" applyBorder="1" applyProtection="1"/>
    <xf numFmtId="37" fontId="16" fillId="0" borderId="2" xfId="0" applyFont="1" applyBorder="1" applyAlignment="1" applyProtection="1">
      <alignment horizontal="center"/>
    </xf>
    <xf numFmtId="37" fontId="15" fillId="0" borderId="0" xfId="0" applyFont="1" applyProtection="1"/>
    <xf numFmtId="37" fontId="11" fillId="0" borderId="0" xfId="0" applyFont="1"/>
    <xf numFmtId="37" fontId="11" fillId="0" borderId="2" xfId="0" applyFont="1" applyBorder="1"/>
    <xf numFmtId="37" fontId="11" fillId="0" borderId="2" xfId="0" applyFont="1" applyBorder="1" applyAlignment="1">
      <alignment horizontal="center"/>
    </xf>
    <xf numFmtId="37" fontId="15" fillId="0" borderId="0" xfId="0" applyFont="1" applyBorder="1"/>
    <xf numFmtId="37" fontId="15" fillId="0" borderId="0" xfId="0" applyFont="1" applyBorder="1" applyAlignment="1" applyProtection="1">
      <alignment horizontal="left"/>
    </xf>
    <xf numFmtId="182" fontId="20" fillId="0" borderId="0" xfId="66" applyFont="1" applyAlignment="1" applyProtection="1">
      <alignment horizontal="centerContinuous"/>
    </xf>
    <xf numFmtId="182" fontId="9" fillId="0" borderId="0" xfId="66" applyFont="1" applyBorder="1"/>
    <xf numFmtId="166" fontId="9" fillId="0" borderId="0" xfId="66" applyNumberFormat="1" applyFont="1" applyBorder="1" applyProtection="1"/>
    <xf numFmtId="185" fontId="9" fillId="0" borderId="0" xfId="39" applyNumberFormat="1" applyFont="1" applyBorder="1"/>
    <xf numFmtId="165" fontId="9" fillId="0" borderId="0" xfId="66" applyNumberFormat="1" applyFont="1" applyBorder="1"/>
    <xf numFmtId="166" fontId="9" fillId="0" borderId="0" xfId="66" quotePrefix="1" applyNumberFormat="1" applyFont="1" applyBorder="1" applyAlignment="1" applyProtection="1">
      <alignment horizontal="right"/>
    </xf>
    <xf numFmtId="37" fontId="19" fillId="0" borderId="0" xfId="0" applyFont="1"/>
    <xf numFmtId="164" fontId="19" fillId="0" borderId="2" xfId="0" applyNumberFormat="1" applyFont="1" applyBorder="1" applyAlignment="1" applyProtection="1">
      <alignment horizontal="right"/>
    </xf>
    <xf numFmtId="37" fontId="18" fillId="0" borderId="0" xfId="0" applyFont="1"/>
    <xf numFmtId="165" fontId="18" fillId="0" borderId="0" xfId="0" applyNumberFormat="1" applyFont="1"/>
    <xf numFmtId="40" fontId="15" fillId="0" borderId="0" xfId="35" applyFont="1"/>
    <xf numFmtId="37" fontId="15" fillId="0" borderId="0" xfId="0" applyFont="1" applyAlignment="1">
      <alignment horizontal="center"/>
    </xf>
    <xf numFmtId="182" fontId="15" fillId="0" borderId="0" xfId="66" applyFont="1" applyAlignment="1">
      <alignment horizontal="center"/>
    </xf>
    <xf numFmtId="182" fontId="11" fillId="0" borderId="0" xfId="62" applyFont="1"/>
    <xf numFmtId="14" fontId="11" fillId="0" borderId="2" xfId="62" applyNumberFormat="1" applyFont="1" applyBorder="1" applyAlignment="1">
      <alignment horizontal="centerContinuous"/>
    </xf>
    <xf numFmtId="177" fontId="15" fillId="0" borderId="0" xfId="76" applyNumberFormat="1" applyFont="1"/>
    <xf numFmtId="166" fontId="15" fillId="0" borderId="0" xfId="0" applyNumberFormat="1" applyFont="1"/>
    <xf numFmtId="6" fontId="9" fillId="0" borderId="0" xfId="39" applyNumberFormat="1" applyFont="1"/>
    <xf numFmtId="37" fontId="9" fillId="0" borderId="0" xfId="66" applyNumberFormat="1" applyFont="1"/>
    <xf numFmtId="37" fontId="9" fillId="0" borderId="2" xfId="66" applyNumberFormat="1" applyFont="1" applyBorder="1"/>
    <xf numFmtId="37" fontId="9" fillId="0" borderId="0" xfId="66" applyNumberFormat="1" applyFont="1" applyBorder="1"/>
    <xf numFmtId="3" fontId="9" fillId="0" borderId="0" xfId="66" applyNumberFormat="1" applyFont="1"/>
    <xf numFmtId="182" fontId="9" fillId="0" borderId="2" xfId="66" applyFont="1" applyBorder="1"/>
    <xf numFmtId="190" fontId="9" fillId="0" borderId="0" xfId="66" applyNumberFormat="1" applyFont="1"/>
    <xf numFmtId="190" fontId="13" fillId="0" borderId="0" xfId="66" applyNumberFormat="1" applyFont="1" applyBorder="1"/>
    <xf numFmtId="190" fontId="13" fillId="0" borderId="0" xfId="66" applyNumberFormat="1" applyFont="1"/>
    <xf numFmtId="165" fontId="9" fillId="0" borderId="0" xfId="66" applyNumberFormat="1" applyFont="1"/>
    <xf numFmtId="7" fontId="9" fillId="0" borderId="0" xfId="66" applyNumberFormat="1" applyFont="1" applyBorder="1"/>
    <xf numFmtId="7" fontId="9" fillId="0" borderId="0" xfId="66" applyNumberFormat="1" applyFont="1"/>
    <xf numFmtId="165" fontId="9" fillId="0" borderId="2" xfId="66" applyNumberFormat="1" applyFont="1" applyBorder="1"/>
    <xf numFmtId="186" fontId="9" fillId="0" borderId="0" xfId="35" applyNumberFormat="1" applyFont="1" applyProtection="1"/>
    <xf numFmtId="165" fontId="9" fillId="0" borderId="0" xfId="66" applyNumberFormat="1" applyFont="1" applyBorder="1" applyProtection="1"/>
    <xf numFmtId="165" fontId="15" fillId="0" borderId="2" xfId="0" applyNumberFormat="1" applyFont="1" applyBorder="1" applyAlignment="1" applyProtection="1">
      <alignment horizontal="right"/>
    </xf>
    <xf numFmtId="166" fontId="18" fillId="0" borderId="0" xfId="0" applyNumberFormat="1" applyFont="1" applyProtection="1"/>
    <xf numFmtId="166" fontId="9" fillId="0" borderId="0" xfId="39" applyNumberFormat="1" applyFont="1"/>
    <xf numFmtId="187" fontId="9" fillId="0" borderId="0" xfId="35" quotePrefix="1" applyNumberFormat="1" applyFont="1" applyAlignment="1" applyProtection="1">
      <alignment horizontal="right"/>
    </xf>
    <xf numFmtId="40" fontId="9" fillId="0" borderId="0" xfId="35" applyFont="1"/>
    <xf numFmtId="40" fontId="15" fillId="0" borderId="0" xfId="35" applyFont="1" applyProtection="1"/>
    <xf numFmtId="37" fontId="9" fillId="0" borderId="0" xfId="0" applyFont="1" applyBorder="1"/>
    <xf numFmtId="9" fontId="9" fillId="0" borderId="0" xfId="76" applyFont="1"/>
    <xf numFmtId="9" fontId="9" fillId="0" borderId="0" xfId="76" applyFont="1" applyBorder="1"/>
    <xf numFmtId="177" fontId="9" fillId="0" borderId="0" xfId="76" applyNumberFormat="1" applyFont="1" applyBorder="1"/>
    <xf numFmtId="37" fontId="16" fillId="0" borderId="0" xfId="0" applyFont="1" applyAlignment="1">
      <alignment horizontal="center"/>
    </xf>
    <xf numFmtId="37" fontId="16" fillId="0" borderId="2" xfId="0" applyFont="1" applyBorder="1" applyAlignment="1">
      <alignment horizontal="center"/>
    </xf>
    <xf numFmtId="37" fontId="26" fillId="0" borderId="0" xfId="0" applyFont="1"/>
    <xf numFmtId="37" fontId="11" fillId="0" borderId="0" xfId="0" applyFont="1" applyBorder="1" applyAlignment="1">
      <alignment horizontal="center"/>
    </xf>
    <xf numFmtId="37" fontId="9" fillId="0" borderId="0" xfId="0" applyFont="1" applyAlignment="1">
      <alignment horizontal="center"/>
    </xf>
    <xf numFmtId="37" fontId="15" fillId="0" borderId="2" xfId="0" applyFont="1" applyBorder="1" applyAlignment="1">
      <alignment horizontal="center"/>
    </xf>
    <xf numFmtId="37" fontId="16" fillId="0" borderId="2" xfId="0" applyFont="1" applyBorder="1"/>
    <xf numFmtId="165" fontId="19" fillId="0" borderId="2" xfId="66" applyNumberFormat="1" applyFont="1" applyBorder="1"/>
    <xf numFmtId="165" fontId="19" fillId="0" borderId="0" xfId="66" applyNumberFormat="1" applyFont="1"/>
    <xf numFmtId="182" fontId="9" fillId="0" borderId="8" xfId="66" applyFont="1" applyBorder="1" applyAlignment="1" applyProtection="1">
      <alignment horizontal="left"/>
    </xf>
    <xf numFmtId="182" fontId="9" fillId="0" borderId="20" xfId="66" applyFont="1" applyBorder="1"/>
    <xf numFmtId="166" fontId="9" fillId="0" borderId="20" xfId="66" applyNumberFormat="1" applyFont="1" applyBorder="1" applyProtection="1"/>
    <xf numFmtId="182" fontId="9" fillId="0" borderId="25" xfId="66" applyFont="1" applyBorder="1" applyAlignment="1" applyProtection="1">
      <alignment horizontal="left"/>
    </xf>
    <xf numFmtId="166" fontId="9" fillId="0" borderId="2" xfId="66" applyNumberFormat="1" applyFont="1" applyBorder="1" applyProtection="1"/>
    <xf numFmtId="182" fontId="11" fillId="0" borderId="2" xfId="66" applyFont="1" applyBorder="1" applyAlignment="1" applyProtection="1">
      <alignment horizontal="left"/>
    </xf>
    <xf numFmtId="37" fontId="27" fillId="0" borderId="0" xfId="0" applyFont="1"/>
    <xf numFmtId="37" fontId="19" fillId="0" borderId="0" xfId="0" applyFont="1" applyBorder="1"/>
    <xf numFmtId="177" fontId="9" fillId="0" borderId="0" xfId="76" applyNumberFormat="1" applyFont="1"/>
    <xf numFmtId="37" fontId="9" fillId="0" borderId="0" xfId="0" applyFont="1" applyFill="1"/>
    <xf numFmtId="9" fontId="19" fillId="0" borderId="0" xfId="76" applyNumberFormat="1" applyFont="1"/>
    <xf numFmtId="0" fontId="9" fillId="0" borderId="0" xfId="69" applyFont="1"/>
    <xf numFmtId="182" fontId="11" fillId="0" borderId="7" xfId="70" applyFont="1" applyBorder="1" applyAlignment="1" applyProtection="1">
      <alignment horizontal="center"/>
    </xf>
    <xf numFmtId="166" fontId="11" fillId="0" borderId="0" xfId="53" applyNumberFormat="1" applyFont="1" applyAlignment="1" applyProtection="1">
      <alignment horizontal="left"/>
    </xf>
    <xf numFmtId="0" fontId="11" fillId="0" borderId="2" xfId="53" applyFont="1" applyFill="1" applyBorder="1"/>
    <xf numFmtId="165" fontId="11" fillId="0" borderId="0" xfId="53" applyNumberFormat="1" applyFont="1" applyFill="1" applyBorder="1"/>
    <xf numFmtId="0" fontId="27" fillId="0" borderId="0" xfId="53" applyFont="1" applyFill="1" applyBorder="1"/>
    <xf numFmtId="182" fontId="11" fillId="0" borderId="7" xfId="70" applyFont="1" applyBorder="1"/>
    <xf numFmtId="0" fontId="11" fillId="0" borderId="26" xfId="53" applyFont="1" applyFill="1" applyBorder="1"/>
    <xf numFmtId="0" fontId="11" fillId="0" borderId="27" xfId="53" applyFont="1" applyFill="1" applyBorder="1"/>
    <xf numFmtId="165" fontId="11" fillId="0" borderId="8" xfId="53" applyNumberFormat="1" applyFont="1" applyFill="1" applyBorder="1"/>
    <xf numFmtId="181" fontId="11" fillId="0" borderId="1" xfId="53" applyNumberFormat="1" applyFont="1" applyFill="1" applyBorder="1" applyAlignment="1">
      <alignment horizontal="right"/>
    </xf>
    <xf numFmtId="181" fontId="14" fillId="0" borderId="1" xfId="53" applyNumberFormat="1" applyFont="1" applyFill="1" applyBorder="1" applyAlignment="1">
      <alignment horizontal="right"/>
    </xf>
    <xf numFmtId="165" fontId="19" fillId="0" borderId="1" xfId="53" applyNumberFormat="1" applyFont="1" applyFill="1" applyBorder="1"/>
    <xf numFmtId="182" fontId="19" fillId="0" borderId="0" xfId="70" applyFont="1" applyBorder="1" applyAlignment="1">
      <alignment horizontal="right"/>
    </xf>
    <xf numFmtId="37" fontId="19" fillId="0" borderId="0" xfId="70" applyNumberFormat="1" applyFont="1" applyBorder="1" applyAlignment="1" applyProtection="1">
      <alignment horizontal="right"/>
    </xf>
    <xf numFmtId="182" fontId="19" fillId="0" borderId="0" xfId="70" applyFont="1" applyBorder="1"/>
    <xf numFmtId="165" fontId="27" fillId="0" borderId="0" xfId="53" applyNumberFormat="1" applyFont="1" applyFill="1" applyBorder="1"/>
    <xf numFmtId="0" fontId="27" fillId="0" borderId="0" xfId="53" applyFont="1" applyFill="1" applyBorder="1" applyAlignment="1">
      <alignment horizontal="center"/>
    </xf>
    <xf numFmtId="189" fontId="19" fillId="0" borderId="0" xfId="76" applyNumberFormat="1" applyFont="1" applyFill="1" applyBorder="1"/>
    <xf numFmtId="191" fontId="19" fillId="0" borderId="0" xfId="76" applyNumberFormat="1" applyFont="1" applyFill="1" applyBorder="1"/>
    <xf numFmtId="181" fontId="11" fillId="0" borderId="2" xfId="53" applyNumberFormat="1" applyFont="1" applyFill="1" applyBorder="1" applyAlignment="1">
      <alignment horizontal="center"/>
    </xf>
    <xf numFmtId="0" fontId="11" fillId="0" borderId="2" xfId="53" applyNumberFormat="1" applyFont="1" applyFill="1" applyBorder="1" applyAlignment="1">
      <alignment horizontal="center"/>
    </xf>
    <xf numFmtId="182" fontId="11" fillId="0" borderId="2" xfId="62" applyFont="1" applyBorder="1"/>
    <xf numFmtId="182" fontId="26" fillId="0" borderId="0" xfId="66" applyFont="1" applyBorder="1"/>
    <xf numFmtId="37" fontId="26" fillId="0" borderId="0" xfId="0" applyFont="1" applyAlignment="1" applyProtection="1">
      <alignment horizontal="left"/>
    </xf>
    <xf numFmtId="182" fontId="9" fillId="0" borderId="2" xfId="66" applyFont="1" applyBorder="1" applyAlignment="1">
      <alignment horizontal="centerContinuous"/>
    </xf>
    <xf numFmtId="182" fontId="14" fillId="0" borderId="2" xfId="66" applyFont="1" applyBorder="1" applyAlignment="1">
      <alignment horizontal="centerContinuous"/>
    </xf>
    <xf numFmtId="182" fontId="11" fillId="0" borderId="2" xfId="66" applyFont="1" applyBorder="1" applyAlignment="1" applyProtection="1">
      <alignment horizontal="center"/>
    </xf>
    <xf numFmtId="182" fontId="11" fillId="0" borderId="2" xfId="66" applyFont="1" applyBorder="1" applyAlignment="1" applyProtection="1">
      <alignment horizontal="centerContinuous"/>
    </xf>
    <xf numFmtId="164" fontId="15" fillId="0" borderId="0" xfId="0" applyNumberFormat="1" applyFont="1" applyProtection="1"/>
    <xf numFmtId="37" fontId="16" fillId="0" borderId="0" xfId="0" applyFont="1" applyAlignment="1" applyProtection="1">
      <alignment horizontal="center"/>
    </xf>
    <xf numFmtId="39" fontId="15" fillId="0" borderId="0" xfId="0" applyNumberFormat="1" applyFont="1" applyProtection="1"/>
    <xf numFmtId="5" fontId="15" fillId="0" borderId="0" xfId="0" applyNumberFormat="1" applyFont="1" applyAlignment="1" applyProtection="1">
      <alignment horizontal="centerContinuous"/>
    </xf>
    <xf numFmtId="165" fontId="15" fillId="0" borderId="0" xfId="0" applyNumberFormat="1" applyFont="1" applyAlignment="1" applyProtection="1">
      <alignment horizontal="centerContinuous"/>
    </xf>
    <xf numFmtId="39" fontId="15" fillId="0" borderId="0" xfId="0" applyNumberFormat="1" applyFont="1" applyAlignment="1" applyProtection="1">
      <alignment horizontal="centerContinuous"/>
    </xf>
    <xf numFmtId="37" fontId="15" fillId="0" borderId="0" xfId="0" applyFont="1" applyAlignment="1" applyProtection="1">
      <alignment horizontal="centerContinuous"/>
    </xf>
    <xf numFmtId="168" fontId="15" fillId="0" borderId="0" xfId="0" applyNumberFormat="1" applyFont="1" applyAlignment="1" applyProtection="1">
      <alignment horizontal="right"/>
    </xf>
    <xf numFmtId="39" fontId="15" fillId="0" borderId="2" xfId="0" applyNumberFormat="1" applyFont="1" applyBorder="1" applyProtection="1"/>
    <xf numFmtId="39" fontId="15" fillId="0" borderId="28" xfId="0" applyNumberFormat="1" applyFont="1" applyBorder="1" applyProtection="1"/>
    <xf numFmtId="37" fontId="15" fillId="0" borderId="29" xfId="0" applyFont="1" applyBorder="1" applyAlignment="1" applyProtection="1">
      <alignment horizontal="left"/>
    </xf>
    <xf numFmtId="37" fontId="17" fillId="0" borderId="0" xfId="0" quotePrefix="1" applyFont="1" applyAlignment="1" applyProtection="1">
      <alignment horizontal="left"/>
    </xf>
    <xf numFmtId="39" fontId="15" fillId="0" borderId="0" xfId="0" applyNumberFormat="1" applyFont="1" applyBorder="1" applyProtection="1"/>
    <xf numFmtId="37" fontId="12" fillId="0" borderId="0" xfId="0" quotePrefix="1" applyFont="1" applyAlignment="1" applyProtection="1">
      <alignment horizontal="center"/>
    </xf>
    <xf numFmtId="37" fontId="12" fillId="0" borderId="0" xfId="0" applyFont="1" applyAlignment="1" applyProtection="1">
      <alignment horizontal="left"/>
    </xf>
    <xf numFmtId="37" fontId="11" fillId="0" borderId="0" xfId="0" applyFont="1" applyAlignment="1">
      <alignment horizontal="right"/>
    </xf>
    <xf numFmtId="37" fontId="25" fillId="0" borderId="0" xfId="0" applyFont="1"/>
    <xf numFmtId="37" fontId="9" fillId="0" borderId="0" xfId="0" applyFont="1" applyAlignment="1" applyProtection="1">
      <alignment horizontal="left"/>
    </xf>
    <xf numFmtId="166" fontId="9" fillId="0" borderId="0" xfId="0" applyNumberFormat="1" applyFont="1" applyProtection="1"/>
    <xf numFmtId="165" fontId="9" fillId="0" borderId="0" xfId="0" applyNumberFormat="1" applyFont="1" applyProtection="1"/>
    <xf numFmtId="165" fontId="9" fillId="0" borderId="0" xfId="0" applyNumberFormat="1" applyFont="1" applyAlignment="1" applyProtection="1">
      <alignment horizontal="right"/>
    </xf>
    <xf numFmtId="165" fontId="29" fillId="0" borderId="0" xfId="0" applyNumberFormat="1" applyFont="1"/>
    <xf numFmtId="165" fontId="9" fillId="0" borderId="0" xfId="0" applyNumberFormat="1" applyFont="1"/>
    <xf numFmtId="165" fontId="19" fillId="0" borderId="0" xfId="0" applyNumberFormat="1" applyFont="1"/>
    <xf numFmtId="165" fontId="9" fillId="0" borderId="2" xfId="0" applyNumberFormat="1" applyFont="1" applyBorder="1" applyAlignment="1" applyProtection="1">
      <alignment horizontal="right"/>
    </xf>
    <xf numFmtId="166" fontId="9" fillId="0" borderId="0" xfId="0" quotePrefix="1" applyNumberFormat="1" applyFont="1" applyAlignment="1" applyProtection="1">
      <alignment horizontal="right"/>
    </xf>
    <xf numFmtId="5" fontId="9" fillId="0" borderId="0" xfId="0" applyNumberFormat="1" applyFont="1" applyAlignment="1" applyProtection="1">
      <alignment horizontal="right"/>
    </xf>
    <xf numFmtId="166" fontId="9" fillId="0" borderId="0" xfId="0" applyNumberFormat="1" applyFont="1" applyAlignment="1" applyProtection="1">
      <alignment horizontal="right"/>
    </xf>
    <xf numFmtId="165" fontId="19" fillId="0" borderId="0" xfId="0" applyNumberFormat="1" applyFont="1" applyBorder="1"/>
    <xf numFmtId="165" fontId="13" fillId="0" borderId="0" xfId="0" applyNumberFormat="1" applyFont="1" applyBorder="1"/>
    <xf numFmtId="165" fontId="9" fillId="0" borderId="0" xfId="0" applyNumberFormat="1" applyFont="1" applyBorder="1" applyProtection="1"/>
    <xf numFmtId="165" fontId="9" fillId="0" borderId="0" xfId="0" applyNumberFormat="1" applyFont="1" applyBorder="1" applyAlignment="1" applyProtection="1">
      <alignment horizontal="right"/>
    </xf>
    <xf numFmtId="165" fontId="19" fillId="0" borderId="0" xfId="0" applyNumberFormat="1" applyFont="1" applyBorder="1" applyAlignment="1" applyProtection="1">
      <alignment horizontal="right"/>
    </xf>
    <xf numFmtId="37" fontId="9" fillId="0" borderId="0" xfId="0" applyNumberFormat="1" applyFont="1" applyBorder="1" applyProtection="1"/>
    <xf numFmtId="37" fontId="9" fillId="0" borderId="0" xfId="0" applyNumberFormat="1" applyFont="1" applyBorder="1" applyAlignment="1" applyProtection="1">
      <alignment horizontal="right"/>
    </xf>
    <xf numFmtId="7" fontId="9" fillId="0" borderId="0" xfId="0" applyNumberFormat="1" applyFont="1" applyAlignment="1" applyProtection="1">
      <alignment horizontal="right"/>
    </xf>
    <xf numFmtId="165" fontId="11" fillId="0" borderId="0" xfId="0" applyNumberFormat="1" applyFont="1" applyProtection="1"/>
    <xf numFmtId="165" fontId="11" fillId="0" borderId="0" xfId="0" applyNumberFormat="1" applyFont="1" applyAlignment="1" applyProtection="1">
      <alignment horizontal="right"/>
    </xf>
    <xf numFmtId="37" fontId="11" fillId="0" borderId="0" xfId="0" applyFont="1" applyBorder="1"/>
    <xf numFmtId="165" fontId="25" fillId="0" borderId="0" xfId="0" applyNumberFormat="1" applyFont="1" applyBorder="1"/>
    <xf numFmtId="37" fontId="9" fillId="0" borderId="0" xfId="0" applyNumberFormat="1" applyFont="1" applyProtection="1"/>
    <xf numFmtId="37" fontId="9" fillId="0" borderId="0" xfId="0" applyNumberFormat="1" applyFont="1" applyAlignment="1" applyProtection="1">
      <alignment horizontal="right"/>
    </xf>
    <xf numFmtId="39" fontId="9" fillId="0" borderId="0" xfId="0" applyNumberFormat="1" applyFont="1"/>
    <xf numFmtId="40" fontId="19" fillId="0" borderId="0" xfId="35" applyFont="1"/>
    <xf numFmtId="165" fontId="19" fillId="0" borderId="0" xfId="0" applyNumberFormat="1" applyFont="1" applyAlignment="1" applyProtection="1">
      <alignment horizontal="right"/>
    </xf>
    <xf numFmtId="5" fontId="9" fillId="0" borderId="0" xfId="0" applyNumberFormat="1" applyFont="1" applyProtection="1"/>
    <xf numFmtId="192" fontId="19" fillId="0" borderId="0" xfId="0" applyNumberFormat="1" applyFont="1"/>
    <xf numFmtId="165" fontId="9" fillId="0" borderId="0" xfId="0" applyNumberFormat="1" applyFont="1" applyAlignment="1">
      <alignment horizontal="right"/>
    </xf>
    <xf numFmtId="38" fontId="9" fillId="0" borderId="0" xfId="35" applyNumberFormat="1" applyFont="1"/>
    <xf numFmtId="38" fontId="9" fillId="0" borderId="0" xfId="35" applyNumberFormat="1" applyFont="1" applyAlignment="1">
      <alignment horizontal="right"/>
    </xf>
    <xf numFmtId="10" fontId="9" fillId="0" borderId="0" xfId="0" applyNumberFormat="1" applyFont="1"/>
    <xf numFmtId="10" fontId="19" fillId="0" borderId="0" xfId="0" applyNumberFormat="1" applyFont="1"/>
    <xf numFmtId="185" fontId="19" fillId="0" borderId="0" xfId="39" applyNumberFormat="1" applyFont="1"/>
    <xf numFmtId="167" fontId="9" fillId="0" borderId="0" xfId="66" applyNumberFormat="1" applyFont="1"/>
    <xf numFmtId="184" fontId="9" fillId="0" borderId="0" xfId="66" applyNumberFormat="1" applyFont="1" applyProtection="1"/>
    <xf numFmtId="187" fontId="9" fillId="0" borderId="0" xfId="66" applyNumberFormat="1" applyFont="1"/>
    <xf numFmtId="190" fontId="9" fillId="0" borderId="0" xfId="66" applyNumberFormat="1" applyFont="1" applyBorder="1"/>
    <xf numFmtId="165" fontId="19" fillId="0" borderId="0" xfId="66" applyNumberFormat="1" applyFont="1" applyBorder="1"/>
    <xf numFmtId="37" fontId="11" fillId="0" borderId="2" xfId="0" quotePrefix="1" applyFont="1" applyBorder="1" applyAlignment="1" applyProtection="1">
      <alignment horizontal="center"/>
    </xf>
    <xf numFmtId="37" fontId="15" fillId="0" borderId="0" xfId="0" applyNumberFormat="1" applyFont="1" applyAlignment="1" applyProtection="1">
      <alignment horizontal="right"/>
    </xf>
    <xf numFmtId="37" fontId="15" fillId="0" borderId="0" xfId="0" applyNumberFormat="1" applyFont="1" applyBorder="1" applyAlignment="1" applyProtection="1">
      <alignment horizontal="right"/>
    </xf>
    <xf numFmtId="165" fontId="18" fillId="0" borderId="0" xfId="0" applyNumberFormat="1" applyFont="1" applyAlignment="1" applyProtection="1">
      <alignment horizontal="right"/>
    </xf>
    <xf numFmtId="37" fontId="30" fillId="0" borderId="0" xfId="0" applyFont="1"/>
    <xf numFmtId="182" fontId="25" fillId="0" borderId="2" xfId="66" applyFont="1" applyBorder="1" applyAlignment="1">
      <alignment horizontal="center"/>
    </xf>
    <xf numFmtId="182" fontId="25" fillId="0" borderId="0" xfId="66" applyFont="1" applyBorder="1"/>
    <xf numFmtId="182" fontId="25" fillId="0" borderId="0" xfId="66" applyFont="1"/>
    <xf numFmtId="37" fontId="17" fillId="0" borderId="0" xfId="0" applyFont="1" applyAlignment="1">
      <alignment horizontal="center"/>
    </xf>
    <xf numFmtId="37" fontId="11" fillId="0" borderId="0" xfId="0" applyFont="1" applyAlignment="1">
      <alignment horizontal="center"/>
    </xf>
    <xf numFmtId="165" fontId="19" fillId="0" borderId="0" xfId="0" applyNumberFormat="1" applyFont="1" applyAlignment="1">
      <alignment horizontal="right"/>
    </xf>
    <xf numFmtId="165" fontId="26" fillId="0" borderId="0" xfId="65" applyFont="1" applyBorder="1" applyAlignment="1">
      <alignment horizontal="left"/>
    </xf>
    <xf numFmtId="166" fontId="9" fillId="0" borderId="7" xfId="0" applyNumberFormat="1" applyFont="1" applyBorder="1" applyAlignment="1" applyProtection="1">
      <alignment horizontal="right"/>
    </xf>
    <xf numFmtId="37" fontId="18" fillId="0" borderId="0" xfId="0" applyFont="1" applyAlignment="1">
      <alignment horizontal="center"/>
    </xf>
    <xf numFmtId="6" fontId="26" fillId="0" borderId="0" xfId="0" quotePrefix="1" applyNumberFormat="1" applyFont="1"/>
    <xf numFmtId="37" fontId="31" fillId="0" borderId="0" xfId="0" applyFont="1" applyAlignment="1">
      <alignment horizontal="left"/>
    </xf>
    <xf numFmtId="37" fontId="31" fillId="0" borderId="0" xfId="0" applyFont="1" applyAlignment="1">
      <alignment horizontal="center"/>
    </xf>
    <xf numFmtId="166" fontId="18" fillId="0" borderId="0" xfId="0" applyNumberFormat="1" applyFont="1"/>
    <xf numFmtId="185" fontId="15" fillId="0" borderId="0" xfId="0" applyNumberFormat="1" applyFont="1"/>
    <xf numFmtId="191" fontId="15" fillId="0" borderId="0" xfId="0" applyNumberFormat="1" applyFont="1"/>
    <xf numFmtId="37" fontId="21" fillId="0" borderId="2" xfId="0" quotePrefix="1" applyFont="1" applyBorder="1" applyAlignment="1">
      <alignment horizontal="center"/>
    </xf>
    <xf numFmtId="37" fontId="9" fillId="0" borderId="2" xfId="0" applyFont="1" applyBorder="1" applyAlignment="1">
      <alignment horizontal="center"/>
    </xf>
    <xf numFmtId="165" fontId="15" fillId="0" borderId="0" xfId="0" applyNumberFormat="1" applyFont="1" applyAlignment="1" applyProtection="1">
      <alignment horizontal="center"/>
    </xf>
    <xf numFmtId="0" fontId="15" fillId="0" borderId="0" xfId="0" applyNumberFormat="1" applyFont="1" applyProtection="1"/>
    <xf numFmtId="178" fontId="18" fillId="0" borderId="0" xfId="0" applyNumberFormat="1" applyFont="1"/>
    <xf numFmtId="186" fontId="15" fillId="0" borderId="0" xfId="0" applyNumberFormat="1" applyFont="1" applyBorder="1"/>
    <xf numFmtId="186" fontId="18" fillId="0" borderId="0" xfId="0" applyNumberFormat="1" applyFont="1" applyBorder="1" applyAlignment="1">
      <alignment horizontal="right"/>
    </xf>
    <xf numFmtId="178" fontId="15" fillId="0" borderId="0" xfId="0" applyNumberFormat="1" applyFont="1"/>
    <xf numFmtId="3" fontId="15" fillId="0" borderId="0" xfId="0" applyNumberFormat="1" applyFont="1"/>
    <xf numFmtId="195" fontId="15" fillId="0" borderId="0" xfId="0" applyNumberFormat="1" applyFont="1"/>
    <xf numFmtId="177" fontId="15" fillId="0" borderId="0" xfId="76" applyNumberFormat="1" applyFont="1" applyBorder="1"/>
    <xf numFmtId="37" fontId="17" fillId="0" borderId="0" xfId="0" applyFont="1" applyAlignment="1" applyProtection="1">
      <alignment horizontal="left"/>
    </xf>
    <xf numFmtId="37" fontId="18" fillId="0" borderId="0" xfId="0" applyFont="1" applyAlignment="1">
      <alignment horizontal="right"/>
    </xf>
    <xf numFmtId="182" fontId="32" fillId="0" borderId="0" xfId="66" applyFont="1"/>
    <xf numFmtId="182" fontId="32" fillId="0" borderId="0" xfId="66" applyFont="1" applyBorder="1"/>
    <xf numFmtId="187" fontId="32" fillId="0" borderId="0" xfId="35" applyNumberFormat="1" applyFont="1"/>
    <xf numFmtId="165" fontId="19" fillId="0" borderId="0" xfId="0" quotePrefix="1" applyNumberFormat="1" applyFont="1" applyAlignment="1" applyProtection="1">
      <alignment horizontal="right"/>
    </xf>
    <xf numFmtId="165" fontId="19" fillId="0" borderId="2" xfId="0" applyNumberFormat="1" applyFont="1" applyBorder="1" applyAlignment="1" applyProtection="1">
      <alignment horizontal="right"/>
    </xf>
    <xf numFmtId="182" fontId="11" fillId="0" borderId="2" xfId="66" applyFont="1" applyBorder="1" applyAlignment="1">
      <alignment horizontal="center"/>
    </xf>
    <xf numFmtId="9" fontId="15" fillId="0" borderId="0" xfId="76" applyFont="1"/>
    <xf numFmtId="37" fontId="17" fillId="0" borderId="0" xfId="0" applyFont="1"/>
    <xf numFmtId="0" fontId="12" fillId="0" borderId="0" xfId="57" applyFont="1"/>
    <xf numFmtId="0" fontId="9" fillId="0" borderId="0" xfId="57" applyFont="1"/>
    <xf numFmtId="0" fontId="11" fillId="0" borderId="0" xfId="57" applyFont="1" applyAlignment="1">
      <alignment horizontal="left"/>
    </xf>
    <xf numFmtId="165" fontId="9" fillId="0" borderId="2" xfId="0" applyNumberFormat="1" applyFont="1" applyBorder="1"/>
    <xf numFmtId="39" fontId="9" fillId="0" borderId="0" xfId="0" applyNumberFormat="1" applyFont="1" applyAlignment="1">
      <alignment horizontal="right"/>
    </xf>
    <xf numFmtId="165" fontId="11" fillId="0" borderId="0" xfId="0" applyNumberFormat="1" applyFont="1"/>
    <xf numFmtId="0" fontId="11" fillId="0" borderId="0" xfId="57" applyFont="1" applyAlignment="1">
      <alignment horizontal="left" indent="1"/>
    </xf>
    <xf numFmtId="0" fontId="9" fillId="0" borderId="0" xfId="57" applyFont="1" applyAlignment="1">
      <alignment horizontal="left"/>
    </xf>
    <xf numFmtId="37" fontId="33" fillId="0" borderId="0" xfId="0" applyFont="1" applyBorder="1"/>
    <xf numFmtId="37" fontId="15" fillId="0" borderId="0" xfId="0" applyFont="1" applyBorder="1" applyAlignment="1">
      <alignment horizontal="right"/>
    </xf>
    <xf numFmtId="37" fontId="18" fillId="0" borderId="0" xfId="0" applyFont="1" applyBorder="1"/>
    <xf numFmtId="37" fontId="33" fillId="0" borderId="7" xfId="0" applyFont="1" applyBorder="1"/>
    <xf numFmtId="37" fontId="15" fillId="0" borderId="7" xfId="0" applyFont="1" applyBorder="1"/>
    <xf numFmtId="37" fontId="15" fillId="0" borderId="7" xfId="0" applyFont="1" applyBorder="1" applyAlignment="1">
      <alignment horizontal="right"/>
    </xf>
    <xf numFmtId="37" fontId="18" fillId="0" borderId="7" xfId="0" applyFont="1" applyBorder="1"/>
    <xf numFmtId="165" fontId="19" fillId="0" borderId="2" xfId="0" applyNumberFormat="1" applyFont="1" applyBorder="1" applyAlignment="1">
      <alignment horizontal="right"/>
    </xf>
    <xf numFmtId="165" fontId="19" fillId="0" borderId="2" xfId="0" applyNumberFormat="1" applyFont="1" applyBorder="1"/>
    <xf numFmtId="39" fontId="11" fillId="0" borderId="0" xfId="0" applyNumberFormat="1" applyFont="1" applyAlignment="1">
      <alignment horizontal="right"/>
    </xf>
    <xf numFmtId="39" fontId="11" fillId="0" borderId="0" xfId="0" applyNumberFormat="1" applyFont="1"/>
    <xf numFmtId="165" fontId="9" fillId="0" borderId="0" xfId="0" applyNumberFormat="1" applyFont="1" applyBorder="1"/>
    <xf numFmtId="0" fontId="9" fillId="0" borderId="0" xfId="57" applyFont="1" applyAlignment="1">
      <alignment horizontal="left" indent="1"/>
    </xf>
    <xf numFmtId="165" fontId="11" fillId="0" borderId="19" xfId="0" applyNumberFormat="1" applyFont="1" applyBorder="1"/>
    <xf numFmtId="166" fontId="9" fillId="0" borderId="7" xfId="0" applyNumberFormat="1" applyFont="1" applyBorder="1" applyProtection="1"/>
    <xf numFmtId="165" fontId="19" fillId="0" borderId="0" xfId="0" applyNumberFormat="1" applyFont="1" applyFill="1" applyBorder="1" applyAlignment="1" applyProtection="1">
      <alignment horizontal="right"/>
    </xf>
    <xf numFmtId="165" fontId="9" fillId="0" borderId="0" xfId="0" applyNumberFormat="1" applyFont="1" applyFill="1" applyBorder="1" applyAlignment="1" applyProtection="1">
      <alignment horizontal="right"/>
    </xf>
    <xf numFmtId="165" fontId="19" fillId="0" borderId="2" xfId="0" applyNumberFormat="1" applyFont="1" applyFill="1" applyBorder="1" applyAlignment="1" applyProtection="1">
      <alignment horizontal="right"/>
    </xf>
    <xf numFmtId="165" fontId="19" fillId="0" borderId="0" xfId="0" applyNumberFormat="1" applyFont="1" applyBorder="1" applyProtection="1"/>
    <xf numFmtId="166" fontId="19" fillId="0" borderId="0" xfId="0" applyNumberFormat="1" applyFont="1" applyProtection="1"/>
    <xf numFmtId="165" fontId="19" fillId="0" borderId="0" xfId="0" applyNumberFormat="1" applyFont="1" applyProtection="1"/>
    <xf numFmtId="37" fontId="19" fillId="0" borderId="0" xfId="0" quotePrefix="1" applyNumberFormat="1" applyFont="1" applyAlignment="1" applyProtection="1">
      <alignment horizontal="right"/>
    </xf>
    <xf numFmtId="165" fontId="19" fillId="0" borderId="2" xfId="0" applyNumberFormat="1" applyFont="1" applyBorder="1" applyProtection="1"/>
    <xf numFmtId="165" fontId="10" fillId="0" borderId="0" xfId="0" applyNumberFormat="1" applyFont="1" applyFill="1" applyBorder="1" applyAlignment="1" applyProtection="1">
      <alignment horizontal="right"/>
    </xf>
    <xf numFmtId="190" fontId="19" fillId="0" borderId="0" xfId="66" applyNumberFormat="1" applyFont="1" applyBorder="1"/>
    <xf numFmtId="190" fontId="19" fillId="0" borderId="0" xfId="66" applyNumberFormat="1" applyFont="1"/>
    <xf numFmtId="186" fontId="9" fillId="0" borderId="0" xfId="66" applyNumberFormat="1" applyFont="1"/>
    <xf numFmtId="186" fontId="9" fillId="0" borderId="0" xfId="35" applyNumberFormat="1" applyFont="1"/>
    <xf numFmtId="182" fontId="19" fillId="0" borderId="0" xfId="66" applyFont="1"/>
    <xf numFmtId="177" fontId="19" fillId="0" borderId="0" xfId="76" applyNumberFormat="1" applyFont="1"/>
    <xf numFmtId="196" fontId="16" fillId="0" borderId="2" xfId="0" quotePrefix="1" applyNumberFormat="1" applyFont="1" applyBorder="1" applyAlignment="1">
      <alignment horizontal="center"/>
    </xf>
    <xf numFmtId="165" fontId="18" fillId="0" borderId="0" xfId="0" applyNumberFormat="1" applyFont="1" applyFill="1"/>
    <xf numFmtId="165" fontId="15" fillId="0" borderId="0" xfId="0" applyNumberFormat="1" applyFont="1" applyFill="1" applyProtection="1"/>
    <xf numFmtId="37" fontId="34" fillId="0" borderId="0" xfId="0" applyFont="1"/>
    <xf numFmtId="165" fontId="32" fillId="0" borderId="0" xfId="0" applyNumberFormat="1" applyFont="1" applyAlignment="1" applyProtection="1">
      <alignment horizontal="right"/>
    </xf>
    <xf numFmtId="37" fontId="32" fillId="0" borderId="0" xfId="0" applyFont="1"/>
    <xf numFmtId="165" fontId="32" fillId="0" borderId="0" xfId="0" applyNumberFormat="1" applyFont="1"/>
    <xf numFmtId="191" fontId="9" fillId="0" borderId="0" xfId="76" applyNumberFormat="1" applyFont="1"/>
    <xf numFmtId="7" fontId="19" fillId="0" borderId="0" xfId="66" applyNumberFormat="1" applyFont="1" applyProtection="1"/>
    <xf numFmtId="182" fontId="9" fillId="0" borderId="0" xfId="66" applyFont="1" applyAlignment="1">
      <alignment horizontal="left" indent="1"/>
    </xf>
    <xf numFmtId="37" fontId="18" fillId="0" borderId="0" xfId="0" applyFont="1" applyAlignment="1">
      <alignment horizontal="centerContinuous"/>
    </xf>
    <xf numFmtId="177" fontId="18" fillId="0" borderId="0" xfId="76" applyNumberFormat="1" applyFont="1"/>
    <xf numFmtId="201" fontId="15" fillId="0" borderId="0" xfId="0" applyNumberFormat="1" applyFont="1"/>
    <xf numFmtId="186" fontId="9" fillId="0" borderId="2" xfId="66" applyNumberFormat="1" applyFont="1" applyBorder="1"/>
    <xf numFmtId="186" fontId="9" fillId="0" borderId="0" xfId="66" applyNumberFormat="1" applyFont="1" applyBorder="1"/>
    <xf numFmtId="185" fontId="9" fillId="0" borderId="2" xfId="66" applyNumberFormat="1" applyFont="1" applyBorder="1"/>
    <xf numFmtId="185" fontId="9" fillId="0" borderId="0" xfId="66" applyNumberFormat="1" applyFont="1" applyBorder="1"/>
    <xf numFmtId="186" fontId="15" fillId="0" borderId="0" xfId="0" applyNumberFormat="1" applyFont="1" applyFill="1" applyProtection="1"/>
    <xf numFmtId="186" fontId="37" fillId="0" borderId="0" xfId="0" applyNumberFormat="1" applyFont="1" applyFill="1" applyProtection="1"/>
    <xf numFmtId="186" fontId="15" fillId="0" borderId="0" xfId="0" applyNumberFormat="1" applyFont="1" applyProtection="1"/>
    <xf numFmtId="0" fontId="27" fillId="0" borderId="0" xfId="53" applyFont="1" applyFill="1" applyBorder="1" applyAlignment="1">
      <alignment horizontal="left" indent="1"/>
    </xf>
    <xf numFmtId="186" fontId="18" fillId="0" borderId="0" xfId="0" applyNumberFormat="1" applyFont="1" applyFill="1" applyProtection="1"/>
    <xf numFmtId="167" fontId="15" fillId="0" borderId="0" xfId="0" applyNumberFormat="1" applyFont="1"/>
    <xf numFmtId="0" fontId="11" fillId="0" borderId="0" xfId="58" applyFont="1"/>
    <xf numFmtId="0" fontId="11" fillId="0" borderId="0" xfId="58" applyFont="1" applyAlignment="1">
      <alignment horizontal="left"/>
    </xf>
    <xf numFmtId="0" fontId="11" fillId="0" borderId="0" xfId="58" applyFont="1" applyBorder="1"/>
    <xf numFmtId="174" fontId="9" fillId="0" borderId="0" xfId="58" applyNumberFormat="1" applyFont="1" applyBorder="1"/>
    <xf numFmtId="0" fontId="25" fillId="0" borderId="2" xfId="58" applyFont="1" applyBorder="1"/>
    <xf numFmtId="0" fontId="11" fillId="0" borderId="2" xfId="58" applyFont="1" applyBorder="1" applyAlignment="1">
      <alignment horizontal="left"/>
    </xf>
    <xf numFmtId="0" fontId="11" fillId="0" borderId="2" xfId="58" applyFont="1" applyBorder="1"/>
    <xf numFmtId="174" fontId="9" fillId="0" borderId="2" xfId="58" applyNumberFormat="1" applyFont="1" applyBorder="1"/>
    <xf numFmtId="0" fontId="26" fillId="0" borderId="0" xfId="58" applyFont="1"/>
    <xf numFmtId="0" fontId="15" fillId="0" borderId="0" xfId="58" applyFont="1"/>
    <xf numFmtId="6" fontId="26" fillId="0" borderId="0" xfId="58" quotePrefix="1" applyNumberFormat="1" applyFont="1"/>
    <xf numFmtId="203" fontId="16" fillId="0" borderId="0" xfId="58" applyNumberFormat="1" applyFont="1" applyBorder="1" applyAlignment="1">
      <alignment horizontal="center"/>
    </xf>
    <xf numFmtId="0" fontId="16" fillId="0" borderId="0" xfId="58" applyFont="1" applyAlignment="1">
      <alignment horizontal="center"/>
    </xf>
    <xf numFmtId="203" fontId="16" fillId="0" borderId="2" xfId="58" applyNumberFormat="1" applyFont="1" applyBorder="1" applyAlignment="1">
      <alignment horizontal="centerContinuous"/>
    </xf>
    <xf numFmtId="185" fontId="18" fillId="0" borderId="0" xfId="58" applyNumberFormat="1" applyFont="1"/>
    <xf numFmtId="174" fontId="15" fillId="0" borderId="0" xfId="76" applyNumberFormat="1" applyFont="1"/>
    <xf numFmtId="199" fontId="15" fillId="0" borderId="0" xfId="58" applyNumberFormat="1" applyFont="1" applyAlignment="1">
      <alignment horizontal="left"/>
    </xf>
    <xf numFmtId="38" fontId="18" fillId="0" borderId="0" xfId="58" applyNumberFormat="1" applyFont="1"/>
    <xf numFmtId="186" fontId="18" fillId="0" borderId="0" xfId="58" applyNumberFormat="1" applyFont="1"/>
    <xf numFmtId="186" fontId="15" fillId="0" borderId="0" xfId="58" applyNumberFormat="1" applyFont="1"/>
    <xf numFmtId="38" fontId="15" fillId="0" borderId="0" xfId="58" applyNumberFormat="1" applyFont="1"/>
    <xf numFmtId="185" fontId="15" fillId="0" borderId="0" xfId="58" applyNumberFormat="1" applyFont="1"/>
    <xf numFmtId="174" fontId="15" fillId="0" borderId="0" xfId="76" applyNumberFormat="1" applyFont="1" applyAlignment="1">
      <alignment horizontal="right"/>
    </xf>
    <xf numFmtId="186" fontId="19" fillId="0" borderId="0" xfId="35" applyNumberFormat="1" applyFont="1"/>
    <xf numFmtId="185" fontId="9" fillId="0" borderId="0" xfId="39" applyNumberFormat="1" applyFont="1" applyFill="1"/>
    <xf numFmtId="177" fontId="9" fillId="0" borderId="0" xfId="0" applyNumberFormat="1" applyFont="1"/>
    <xf numFmtId="37" fontId="16" fillId="0" borderId="0" xfId="0" applyFont="1" applyBorder="1" applyAlignment="1">
      <alignment horizontal="center"/>
    </xf>
    <xf numFmtId="37" fontId="31" fillId="0" borderId="0" xfId="0" applyFont="1" applyAlignment="1" applyProtection="1">
      <alignment horizontal="left"/>
    </xf>
    <xf numFmtId="166" fontId="19" fillId="0" borderId="0" xfId="39" applyNumberFormat="1" applyFont="1"/>
    <xf numFmtId="177" fontId="15" fillId="0" borderId="0" xfId="76" applyNumberFormat="1" applyFont="1" applyAlignment="1">
      <alignment horizontal="centerContinuous"/>
    </xf>
    <xf numFmtId="177" fontId="18" fillId="0" borderId="0" xfId="76" applyNumberFormat="1" applyFont="1" applyAlignment="1">
      <alignment horizontal="centerContinuous"/>
    </xf>
    <xf numFmtId="189" fontId="27" fillId="0" borderId="0" xfId="53" applyNumberFormat="1" applyFont="1" applyFill="1" applyBorder="1"/>
    <xf numFmtId="37" fontId="0" fillId="0" borderId="2" xfId="0" applyBorder="1"/>
    <xf numFmtId="177" fontId="19" fillId="0" borderId="0" xfId="76" applyNumberFormat="1" applyFont="1" applyFill="1" applyBorder="1"/>
    <xf numFmtId="165" fontId="0" fillId="0" borderId="0" xfId="0" applyNumberFormat="1"/>
    <xf numFmtId="177" fontId="19" fillId="0" borderId="0" xfId="76" applyNumberFormat="1" applyFont="1" applyFill="1" applyBorder="1" applyAlignment="1"/>
    <xf numFmtId="165" fontId="9" fillId="0" borderId="0" xfId="0" applyNumberFormat="1" applyFont="1" applyFill="1" applyProtection="1"/>
    <xf numFmtId="165" fontId="9" fillId="0" borderId="0" xfId="0" applyNumberFormat="1" applyFont="1" applyFill="1" applyAlignment="1" applyProtection="1">
      <alignment horizontal="right"/>
    </xf>
    <xf numFmtId="37" fontId="24" fillId="0" borderId="0" xfId="0" applyFont="1" applyFill="1"/>
    <xf numFmtId="37" fontId="9" fillId="0" borderId="0" xfId="0" applyFont="1" applyFill="1" applyAlignment="1">
      <alignment horizontal="center"/>
    </xf>
    <xf numFmtId="37" fontId="15" fillId="0" borderId="0" xfId="0" applyFont="1" applyFill="1"/>
    <xf numFmtId="206" fontId="25" fillId="0" borderId="2" xfId="70" applyNumberFormat="1" applyFont="1" applyBorder="1" applyAlignment="1" applyProtection="1">
      <alignment horizontal="center"/>
    </xf>
    <xf numFmtId="37" fontId="25" fillId="0" borderId="2" xfId="0" quotePrefix="1" applyFont="1" applyBorder="1" applyAlignment="1" applyProtection="1">
      <alignment horizontal="center"/>
    </xf>
    <xf numFmtId="37" fontId="25" fillId="0" borderId="0" xfId="0" applyFont="1" applyAlignment="1" applyProtection="1">
      <alignment horizontal="left"/>
    </xf>
    <xf numFmtId="0" fontId="25" fillId="0" borderId="2" xfId="59" applyFont="1" applyBorder="1" applyAlignment="1">
      <alignment vertical="center"/>
    </xf>
    <xf numFmtId="182" fontId="42" fillId="0" borderId="0" xfId="66" applyFont="1" applyFill="1" applyAlignment="1" applyProtection="1">
      <alignment horizontal="left"/>
    </xf>
    <xf numFmtId="182" fontId="42" fillId="0" borderId="0" xfId="66" applyFont="1" applyFill="1"/>
    <xf numFmtId="166" fontId="42" fillId="0" borderId="0" xfId="66" quotePrefix="1" applyNumberFormat="1" applyFont="1" applyFill="1" applyAlignment="1" applyProtection="1">
      <alignment horizontal="right"/>
    </xf>
    <xf numFmtId="187" fontId="42" fillId="0" borderId="0" xfId="35" quotePrefix="1" applyNumberFormat="1" applyFont="1" applyFill="1" applyAlignment="1" applyProtection="1">
      <alignment horizontal="right"/>
    </xf>
    <xf numFmtId="166" fontId="42" fillId="0" borderId="0" xfId="66" quotePrefix="1" applyNumberFormat="1" applyFont="1" applyFill="1" applyBorder="1" applyAlignment="1" applyProtection="1">
      <alignment horizontal="right"/>
    </xf>
    <xf numFmtId="40" fontId="42" fillId="0" borderId="0" xfId="35" quotePrefix="1" applyFont="1" applyFill="1" applyAlignment="1" applyProtection="1">
      <alignment horizontal="right"/>
    </xf>
    <xf numFmtId="40" fontId="43" fillId="0" borderId="0" xfId="35" applyFont="1" applyFill="1" applyProtection="1"/>
    <xf numFmtId="184" fontId="42" fillId="0" borderId="0" xfId="66" quotePrefix="1" applyNumberFormat="1" applyFont="1" applyFill="1" applyAlignment="1" applyProtection="1">
      <alignment horizontal="right"/>
    </xf>
    <xf numFmtId="7" fontId="42" fillId="0" borderId="0" xfId="66" quotePrefix="1" applyNumberFormat="1" applyFont="1" applyFill="1" applyAlignment="1" applyProtection="1">
      <alignment horizontal="right"/>
    </xf>
    <xf numFmtId="182" fontId="42" fillId="0" borderId="0" xfId="66" applyFont="1" applyFill="1" applyBorder="1"/>
    <xf numFmtId="40" fontId="44" fillId="0" borderId="0" xfId="35" applyFont="1"/>
    <xf numFmtId="177" fontId="42" fillId="0" borderId="0" xfId="76" applyNumberFormat="1" applyFont="1" applyFill="1"/>
    <xf numFmtId="182" fontId="44" fillId="0" borderId="0" xfId="66" applyFont="1"/>
    <xf numFmtId="185" fontId="9" fillId="28" borderId="0" xfId="39" applyNumberFormat="1" applyFont="1" applyFill="1"/>
    <xf numFmtId="165" fontId="19" fillId="28" borderId="0" xfId="66" applyNumberFormat="1" applyFont="1" applyFill="1"/>
    <xf numFmtId="165" fontId="9" fillId="28" borderId="2" xfId="66" applyNumberFormat="1" applyFont="1" applyFill="1" applyBorder="1"/>
    <xf numFmtId="185" fontId="19" fillId="28" borderId="0" xfId="39" applyNumberFormat="1" applyFont="1" applyFill="1"/>
    <xf numFmtId="186" fontId="9" fillId="28" borderId="0" xfId="66" applyNumberFormat="1" applyFont="1" applyFill="1" applyBorder="1"/>
    <xf numFmtId="165" fontId="9" fillId="27" borderId="0" xfId="66" applyNumberFormat="1" applyFont="1" applyFill="1" applyBorder="1"/>
    <xf numFmtId="165" fontId="19" fillId="28" borderId="2" xfId="66" applyNumberFormat="1" applyFont="1" applyFill="1" applyBorder="1"/>
    <xf numFmtId="185" fontId="19" fillId="0" borderId="0" xfId="39" applyNumberFormat="1" applyFont="1" applyBorder="1"/>
    <xf numFmtId="166" fontId="9" fillId="0" borderId="0" xfId="39" applyNumberFormat="1" applyFont="1" applyBorder="1"/>
    <xf numFmtId="186" fontId="9" fillId="0" borderId="0" xfId="35" applyNumberFormat="1" applyFont="1" applyBorder="1" applyProtection="1"/>
    <xf numFmtId="191" fontId="9" fillId="0" borderId="0" xfId="76" applyNumberFormat="1" applyFont="1" applyBorder="1"/>
    <xf numFmtId="7" fontId="19" fillId="0" borderId="0" xfId="66" applyNumberFormat="1" applyFont="1" applyBorder="1" applyProtection="1"/>
    <xf numFmtId="7" fontId="42" fillId="0" borderId="0" xfId="66" quotePrefix="1" applyNumberFormat="1" applyFont="1" applyFill="1" applyBorder="1" applyAlignment="1" applyProtection="1">
      <alignment horizontal="right"/>
    </xf>
    <xf numFmtId="177" fontId="42" fillId="0" borderId="0" xfId="76" applyNumberFormat="1" applyFont="1" applyFill="1" applyBorder="1"/>
    <xf numFmtId="37" fontId="25" fillId="0" borderId="0" xfId="0" quotePrefix="1" applyFont="1" applyBorder="1" applyAlignment="1" applyProtection="1">
      <alignment horizontal="center"/>
    </xf>
    <xf numFmtId="166" fontId="9" fillId="0" borderId="0" xfId="0" applyNumberFormat="1" applyFont="1" applyBorder="1" applyProtection="1"/>
    <xf numFmtId="39" fontId="9" fillId="0" borderId="0" xfId="0" applyNumberFormat="1" applyFont="1" applyBorder="1"/>
    <xf numFmtId="166" fontId="9" fillId="0" borderId="0" xfId="0" applyNumberFormat="1" applyFont="1" applyBorder="1" applyAlignment="1" applyProtection="1">
      <alignment horizontal="right"/>
    </xf>
    <xf numFmtId="40" fontId="9" fillId="0" borderId="0" xfId="35" applyFont="1" applyBorder="1"/>
    <xf numFmtId="165" fontId="19" fillId="28" borderId="0" xfId="66" applyNumberFormat="1" applyFont="1" applyFill="1" applyBorder="1"/>
    <xf numFmtId="207" fontId="45" fillId="0" borderId="0" xfId="0" applyNumberFormat="1" applyFont="1" applyAlignment="1" applyProtection="1"/>
    <xf numFmtId="177" fontId="19" fillId="0" borderId="0" xfId="0" applyNumberFormat="1" applyFont="1"/>
    <xf numFmtId="186" fontId="15" fillId="27" borderId="0" xfId="0" applyNumberFormat="1" applyFont="1" applyFill="1" applyProtection="1"/>
    <xf numFmtId="165" fontId="19" fillId="0" borderId="0" xfId="0" applyNumberFormat="1" applyFont="1" applyFill="1" applyAlignment="1" applyProtection="1">
      <alignment horizontal="right"/>
    </xf>
    <xf numFmtId="182" fontId="11" fillId="0" borderId="2" xfId="66" applyFont="1" applyFill="1" applyBorder="1" applyAlignment="1">
      <alignment horizontal="center"/>
    </xf>
    <xf numFmtId="182" fontId="26" fillId="0" borderId="0" xfId="66" applyFont="1" applyAlignment="1">
      <alignment horizontal="center"/>
    </xf>
    <xf numFmtId="165" fontId="19" fillId="0" borderId="0" xfId="66" applyNumberFormat="1" applyFont="1" applyFill="1"/>
    <xf numFmtId="37" fontId="42" fillId="0" borderId="0" xfId="0" applyFont="1" applyFill="1"/>
    <xf numFmtId="37" fontId="42" fillId="0" borderId="0" xfId="0" applyNumberFormat="1" applyFont="1" applyFill="1" applyProtection="1"/>
    <xf numFmtId="37" fontId="42" fillId="0" borderId="0" xfId="0" applyNumberFormat="1" applyFont="1" applyFill="1" applyAlignment="1" applyProtection="1">
      <alignment horizontal="right"/>
    </xf>
    <xf numFmtId="9" fontId="42" fillId="0" borderId="0" xfId="76" applyFont="1" applyFill="1"/>
    <xf numFmtId="40" fontId="42" fillId="0" borderId="0" xfId="35" applyFont="1" applyFill="1"/>
    <xf numFmtId="166" fontId="19" fillId="0" borderId="0" xfId="53" applyNumberFormat="1" applyFont="1" applyFill="1" applyBorder="1"/>
    <xf numFmtId="166" fontId="9" fillId="0" borderId="0" xfId="0" applyNumberFormat="1" applyFont="1" applyFill="1" applyProtection="1"/>
    <xf numFmtId="166" fontId="19" fillId="0" borderId="0" xfId="39" applyNumberFormat="1" applyFont="1" applyFill="1"/>
    <xf numFmtId="186" fontId="9" fillId="0" borderId="0" xfId="66" applyNumberFormat="1" applyFont="1" applyFill="1" applyBorder="1"/>
    <xf numFmtId="182" fontId="27" fillId="0" borderId="0" xfId="66" applyFont="1" applyAlignment="1" applyProtection="1">
      <alignment horizontal="left"/>
    </xf>
    <xf numFmtId="166" fontId="9" fillId="0" borderId="2" xfId="66" applyNumberFormat="1" applyFont="1" applyBorder="1" applyAlignment="1" applyProtection="1">
      <alignment horizontal="centerContinuous"/>
    </xf>
    <xf numFmtId="37" fontId="46" fillId="0" borderId="0" xfId="0" applyFont="1" applyAlignment="1">
      <alignment horizontal="center"/>
    </xf>
    <xf numFmtId="37" fontId="11" fillId="0" borderId="2" xfId="0" quotePrefix="1" applyFont="1" applyFill="1" applyBorder="1" applyAlignment="1" applyProtection="1">
      <alignment horizontal="center"/>
    </xf>
    <xf numFmtId="37" fontId="47" fillId="0" borderId="0" xfId="0" applyFont="1" applyAlignment="1" applyProtection="1">
      <alignment horizontal="left"/>
    </xf>
    <xf numFmtId="182" fontId="30" fillId="0" borderId="0" xfId="70" applyFont="1"/>
    <xf numFmtId="182" fontId="47" fillId="0" borderId="2" xfId="70" applyFont="1" applyBorder="1" applyAlignment="1" applyProtection="1">
      <alignment horizontal="left"/>
    </xf>
    <xf numFmtId="182" fontId="30" fillId="0" borderId="2" xfId="70" applyFont="1" applyBorder="1"/>
    <xf numFmtId="182" fontId="47" fillId="0" borderId="0" xfId="70" applyFont="1" applyBorder="1" applyAlignment="1" applyProtection="1">
      <alignment horizontal="left"/>
    </xf>
    <xf numFmtId="182" fontId="30" fillId="0" borderId="0" xfId="70" applyFont="1" applyBorder="1"/>
    <xf numFmtId="164" fontId="30" fillId="0" borderId="0" xfId="70" applyNumberFormat="1" applyFont="1" applyBorder="1" applyAlignment="1" applyProtection="1">
      <alignment horizontal="left"/>
    </xf>
    <xf numFmtId="0" fontId="47" fillId="0" borderId="0" xfId="53" applyFont="1" applyFill="1" applyBorder="1"/>
    <xf numFmtId="182" fontId="30" fillId="0" borderId="8" xfId="70" applyFont="1" applyBorder="1"/>
    <xf numFmtId="182" fontId="30" fillId="0" borderId="7" xfId="70" applyFont="1" applyBorder="1"/>
    <xf numFmtId="182" fontId="47" fillId="0" borderId="7" xfId="70" applyFont="1" applyBorder="1" applyAlignment="1" applyProtection="1">
      <alignment horizontal="center"/>
    </xf>
    <xf numFmtId="182" fontId="30" fillId="0" borderId="26" xfId="70" applyFont="1" applyBorder="1"/>
    <xf numFmtId="182" fontId="30" fillId="0" borderId="0" xfId="70" applyNumberFormat="1" applyFont="1" applyProtection="1"/>
    <xf numFmtId="182" fontId="48" fillId="0" borderId="0" xfId="70" applyNumberFormat="1" applyFont="1" applyAlignment="1" applyProtection="1">
      <alignment horizontal="center"/>
    </xf>
    <xf numFmtId="182" fontId="47" fillId="0" borderId="2" xfId="70" applyNumberFormat="1" applyFont="1" applyBorder="1" applyAlignment="1" applyProtection="1">
      <alignment horizontal="center"/>
    </xf>
    <xf numFmtId="182" fontId="47" fillId="0" borderId="2" xfId="70" applyFont="1" applyBorder="1" applyAlignment="1" applyProtection="1">
      <alignment horizontal="center"/>
    </xf>
    <xf numFmtId="206" fontId="49" fillId="0" borderId="2" xfId="70" applyNumberFormat="1" applyFont="1" applyBorder="1" applyAlignment="1" applyProtection="1">
      <alignment horizontal="center"/>
    </xf>
    <xf numFmtId="182" fontId="48" fillId="0" borderId="1" xfId="70" applyFont="1" applyBorder="1"/>
    <xf numFmtId="182" fontId="49" fillId="0" borderId="7" xfId="70" applyFont="1" applyBorder="1" applyAlignment="1" applyProtection="1">
      <alignment horizontal="center"/>
    </xf>
    <xf numFmtId="182" fontId="30" fillId="0" borderId="27" xfId="70" applyFont="1" applyBorder="1"/>
    <xf numFmtId="182" fontId="30" fillId="0" borderId="1" xfId="70" applyFont="1" applyBorder="1"/>
    <xf numFmtId="5" fontId="50" fillId="0" borderId="0" xfId="70" applyNumberFormat="1" applyFont="1" applyProtection="1"/>
    <xf numFmtId="5" fontId="30" fillId="0" borderId="0" xfId="70" applyNumberFormat="1" applyFont="1" applyProtection="1"/>
    <xf numFmtId="5" fontId="30" fillId="0" borderId="0" xfId="70" applyNumberFormat="1" applyFont="1" applyFill="1" applyProtection="1"/>
    <xf numFmtId="5" fontId="51" fillId="0" borderId="0" xfId="70" applyNumberFormat="1" applyFont="1" applyProtection="1"/>
    <xf numFmtId="182" fontId="30" fillId="0" borderId="0" xfId="70" applyNumberFormat="1" applyFont="1" applyAlignment="1" applyProtection="1">
      <alignment horizontal="left"/>
    </xf>
    <xf numFmtId="165" fontId="30" fillId="0" borderId="0" xfId="70" applyNumberFormat="1" applyFont="1" applyBorder="1" applyProtection="1"/>
    <xf numFmtId="182" fontId="30" fillId="0" borderId="0" xfId="70" applyFont="1" applyBorder="1" applyAlignment="1" applyProtection="1">
      <alignment horizontal="left"/>
    </xf>
    <xf numFmtId="182" fontId="30" fillId="0" borderId="27" xfId="70" applyFont="1" applyBorder="1" applyAlignment="1" applyProtection="1">
      <alignment horizontal="left"/>
    </xf>
    <xf numFmtId="177" fontId="30" fillId="0" borderId="0" xfId="70" applyNumberFormat="1" applyFont="1" applyProtection="1"/>
    <xf numFmtId="177" fontId="30" fillId="0" borderId="0" xfId="70" applyNumberFormat="1" applyFont="1" applyAlignment="1" applyProtection="1">
      <alignment horizontal="right"/>
    </xf>
    <xf numFmtId="177" fontId="30" fillId="0" borderId="0" xfId="70" applyNumberFormat="1" applyFont="1" applyFill="1" applyBorder="1" applyProtection="1"/>
    <xf numFmtId="182" fontId="50" fillId="0" borderId="0" xfId="70" applyNumberFormat="1" applyFont="1" applyProtection="1"/>
    <xf numFmtId="182" fontId="30" fillId="0" borderId="0" xfId="70" applyNumberFormat="1" applyFont="1" applyFill="1" applyBorder="1" applyProtection="1"/>
    <xf numFmtId="182" fontId="50" fillId="0" borderId="0" xfId="70" applyNumberFormat="1" applyFont="1" applyFill="1" applyBorder="1" applyProtection="1"/>
    <xf numFmtId="182" fontId="50" fillId="0" borderId="0" xfId="70" applyNumberFormat="1" applyFont="1" applyFill="1" applyProtection="1"/>
    <xf numFmtId="182" fontId="30" fillId="0" borderId="0" xfId="70" quotePrefix="1" applyNumberFormat="1" applyFont="1" applyAlignment="1" applyProtection="1">
      <alignment horizontal="left"/>
    </xf>
    <xf numFmtId="196" fontId="50" fillId="0" borderId="0" xfId="70" applyNumberFormat="1" applyFont="1" applyProtection="1"/>
    <xf numFmtId="196" fontId="50" fillId="0" borderId="0" xfId="70" applyNumberFormat="1" applyFont="1" applyFill="1" applyBorder="1" applyAlignment="1" applyProtection="1">
      <alignment horizontal="right"/>
    </xf>
    <xf numFmtId="196" fontId="50" fillId="0" borderId="0" xfId="70" applyNumberFormat="1" applyFont="1" applyFill="1" applyProtection="1"/>
    <xf numFmtId="37" fontId="30" fillId="0" borderId="0" xfId="70" applyNumberFormat="1" applyFont="1" applyProtection="1"/>
    <xf numFmtId="37" fontId="30" fillId="0" borderId="1" xfId="70" applyNumberFormat="1" applyFont="1" applyBorder="1" applyProtection="1"/>
    <xf numFmtId="37" fontId="30" fillId="0" borderId="0" xfId="70" applyNumberFormat="1" applyFont="1" applyBorder="1" applyProtection="1"/>
    <xf numFmtId="37" fontId="30" fillId="0" borderId="27" xfId="70" applyNumberFormat="1" applyFont="1" applyBorder="1" applyProtection="1"/>
    <xf numFmtId="184" fontId="30" fillId="0" borderId="0" xfId="70" applyNumberFormat="1" applyFont="1" applyProtection="1"/>
    <xf numFmtId="191" fontId="30" fillId="0" borderId="0" xfId="71" applyNumberFormat="1" applyFont="1" applyProtection="1"/>
    <xf numFmtId="191" fontId="30" fillId="0" borderId="0" xfId="71" applyNumberFormat="1" applyFont="1" applyAlignment="1" applyProtection="1">
      <alignment horizontal="right"/>
    </xf>
    <xf numFmtId="183" fontId="50" fillId="0" borderId="0" xfId="70" applyNumberFormat="1" applyFont="1" applyProtection="1"/>
    <xf numFmtId="183" fontId="30" fillId="0" borderId="0" xfId="70" applyNumberFormat="1" applyFont="1" applyProtection="1"/>
    <xf numFmtId="183" fontId="50" fillId="0" borderId="0" xfId="70" applyNumberFormat="1" applyFont="1" applyFill="1" applyBorder="1" applyProtection="1"/>
    <xf numFmtId="183" fontId="50" fillId="0" borderId="0" xfId="70" applyNumberFormat="1" applyFont="1" applyFill="1" applyProtection="1"/>
    <xf numFmtId="178" fontId="50" fillId="0" borderId="0" xfId="70" applyNumberFormat="1" applyFont="1"/>
    <xf numFmtId="191" fontId="50" fillId="0" borderId="0" xfId="71" applyNumberFormat="1" applyFont="1" applyProtection="1"/>
    <xf numFmtId="191" fontId="30" fillId="0" borderId="1" xfId="71" applyNumberFormat="1" applyFont="1" applyBorder="1" applyProtection="1"/>
    <xf numFmtId="37" fontId="50" fillId="0" borderId="0" xfId="70" applyNumberFormat="1" applyFont="1" applyProtection="1"/>
    <xf numFmtId="182" fontId="47" fillId="0" borderId="0" xfId="70" applyFont="1"/>
    <xf numFmtId="182" fontId="30" fillId="0" borderId="25" xfId="70" applyFont="1" applyBorder="1"/>
    <xf numFmtId="165" fontId="30" fillId="0" borderId="2" xfId="70" applyNumberFormat="1" applyFont="1" applyBorder="1" applyProtection="1"/>
    <xf numFmtId="182" fontId="30" fillId="0" borderId="30" xfId="70" applyFont="1" applyBorder="1"/>
    <xf numFmtId="177" fontId="30" fillId="0" borderId="0" xfId="76" applyNumberFormat="1" applyFont="1"/>
    <xf numFmtId="6" fontId="30" fillId="0" borderId="0" xfId="39" applyNumberFormat="1" applyFont="1"/>
    <xf numFmtId="186" fontId="30" fillId="0" borderId="0" xfId="35" applyNumberFormat="1" applyFont="1" applyBorder="1"/>
    <xf numFmtId="165" fontId="50" fillId="0" borderId="0" xfId="70" applyNumberFormat="1" applyFont="1" applyBorder="1" applyAlignment="1" applyProtection="1">
      <alignment horizontal="right"/>
    </xf>
    <xf numFmtId="182" fontId="30" fillId="0" borderId="0" xfId="70" quotePrefix="1" applyFont="1"/>
    <xf numFmtId="182" fontId="30" fillId="0" borderId="0" xfId="70" applyFont="1" applyAlignment="1">
      <alignment horizontal="left"/>
    </xf>
    <xf numFmtId="165" fontId="30" fillId="0" borderId="0" xfId="70" applyNumberFormat="1" applyFont="1" applyProtection="1"/>
    <xf numFmtId="182" fontId="36" fillId="0" borderId="0" xfId="70" applyFont="1"/>
    <xf numFmtId="37" fontId="36" fillId="0" borderId="0" xfId="0" applyFont="1"/>
    <xf numFmtId="165" fontId="36" fillId="0" borderId="0" xfId="70" applyNumberFormat="1" applyFont="1" applyProtection="1"/>
    <xf numFmtId="182" fontId="36" fillId="0" borderId="0" xfId="70" applyFont="1" applyAlignment="1">
      <alignment horizontal="left"/>
    </xf>
    <xf numFmtId="0" fontId="30" fillId="0" borderId="0" xfId="69" applyFont="1"/>
    <xf numFmtId="206" fontId="47" fillId="0" borderId="2" xfId="70" applyNumberFormat="1" applyFont="1" applyBorder="1" applyAlignment="1" applyProtection="1">
      <alignment horizontal="center"/>
    </xf>
    <xf numFmtId="177" fontId="50" fillId="0" borderId="0" xfId="70" applyNumberFormat="1" applyFont="1" applyAlignment="1" applyProtection="1">
      <alignment horizontal="right"/>
    </xf>
    <xf numFmtId="182" fontId="30" fillId="0" borderId="0" xfId="70" applyNumberFormat="1" applyFont="1" applyAlignment="1" applyProtection="1">
      <alignment horizontal="left" indent="2"/>
    </xf>
    <xf numFmtId="182" fontId="50" fillId="0" borderId="0" xfId="70" applyNumberFormat="1" applyFont="1" applyFill="1" applyBorder="1" applyAlignment="1" applyProtection="1">
      <alignment horizontal="right"/>
    </xf>
    <xf numFmtId="191" fontId="50" fillId="0" borderId="0" xfId="71" applyNumberFormat="1" applyFont="1" applyAlignment="1" applyProtection="1">
      <alignment horizontal="right"/>
    </xf>
    <xf numFmtId="182" fontId="50" fillId="0" borderId="0" xfId="70" applyFont="1"/>
    <xf numFmtId="166" fontId="30" fillId="0" borderId="0" xfId="70" applyNumberFormat="1" applyFont="1" applyProtection="1"/>
    <xf numFmtId="196" fontId="30" fillId="0" borderId="0" xfId="70" applyNumberFormat="1" applyFont="1" applyProtection="1"/>
    <xf numFmtId="182" fontId="52" fillId="0" borderId="0" xfId="70" applyNumberFormat="1" applyFont="1" applyProtection="1"/>
    <xf numFmtId="191" fontId="52" fillId="0" borderId="0" xfId="71" applyNumberFormat="1" applyFont="1" applyAlignment="1" applyProtection="1">
      <alignment horizontal="right"/>
    </xf>
    <xf numFmtId="177" fontId="30" fillId="0" borderId="0" xfId="70" applyNumberFormat="1" applyFont="1" applyFill="1" applyProtection="1"/>
    <xf numFmtId="186" fontId="30" fillId="0" borderId="1" xfId="35" applyNumberFormat="1" applyFont="1" applyBorder="1"/>
    <xf numFmtId="167" fontId="15" fillId="0" borderId="0" xfId="0" applyNumberFormat="1" applyFont="1" applyAlignment="1" applyProtection="1">
      <alignment horizontal="centerContinuous"/>
    </xf>
    <xf numFmtId="165" fontId="31" fillId="0" borderId="0" xfId="0" applyNumberFormat="1" applyFont="1" applyAlignment="1">
      <alignment horizontal="center"/>
    </xf>
    <xf numFmtId="190" fontId="15" fillId="0" borderId="0" xfId="0" applyNumberFormat="1" applyFont="1"/>
    <xf numFmtId="190" fontId="15" fillId="0" borderId="2" xfId="0" applyNumberFormat="1" applyFont="1" applyBorder="1"/>
    <xf numFmtId="37" fontId="53" fillId="0" borderId="0" xfId="0" applyFont="1" applyAlignment="1">
      <alignment horizontal="center"/>
    </xf>
    <xf numFmtId="37" fontId="54" fillId="0" borderId="0" xfId="0" applyFont="1"/>
    <xf numFmtId="37" fontId="53" fillId="0" borderId="2" xfId="0" applyFont="1" applyBorder="1" applyAlignment="1">
      <alignment horizontal="center"/>
    </xf>
    <xf numFmtId="39" fontId="54" fillId="0" borderId="0" xfId="0" applyNumberFormat="1" applyFont="1" applyProtection="1"/>
    <xf numFmtId="39" fontId="54" fillId="0" borderId="0" xfId="0" applyNumberFormat="1" applyFont="1" applyBorder="1" applyProtection="1"/>
    <xf numFmtId="37" fontId="54" fillId="0" borderId="0" xfId="0" applyFont="1" applyAlignment="1" applyProtection="1">
      <alignment horizontal="left"/>
    </xf>
    <xf numFmtId="39" fontId="54" fillId="0" borderId="28" xfId="0" applyNumberFormat="1" applyFont="1" applyBorder="1" applyProtection="1"/>
    <xf numFmtId="37" fontId="54" fillId="0" borderId="29" xfId="0" applyFont="1" applyBorder="1" applyAlignment="1" applyProtection="1">
      <alignment horizontal="left"/>
    </xf>
    <xf numFmtId="206" fontId="49" fillId="0" borderId="0" xfId="70" applyNumberFormat="1" applyFont="1" applyBorder="1" applyAlignment="1" applyProtection="1">
      <alignment horizontal="center"/>
    </xf>
    <xf numFmtId="0" fontId="44" fillId="0" borderId="0" xfId="53" applyFont="1" applyFill="1" applyBorder="1"/>
    <xf numFmtId="165" fontId="42" fillId="0" borderId="0" xfId="53" applyNumberFormat="1" applyFont="1" applyFill="1" applyBorder="1"/>
    <xf numFmtId="0" fontId="42" fillId="0" borderId="0" xfId="53" applyFont="1" applyFill="1" applyBorder="1"/>
    <xf numFmtId="2" fontId="42" fillId="0" borderId="0" xfId="53" applyNumberFormat="1" applyFont="1" applyFill="1" applyBorder="1"/>
    <xf numFmtId="8" fontId="42" fillId="0" borderId="0" xfId="53" applyNumberFormat="1" applyFont="1" applyFill="1" applyBorder="1"/>
    <xf numFmtId="37" fontId="9" fillId="0" borderId="2" xfId="0" applyFont="1" applyFill="1" applyBorder="1"/>
    <xf numFmtId="39" fontId="15" fillId="0" borderId="0" xfId="0" applyNumberFormat="1" applyFont="1" applyFill="1"/>
    <xf numFmtId="177" fontId="15" fillId="0" borderId="0" xfId="76" applyNumberFormat="1" applyFont="1" applyFill="1"/>
    <xf numFmtId="37" fontId="57" fillId="0" borderId="0" xfId="0" applyFont="1" applyFill="1"/>
    <xf numFmtId="165" fontId="57" fillId="0" borderId="0" xfId="0" applyNumberFormat="1" applyFont="1" applyFill="1" applyProtection="1"/>
    <xf numFmtId="165" fontId="57" fillId="0" borderId="0" xfId="0" applyNumberFormat="1" applyFont="1" applyFill="1" applyAlignment="1" applyProtection="1">
      <alignment horizontal="right"/>
    </xf>
    <xf numFmtId="37" fontId="58" fillId="0" borderId="0" xfId="0" applyFont="1" applyFill="1"/>
    <xf numFmtId="8" fontId="57" fillId="0" borderId="0" xfId="39" applyFont="1" applyFill="1" applyAlignment="1">
      <alignment horizontal="right"/>
    </xf>
    <xf numFmtId="37" fontId="57" fillId="0" borderId="0" xfId="0" applyFont="1" applyFill="1" applyAlignment="1">
      <alignment horizontal="right"/>
    </xf>
    <xf numFmtId="37" fontId="55" fillId="0" borderId="0" xfId="0" applyFont="1"/>
    <xf numFmtId="37" fontId="57" fillId="0" borderId="0" xfId="0" applyNumberFormat="1" applyFont="1" applyFill="1" applyProtection="1"/>
    <xf numFmtId="37" fontId="57" fillId="0" borderId="0" xfId="0" applyNumberFormat="1" applyFont="1" applyFill="1" applyAlignment="1" applyProtection="1">
      <alignment horizontal="right"/>
    </xf>
    <xf numFmtId="9" fontId="57" fillId="0" borderId="0" xfId="76" applyFont="1" applyFill="1"/>
    <xf numFmtId="40" fontId="57" fillId="0" borderId="0" xfId="35" applyFont="1" applyFill="1"/>
    <xf numFmtId="207" fontId="59" fillId="0" borderId="0" xfId="0" applyNumberFormat="1" applyFont="1" applyAlignment="1" applyProtection="1"/>
    <xf numFmtId="37" fontId="56" fillId="0" borderId="31" xfId="0" applyFont="1" applyBorder="1"/>
    <xf numFmtId="37" fontId="57" fillId="0" borderId="31" xfId="0" applyFont="1" applyBorder="1"/>
    <xf numFmtId="165" fontId="57" fillId="0" borderId="31" xfId="0" applyNumberFormat="1" applyFont="1" applyBorder="1" applyProtection="1"/>
    <xf numFmtId="165" fontId="57" fillId="0" borderId="31" xfId="0" applyNumberFormat="1" applyFont="1" applyBorder="1" applyAlignment="1" applyProtection="1">
      <alignment horizontal="right"/>
    </xf>
    <xf numFmtId="37" fontId="55" fillId="0" borderId="31" xfId="0" applyFont="1" applyBorder="1"/>
    <xf numFmtId="37" fontId="56" fillId="0" borderId="0" xfId="0" applyFont="1" applyBorder="1"/>
    <xf numFmtId="37" fontId="57" fillId="0" borderId="0" xfId="0" applyFont="1" applyBorder="1"/>
    <xf numFmtId="182" fontId="57" fillId="0" borderId="0" xfId="66" applyFont="1"/>
    <xf numFmtId="186" fontId="57" fillId="0" borderId="0" xfId="35" applyNumberFormat="1" applyFont="1"/>
    <xf numFmtId="37" fontId="56" fillId="0" borderId="31" xfId="0" applyFont="1" applyBorder="1" applyAlignment="1">
      <alignment horizontal="right"/>
    </xf>
    <xf numFmtId="165" fontId="14" fillId="0" borderId="0" xfId="0" applyNumberFormat="1" applyFont="1" applyBorder="1"/>
    <xf numFmtId="37" fontId="12" fillId="0" borderId="0" xfId="0" applyFont="1" applyBorder="1"/>
    <xf numFmtId="9" fontId="57" fillId="0" borderId="0" xfId="76" applyFont="1" applyBorder="1"/>
    <xf numFmtId="165" fontId="9" fillId="0" borderId="0" xfId="0" applyNumberFormat="1" applyFont="1" applyFill="1" applyBorder="1"/>
    <xf numFmtId="37" fontId="9" fillId="0" borderId="0" xfId="0" applyFont="1" applyFill="1" applyBorder="1"/>
    <xf numFmtId="165" fontId="14" fillId="0" borderId="0" xfId="0" applyNumberFormat="1" applyFont="1" applyFill="1" applyBorder="1"/>
    <xf numFmtId="37" fontId="12" fillId="0" borderId="0" xfId="0" applyFont="1" applyFill="1" applyBorder="1"/>
    <xf numFmtId="37" fontId="11" fillId="0" borderId="0" xfId="0" applyFont="1" applyFill="1" applyBorder="1"/>
    <xf numFmtId="186" fontId="57" fillId="0" borderId="0" xfId="35" applyNumberFormat="1" applyFont="1" applyFill="1"/>
    <xf numFmtId="37" fontId="60" fillId="0" borderId="0" xfId="0" applyFont="1" applyFill="1"/>
    <xf numFmtId="40" fontId="60" fillId="0" borderId="0" xfId="35" applyFont="1" applyFill="1"/>
    <xf numFmtId="37" fontId="61" fillId="0" borderId="0" xfId="0" applyFont="1"/>
    <xf numFmtId="186" fontId="60" fillId="0" borderId="0" xfId="35" applyNumberFormat="1" applyFont="1" applyFill="1"/>
    <xf numFmtId="182" fontId="9" fillId="0" borderId="0" xfId="66" applyFont="1" applyFill="1"/>
    <xf numFmtId="182" fontId="9" fillId="0" borderId="2" xfId="66" applyFont="1" applyFill="1" applyBorder="1"/>
    <xf numFmtId="182" fontId="26" fillId="0" borderId="0" xfId="66" applyFont="1" applyFill="1" applyBorder="1"/>
    <xf numFmtId="182" fontId="14" fillId="0" borderId="2" xfId="66" applyFont="1" applyFill="1" applyBorder="1" applyAlignment="1">
      <alignment horizontal="centerContinuous"/>
    </xf>
    <xf numFmtId="182" fontId="25" fillId="0" borderId="2" xfId="66" applyFont="1" applyFill="1" applyBorder="1" applyAlignment="1">
      <alignment horizontal="center"/>
    </xf>
    <xf numFmtId="165" fontId="19" fillId="0" borderId="2" xfId="66" applyNumberFormat="1" applyFont="1" applyFill="1" applyBorder="1"/>
    <xf numFmtId="165" fontId="19" fillId="0" borderId="0" xfId="66" applyNumberFormat="1" applyFont="1" applyFill="1" applyBorder="1"/>
    <xf numFmtId="166" fontId="9" fillId="0" borderId="0" xfId="66" applyNumberFormat="1" applyFont="1" applyFill="1" applyProtection="1"/>
    <xf numFmtId="182" fontId="9" fillId="0" borderId="2" xfId="66" applyFont="1" applyFill="1" applyBorder="1" applyAlignment="1">
      <alignment horizontal="centerContinuous"/>
    </xf>
    <xf numFmtId="190" fontId="9" fillId="0" borderId="0" xfId="66" applyNumberFormat="1" applyFont="1" applyFill="1"/>
    <xf numFmtId="185" fontId="19" fillId="0" borderId="0" xfId="39" applyNumberFormat="1" applyFont="1" applyFill="1"/>
    <xf numFmtId="37" fontId="9" fillId="0" borderId="0" xfId="66" applyNumberFormat="1" applyFont="1" applyFill="1"/>
    <xf numFmtId="166" fontId="9" fillId="0" borderId="0" xfId="39" applyNumberFormat="1" applyFont="1" applyFill="1"/>
    <xf numFmtId="166" fontId="9" fillId="0" borderId="20" xfId="66" applyNumberFormat="1" applyFont="1" applyFill="1" applyBorder="1" applyProtection="1"/>
    <xf numFmtId="166" fontId="9" fillId="0" borderId="2" xfId="66" applyNumberFormat="1" applyFont="1" applyFill="1" applyBorder="1" applyProtection="1"/>
    <xf numFmtId="166" fontId="9" fillId="0" borderId="2" xfId="66" applyNumberFormat="1" applyFont="1" applyFill="1" applyBorder="1" applyAlignment="1" applyProtection="1">
      <alignment horizontal="centerContinuous"/>
    </xf>
    <xf numFmtId="166" fontId="9" fillId="0" borderId="0" xfId="66" quotePrefix="1" applyNumberFormat="1" applyFont="1" applyFill="1" applyAlignment="1" applyProtection="1">
      <alignment horizontal="right"/>
    </xf>
    <xf numFmtId="165" fontId="9" fillId="0" borderId="0" xfId="66" applyNumberFormat="1" applyFont="1" applyFill="1" applyBorder="1"/>
    <xf numFmtId="186" fontId="9" fillId="0" borderId="0" xfId="35" applyNumberFormat="1" applyFont="1" applyFill="1" applyProtection="1"/>
    <xf numFmtId="191" fontId="9" fillId="0" borderId="0" xfId="76" applyNumberFormat="1" applyFont="1" applyFill="1"/>
    <xf numFmtId="7" fontId="19" fillId="0" borderId="0" xfId="66" applyNumberFormat="1" applyFont="1" applyFill="1" applyProtection="1"/>
    <xf numFmtId="177" fontId="9" fillId="0" borderId="0" xfId="76" applyNumberFormat="1" applyFont="1" applyFill="1"/>
    <xf numFmtId="37" fontId="56" fillId="0" borderId="31" xfId="0" applyFont="1" applyFill="1" applyBorder="1" applyAlignment="1">
      <alignment horizontal="right"/>
    </xf>
    <xf numFmtId="9" fontId="57" fillId="0" borderId="0" xfId="76" applyFont="1" applyFill="1" applyBorder="1"/>
    <xf numFmtId="186" fontId="9" fillId="0" borderId="0" xfId="35" applyNumberFormat="1" applyFont="1" applyFill="1"/>
    <xf numFmtId="0" fontId="62" fillId="0" borderId="0" xfId="69" applyFont="1"/>
    <xf numFmtId="189" fontId="42" fillId="0" borderId="0" xfId="76" applyNumberFormat="1" applyFont="1" applyFill="1" applyBorder="1"/>
    <xf numFmtId="37" fontId="15" fillId="0" borderId="0" xfId="0" applyFont="1" applyFill="1" applyBorder="1"/>
    <xf numFmtId="7" fontId="42" fillId="0" borderId="0" xfId="53" applyNumberFormat="1" applyFont="1" applyFill="1" applyBorder="1"/>
    <xf numFmtId="165" fontId="43" fillId="0" borderId="0" xfId="0" applyNumberFormat="1" applyFont="1"/>
    <xf numFmtId="38" fontId="30" fillId="0" borderId="0" xfId="35" applyNumberFormat="1" applyFont="1" applyAlignment="1" applyProtection="1">
      <alignment horizontal="left"/>
    </xf>
    <xf numFmtId="38" fontId="30" fillId="0" borderId="0" xfId="35" applyNumberFormat="1" applyFont="1" applyProtection="1"/>
    <xf numFmtId="38" fontId="30" fillId="0" borderId="1" xfId="35" applyNumberFormat="1" applyFont="1" applyBorder="1"/>
    <xf numFmtId="38" fontId="30" fillId="0" borderId="0" xfId="35" applyNumberFormat="1" applyFont="1" applyBorder="1"/>
    <xf numFmtId="38" fontId="30" fillId="0" borderId="0" xfId="35" applyNumberFormat="1" applyFont="1" applyBorder="1" applyProtection="1"/>
    <xf numFmtId="38" fontId="30" fillId="0" borderId="27" xfId="35" applyNumberFormat="1" applyFont="1" applyBorder="1"/>
    <xf numFmtId="37" fontId="50" fillId="0" borderId="0" xfId="70" applyNumberFormat="1" applyFont="1" applyFill="1" applyProtection="1"/>
    <xf numFmtId="178" fontId="27" fillId="0" borderId="0" xfId="53" applyNumberFormat="1" applyFont="1" applyFill="1" applyBorder="1"/>
    <xf numFmtId="186" fontId="18" fillId="27" borderId="0" xfId="58" applyNumberFormat="1" applyFont="1" applyFill="1"/>
    <xf numFmtId="166" fontId="19" fillId="0" borderId="0" xfId="0" applyNumberFormat="1" applyFont="1" applyFill="1" applyProtection="1"/>
    <xf numFmtId="165" fontId="19" fillId="0" borderId="0" xfId="0" quotePrefix="1" applyNumberFormat="1" applyFont="1" applyFill="1" applyAlignment="1" applyProtection="1">
      <alignment horizontal="right"/>
    </xf>
    <xf numFmtId="166" fontId="9" fillId="0" borderId="7" xfId="0" applyNumberFormat="1" applyFont="1" applyFill="1" applyBorder="1" applyProtection="1"/>
    <xf numFmtId="166" fontId="9" fillId="0" borderId="0" xfId="0" applyNumberFormat="1" applyFont="1" applyFill="1" applyAlignment="1" applyProtection="1">
      <alignment horizontal="right"/>
    </xf>
    <xf numFmtId="37" fontId="11" fillId="0" borderId="0" xfId="0" applyFont="1" applyFill="1"/>
    <xf numFmtId="40" fontId="9" fillId="0" borderId="0" xfId="35" applyFont="1" applyFill="1"/>
    <xf numFmtId="186" fontId="19" fillId="0" borderId="0" xfId="35" applyNumberFormat="1" applyFont="1" applyFill="1"/>
    <xf numFmtId="39" fontId="9" fillId="0" borderId="0" xfId="0" applyNumberFormat="1" applyFont="1" applyFill="1"/>
    <xf numFmtId="166" fontId="9" fillId="0" borderId="7" xfId="0" applyNumberFormat="1" applyFont="1" applyFill="1" applyBorder="1" applyAlignment="1" applyProtection="1">
      <alignment horizontal="right"/>
    </xf>
    <xf numFmtId="37" fontId="32" fillId="0" borderId="0" xfId="0" applyFont="1" applyFill="1"/>
    <xf numFmtId="37" fontId="57" fillId="0" borderId="31" xfId="0" applyFont="1" applyFill="1" applyBorder="1"/>
    <xf numFmtId="165" fontId="19" fillId="0" borderId="0" xfId="0" applyNumberFormat="1" applyFont="1" applyFill="1" applyAlignment="1">
      <alignment horizontal="right"/>
    </xf>
    <xf numFmtId="5" fontId="9" fillId="0" borderId="0" xfId="0" applyNumberFormat="1" applyFont="1" applyFill="1" applyAlignment="1" applyProtection="1">
      <alignment horizontal="right"/>
    </xf>
    <xf numFmtId="37" fontId="19" fillId="0" borderId="0" xfId="0" applyFont="1" applyFill="1"/>
    <xf numFmtId="177" fontId="9" fillId="0" borderId="0" xfId="0" applyNumberFormat="1" applyFont="1" applyFill="1"/>
    <xf numFmtId="37" fontId="9" fillId="0" borderId="0" xfId="0" applyFont="1" applyFill="1" applyAlignment="1">
      <alignment horizontal="right"/>
    </xf>
    <xf numFmtId="37" fontId="15" fillId="0" borderId="7" xfId="0" applyFont="1" applyFill="1" applyBorder="1"/>
    <xf numFmtId="165" fontId="9" fillId="0" borderId="0" xfId="0" applyNumberFormat="1" applyFont="1" applyFill="1"/>
    <xf numFmtId="165" fontId="9" fillId="0" borderId="2" xfId="0" applyNumberFormat="1" applyFont="1" applyFill="1" applyBorder="1"/>
    <xf numFmtId="165" fontId="11" fillId="0" borderId="0" xfId="0" applyNumberFormat="1" applyFont="1" applyFill="1"/>
    <xf numFmtId="165" fontId="11" fillId="0" borderId="19" xfId="0" applyNumberFormat="1" applyFont="1" applyFill="1" applyBorder="1"/>
    <xf numFmtId="165" fontId="19" fillId="0" borderId="0" xfId="0" applyNumberFormat="1" applyFont="1" applyFill="1"/>
    <xf numFmtId="194" fontId="19" fillId="0" borderId="0" xfId="66" applyNumberFormat="1" applyFont="1"/>
    <xf numFmtId="194" fontId="9" fillId="0" borderId="0" xfId="66" applyNumberFormat="1" applyFont="1"/>
    <xf numFmtId="194" fontId="19" fillId="0" borderId="0" xfId="66" applyNumberFormat="1" applyFont="1" applyFill="1"/>
    <xf numFmtId="194" fontId="9" fillId="0" borderId="0" xfId="66" applyNumberFormat="1" applyFont="1" applyBorder="1"/>
    <xf numFmtId="194" fontId="9" fillId="0" borderId="0" xfId="66" applyNumberFormat="1" applyFont="1" applyFill="1"/>
    <xf numFmtId="194" fontId="19" fillId="0" borderId="0" xfId="66" applyNumberFormat="1" applyFont="1" applyFill="1" applyBorder="1"/>
    <xf numFmtId="194" fontId="19" fillId="0" borderId="0" xfId="66" applyNumberFormat="1" applyFont="1" applyBorder="1"/>
    <xf numFmtId="194" fontId="9" fillId="0" borderId="0" xfId="66" applyNumberFormat="1" applyFont="1" applyFill="1" applyBorder="1"/>
    <xf numFmtId="194" fontId="19" fillId="0" borderId="2" xfId="66" applyNumberFormat="1" applyFont="1" applyBorder="1"/>
    <xf numFmtId="194" fontId="19" fillId="0" borderId="2" xfId="66" applyNumberFormat="1" applyFont="1" applyFill="1" applyBorder="1"/>
    <xf numFmtId="194" fontId="9" fillId="0" borderId="2" xfId="66" applyNumberFormat="1" applyFont="1" applyBorder="1"/>
    <xf numFmtId="194" fontId="9" fillId="0" borderId="2" xfId="66" applyNumberFormat="1" applyFont="1" applyFill="1" applyBorder="1"/>
    <xf numFmtId="194" fontId="19" fillId="0" borderId="0" xfId="66" applyNumberFormat="1" applyFont="1" applyAlignment="1">
      <alignment horizontal="right"/>
    </xf>
    <xf numFmtId="184" fontId="9" fillId="0" borderId="0" xfId="66" quotePrefix="1" applyNumberFormat="1" applyFont="1" applyAlignment="1" applyProtection="1">
      <alignment horizontal="right"/>
    </xf>
    <xf numFmtId="185" fontId="9" fillId="0" borderId="0" xfId="0" applyNumberFormat="1" applyFont="1" applyProtection="1"/>
    <xf numFmtId="185" fontId="16" fillId="0" borderId="0" xfId="0" applyNumberFormat="1" applyFont="1"/>
    <xf numFmtId="194" fontId="19" fillId="0" borderId="0" xfId="0" applyNumberFormat="1" applyFont="1" applyFill="1" applyBorder="1" applyAlignment="1" applyProtection="1">
      <alignment horizontal="right"/>
    </xf>
    <xf numFmtId="194" fontId="9" fillId="0" borderId="0" xfId="0" applyNumberFormat="1" applyFont="1"/>
    <xf numFmtId="194" fontId="9" fillId="0" borderId="0" xfId="0" applyNumberFormat="1" applyFont="1" applyFill="1" applyBorder="1" applyAlignment="1" applyProtection="1">
      <alignment horizontal="right"/>
    </xf>
    <xf numFmtId="194" fontId="15" fillId="0" borderId="0" xfId="0" applyNumberFormat="1" applyFont="1"/>
    <xf numFmtId="194" fontId="19" fillId="0" borderId="2" xfId="0" applyNumberFormat="1" applyFont="1" applyFill="1" applyBorder="1" applyAlignment="1" applyProtection="1">
      <alignment horizontal="right"/>
    </xf>
    <xf numFmtId="194" fontId="32" fillId="0" borderId="0" xfId="0" applyNumberFormat="1" applyFont="1" applyFill="1" applyBorder="1" applyAlignment="1" applyProtection="1">
      <alignment horizontal="right"/>
    </xf>
    <xf numFmtId="194" fontId="32" fillId="0" borderId="2" xfId="0" applyNumberFormat="1" applyFont="1" applyFill="1" applyBorder="1" applyAlignment="1" applyProtection="1">
      <alignment horizontal="right"/>
    </xf>
    <xf numFmtId="165" fontId="9" fillId="0" borderId="0" xfId="0" quotePrefix="1" applyNumberFormat="1" applyFont="1" applyAlignment="1" applyProtection="1">
      <alignment horizontal="right"/>
    </xf>
    <xf numFmtId="165" fontId="68" fillId="0" borderId="0" xfId="0" applyNumberFormat="1" applyFont="1" applyFill="1" applyBorder="1" applyAlignment="1" applyProtection="1">
      <alignment horizontal="right"/>
    </xf>
    <xf numFmtId="165" fontId="68" fillId="0" borderId="0" xfId="0" applyNumberFormat="1" applyFont="1" applyBorder="1" applyAlignment="1" applyProtection="1">
      <alignment horizontal="right"/>
    </xf>
    <xf numFmtId="203" fontId="47" fillId="0" borderId="2" xfId="70" applyNumberFormat="1" applyFont="1" applyBorder="1" applyAlignment="1" applyProtection="1">
      <alignment horizontal="center"/>
    </xf>
    <xf numFmtId="203" fontId="11" fillId="0" borderId="2" xfId="53" applyNumberFormat="1" applyFont="1" applyFill="1" applyBorder="1" applyAlignment="1">
      <alignment horizontal="center"/>
    </xf>
    <xf numFmtId="208" fontId="11" fillId="0" borderId="2" xfId="66" applyNumberFormat="1" applyFont="1" applyBorder="1" applyAlignment="1">
      <alignment horizontal="center"/>
    </xf>
    <xf numFmtId="10" fontId="30" fillId="0" borderId="0" xfId="76" applyNumberFormat="1" applyFont="1"/>
    <xf numFmtId="39" fontId="30" fillId="0" borderId="0" xfId="0" applyNumberFormat="1" applyFont="1"/>
    <xf numFmtId="176" fontId="15" fillId="0" borderId="0" xfId="76" applyNumberFormat="1" applyFont="1" applyAlignment="1">
      <alignment horizontal="right"/>
    </xf>
    <xf numFmtId="37" fontId="70" fillId="0" borderId="0" xfId="0" applyFont="1"/>
    <xf numFmtId="3" fontId="71" fillId="0" borderId="0" xfId="66" applyNumberFormat="1" applyFont="1"/>
    <xf numFmtId="182" fontId="71" fillId="0" borderId="0" xfId="66" applyFont="1"/>
    <xf numFmtId="182" fontId="71" fillId="0" borderId="0" xfId="66" applyFont="1" applyBorder="1"/>
    <xf numFmtId="4" fontId="71" fillId="0" borderId="0" xfId="66" applyNumberFormat="1" applyFont="1"/>
    <xf numFmtId="39" fontId="71" fillId="0" borderId="0" xfId="66" applyNumberFormat="1" applyFont="1"/>
    <xf numFmtId="37" fontId="71" fillId="0" borderId="0" xfId="66" applyNumberFormat="1" applyFont="1"/>
    <xf numFmtId="37" fontId="71" fillId="0" borderId="0" xfId="66" applyNumberFormat="1" applyFont="1" applyBorder="1"/>
    <xf numFmtId="182" fontId="72" fillId="0" borderId="0" xfId="70" applyFont="1"/>
    <xf numFmtId="182" fontId="72" fillId="0" borderId="0" xfId="70" applyNumberFormat="1" applyFont="1" applyAlignment="1" applyProtection="1">
      <alignment horizontal="left"/>
    </xf>
    <xf numFmtId="37" fontId="72" fillId="0" borderId="0" xfId="70" applyNumberFormat="1" applyFont="1" applyProtection="1"/>
    <xf numFmtId="177" fontId="15" fillId="0" borderId="0" xfId="0" applyNumberFormat="1" applyFont="1"/>
    <xf numFmtId="9" fontId="19" fillId="0" borderId="0" xfId="76" applyFont="1" applyProtection="1"/>
    <xf numFmtId="8" fontId="15" fillId="0" borderId="0" xfId="0" applyNumberFormat="1" applyFont="1"/>
    <xf numFmtId="182" fontId="73" fillId="0" borderId="0" xfId="70" applyFont="1"/>
    <xf numFmtId="177" fontId="73" fillId="0" borderId="0" xfId="70" applyNumberFormat="1" applyFont="1" applyProtection="1"/>
    <xf numFmtId="186" fontId="19" fillId="0" borderId="0" xfId="66" applyNumberFormat="1" applyFont="1" applyBorder="1"/>
    <xf numFmtId="182" fontId="9" fillId="0" borderId="0" xfId="70" applyNumberFormat="1" applyFont="1" applyAlignment="1" applyProtection="1">
      <alignment horizontal="left"/>
    </xf>
    <xf numFmtId="37" fontId="34" fillId="0" borderId="0" xfId="0" applyFont="1" applyFill="1"/>
    <xf numFmtId="177" fontId="18" fillId="0" borderId="0" xfId="0" applyNumberFormat="1" applyFont="1"/>
    <xf numFmtId="186" fontId="19" fillId="0" borderId="0" xfId="66" applyNumberFormat="1" applyFont="1" applyFill="1" applyBorder="1"/>
    <xf numFmtId="194" fontId="32" fillId="0" borderId="0" xfId="66" applyNumberFormat="1" applyFont="1" applyFill="1"/>
    <xf numFmtId="8" fontId="17" fillId="0" borderId="0" xfId="0" applyNumberFormat="1" applyFont="1" applyAlignment="1">
      <alignment horizontal="center"/>
    </xf>
    <xf numFmtId="7" fontId="11" fillId="0" borderId="0" xfId="53" applyNumberFormat="1" applyFont="1" applyFill="1" applyBorder="1"/>
    <xf numFmtId="182" fontId="25" fillId="0" borderId="7" xfId="70" applyFont="1" applyBorder="1" applyAlignment="1" applyProtection="1">
      <alignment horizontal="center"/>
    </xf>
    <xf numFmtId="177" fontId="30" fillId="0" borderId="0" xfId="0" applyNumberFormat="1" applyFont="1"/>
    <xf numFmtId="37" fontId="15" fillId="0" borderId="20" xfId="0" applyFont="1" applyBorder="1"/>
    <xf numFmtId="37" fontId="16" fillId="0" borderId="0" xfId="0" applyFont="1" applyFill="1" applyAlignment="1">
      <alignment horizontal="center"/>
    </xf>
    <xf numFmtId="185" fontId="18" fillId="0" borderId="0" xfId="58" applyNumberFormat="1" applyFont="1" applyFill="1"/>
    <xf numFmtId="166" fontId="18" fillId="0" borderId="0" xfId="0" applyNumberFormat="1" applyFont="1" applyFill="1"/>
    <xf numFmtId="177" fontId="9" fillId="0" borderId="0" xfId="76" applyNumberFormat="1" applyFont="1" applyFill="1" applyProtection="1"/>
    <xf numFmtId="201" fontId="15" fillId="0" borderId="0" xfId="0" applyNumberFormat="1" applyFont="1" applyFill="1"/>
    <xf numFmtId="8" fontId="31" fillId="0" borderId="0" xfId="39" applyFont="1" applyAlignment="1">
      <alignment horizontal="center"/>
    </xf>
    <xf numFmtId="37" fontId="11" fillId="0" borderId="0" xfId="58" applyNumberFormat="1" applyFont="1"/>
    <xf numFmtId="9" fontId="9" fillId="0" borderId="0" xfId="76" applyFont="1" applyFill="1"/>
    <xf numFmtId="49" fontId="0" fillId="0" borderId="0" xfId="0" applyNumberFormat="1"/>
    <xf numFmtId="165" fontId="30" fillId="0" borderId="0" xfId="0" applyNumberFormat="1" applyFont="1"/>
    <xf numFmtId="177" fontId="30" fillId="0" borderId="2" xfId="76" applyNumberFormat="1" applyFont="1" applyBorder="1"/>
    <xf numFmtId="182" fontId="72" fillId="0" borderId="0" xfId="70" applyFont="1" applyAlignment="1">
      <alignment horizontal="right"/>
    </xf>
    <xf numFmtId="9" fontId="30" fillId="0" borderId="0" xfId="76" applyFont="1"/>
    <xf numFmtId="166" fontId="9" fillId="0" borderId="26" xfId="66" applyNumberFormat="1" applyFont="1" applyFill="1" applyBorder="1" applyProtection="1"/>
    <xf numFmtId="166" fontId="9" fillId="0" borderId="30" xfId="66" applyNumberFormat="1" applyFont="1" applyFill="1" applyBorder="1" applyProtection="1"/>
    <xf numFmtId="182" fontId="25" fillId="0" borderId="2" xfId="66" applyFont="1" applyBorder="1"/>
    <xf numFmtId="177" fontId="15" fillId="0" borderId="0" xfId="76" applyNumberFormat="1" applyFont="1" applyFill="1" applyBorder="1"/>
    <xf numFmtId="0" fontId="31" fillId="0" borderId="0" xfId="58" applyFont="1" applyAlignment="1">
      <alignment horizontal="centerContinuous"/>
    </xf>
    <xf numFmtId="0" fontId="17" fillId="0" borderId="0" xfId="58" applyFont="1" applyAlignment="1">
      <alignment horizontal="centerContinuous"/>
    </xf>
    <xf numFmtId="0" fontId="15" fillId="0" borderId="0" xfId="58" applyFont="1" applyAlignment="1">
      <alignment horizontal="centerContinuous"/>
    </xf>
    <xf numFmtId="0" fontId="17" fillId="0" borderId="0" xfId="58" applyFont="1" applyBorder="1" applyAlignment="1">
      <alignment horizontal="centerContinuous"/>
    </xf>
    <xf numFmtId="0" fontId="15" fillId="0" borderId="0" xfId="58" applyFont="1" applyBorder="1" applyAlignment="1">
      <alignment horizontal="centerContinuous"/>
    </xf>
    <xf numFmtId="37" fontId="16" fillId="0" borderId="0" xfId="0" applyFont="1" applyFill="1" applyAlignment="1">
      <alignment horizontal="left"/>
    </xf>
    <xf numFmtId="37" fontId="15" fillId="0" borderId="0" xfId="0" applyFont="1" applyFill="1" applyAlignment="1">
      <alignment horizontal="center"/>
    </xf>
    <xf numFmtId="37" fontId="16" fillId="29" borderId="35" xfId="0" applyFont="1" applyFill="1" applyBorder="1"/>
    <xf numFmtId="37" fontId="76" fillId="29" borderId="14" xfId="0" applyFont="1" applyFill="1" applyBorder="1" applyAlignment="1">
      <alignment horizontal="center"/>
    </xf>
    <xf numFmtId="37" fontId="76" fillId="29" borderId="24" xfId="0" applyFont="1" applyFill="1" applyBorder="1" applyAlignment="1">
      <alignment horizontal="center"/>
    </xf>
    <xf numFmtId="37" fontId="76" fillId="29" borderId="42" xfId="0" applyFont="1" applyFill="1" applyBorder="1" applyAlignment="1">
      <alignment horizontal="centerContinuous"/>
    </xf>
    <xf numFmtId="37" fontId="28" fillId="29" borderId="43" xfId="0" applyFont="1" applyFill="1" applyBorder="1" applyAlignment="1">
      <alignment horizontal="centerContinuous"/>
    </xf>
    <xf numFmtId="37" fontId="76" fillId="29" borderId="41" xfId="0" applyFont="1" applyFill="1" applyBorder="1" applyAlignment="1">
      <alignment horizontal="centerContinuous"/>
    </xf>
    <xf numFmtId="37" fontId="76" fillId="29" borderId="41" xfId="0" applyFont="1" applyFill="1" applyBorder="1" applyAlignment="1">
      <alignment horizontal="center"/>
    </xf>
    <xf numFmtId="37" fontId="16" fillId="29" borderId="0" xfId="0" applyFont="1" applyFill="1"/>
    <xf numFmtId="37" fontId="76" fillId="29" borderId="0" xfId="0" applyFont="1" applyFill="1" applyAlignment="1">
      <alignment horizontal="center"/>
    </xf>
    <xf numFmtId="37" fontId="76" fillId="29" borderId="36" xfId="0" applyFont="1" applyFill="1" applyBorder="1" applyAlignment="1">
      <alignment horizontal="center"/>
    </xf>
    <xf numFmtId="37" fontId="76" fillId="29" borderId="0" xfId="0" applyFont="1" applyFill="1" applyBorder="1" applyAlignment="1">
      <alignment horizontal="center"/>
    </xf>
    <xf numFmtId="37" fontId="76" fillId="29" borderId="37" xfId="0" applyFont="1" applyFill="1" applyBorder="1" applyAlignment="1">
      <alignment horizontal="center"/>
    </xf>
    <xf numFmtId="37" fontId="76" fillId="29" borderId="39" xfId="0" applyFont="1" applyFill="1" applyBorder="1" applyAlignment="1">
      <alignment horizontal="center"/>
    </xf>
    <xf numFmtId="5" fontId="15" fillId="0" borderId="36" xfId="0" applyNumberFormat="1" applyFont="1" applyFill="1" applyBorder="1" applyAlignment="1">
      <alignment horizontal="left"/>
    </xf>
    <xf numFmtId="6" fontId="16" fillId="0" borderId="36" xfId="0" applyNumberFormat="1" applyFont="1" applyFill="1" applyBorder="1" applyAlignment="1">
      <alignment horizontal="center"/>
    </xf>
    <xf numFmtId="6" fontId="16" fillId="0" borderId="37" xfId="0" applyNumberFormat="1" applyFont="1" applyFill="1" applyBorder="1" applyAlignment="1">
      <alignment horizontal="center"/>
    </xf>
    <xf numFmtId="37" fontId="15" fillId="0" borderId="39" xfId="0" applyFont="1" applyFill="1" applyBorder="1" applyAlignment="1">
      <alignment horizontal="center"/>
    </xf>
    <xf numFmtId="5" fontId="15" fillId="0" borderId="0" xfId="0" applyNumberFormat="1" applyFont="1" applyFill="1" applyAlignment="1">
      <alignment horizontal="left"/>
    </xf>
    <xf numFmtId="5" fontId="16" fillId="0" borderId="0" xfId="0" applyNumberFormat="1" applyFont="1" applyFill="1" applyAlignment="1" applyProtection="1">
      <alignment horizontal="center"/>
    </xf>
    <xf numFmtId="5" fontId="21" fillId="0" borderId="0" xfId="0" applyNumberFormat="1" applyFont="1" applyFill="1" applyAlignment="1" applyProtection="1">
      <alignment horizontal="center"/>
    </xf>
    <xf numFmtId="6" fontId="16" fillId="0" borderId="0" xfId="0" applyNumberFormat="1" applyFont="1" applyFill="1" applyAlignment="1">
      <alignment horizontal="center"/>
    </xf>
    <xf numFmtId="191" fontId="15" fillId="0" borderId="0" xfId="0" applyNumberFormat="1" applyFont="1" applyFill="1" applyBorder="1" applyAlignment="1" applyProtection="1">
      <alignment horizontal="center"/>
    </xf>
    <xf numFmtId="225" fontId="15" fillId="0" borderId="36" xfId="0" applyNumberFormat="1" applyFont="1" applyFill="1" applyBorder="1" applyAlignment="1">
      <alignment horizontal="center"/>
    </xf>
    <xf numFmtId="225" fontId="15" fillId="0" borderId="37" xfId="0" applyNumberFormat="1" applyFont="1" applyFill="1" applyBorder="1" applyAlignment="1">
      <alignment horizontal="center"/>
    </xf>
    <xf numFmtId="37" fontId="15" fillId="0" borderId="39" xfId="0" applyFont="1" applyFill="1" applyBorder="1"/>
    <xf numFmtId="191" fontId="15" fillId="0" borderId="0" xfId="0" applyNumberFormat="1" applyFont="1" applyFill="1" applyAlignment="1" applyProtection="1">
      <alignment horizontal="center"/>
    </xf>
    <xf numFmtId="191" fontId="18" fillId="0" borderId="0" xfId="0" applyNumberFormat="1" applyFont="1" applyFill="1" applyAlignment="1" applyProtection="1">
      <alignment horizontal="center"/>
    </xf>
    <xf numFmtId="37" fontId="15" fillId="0" borderId="0" xfId="0" applyNumberFormat="1" applyFont="1" applyFill="1" applyBorder="1" applyAlignment="1" applyProtection="1">
      <alignment horizontal="center"/>
    </xf>
    <xf numFmtId="6" fontId="15" fillId="0" borderId="36" xfId="0" applyNumberFormat="1" applyFont="1" applyFill="1" applyBorder="1" applyAlignment="1">
      <alignment horizontal="center"/>
    </xf>
    <xf numFmtId="6" fontId="15" fillId="0" borderId="37" xfId="0" applyNumberFormat="1" applyFont="1" applyFill="1" applyBorder="1" applyAlignment="1">
      <alignment horizontal="center"/>
    </xf>
    <xf numFmtId="37" fontId="21" fillId="0" borderId="39" xfId="0" applyFont="1" applyFill="1" applyBorder="1" applyAlignment="1">
      <alignment horizontal="center"/>
    </xf>
    <xf numFmtId="37" fontId="15" fillId="0" borderId="0" xfId="0" applyNumberFormat="1" applyFont="1" applyFill="1" applyAlignment="1" applyProtection="1">
      <alignment horizontal="center"/>
    </xf>
    <xf numFmtId="14" fontId="15" fillId="0" borderId="39" xfId="0" applyNumberFormat="1" applyFont="1" applyFill="1" applyBorder="1" applyAlignment="1">
      <alignment horizontal="center"/>
    </xf>
    <xf numFmtId="37" fontId="18" fillId="0" borderId="0" xfId="0" applyFont="1" applyFill="1" applyAlignment="1">
      <alignment horizontal="center"/>
    </xf>
    <xf numFmtId="2" fontId="21" fillId="0" borderId="39" xfId="0" applyNumberFormat="1" applyFont="1" applyFill="1" applyBorder="1" applyAlignment="1">
      <alignment horizontal="center"/>
    </xf>
    <xf numFmtId="39" fontId="15" fillId="0" borderId="0" xfId="0" applyNumberFormat="1" applyFont="1" applyFill="1" applyAlignment="1" applyProtection="1">
      <alignment horizontal="center"/>
    </xf>
    <xf numFmtId="39" fontId="18" fillId="0" borderId="0" xfId="0" applyNumberFormat="1" applyFont="1" applyFill="1" applyAlignment="1" applyProtection="1">
      <alignment horizontal="center"/>
    </xf>
    <xf numFmtId="8" fontId="21" fillId="0" borderId="39" xfId="0" applyNumberFormat="1" applyFont="1" applyFill="1" applyBorder="1" applyAlignment="1">
      <alignment horizontal="center"/>
    </xf>
    <xf numFmtId="7" fontId="16" fillId="0" borderId="0" xfId="0" applyNumberFormat="1" applyFont="1" applyFill="1" applyBorder="1" applyAlignment="1" applyProtection="1">
      <alignment horizontal="center"/>
    </xf>
    <xf numFmtId="8" fontId="16" fillId="0" borderId="36" xfId="0" applyNumberFormat="1" applyFont="1" applyFill="1" applyBorder="1" applyAlignment="1">
      <alignment horizontal="center"/>
    </xf>
    <xf numFmtId="8" fontId="16" fillId="0" borderId="37" xfId="0" applyNumberFormat="1" applyFont="1" applyFill="1" applyBorder="1" applyAlignment="1">
      <alignment horizontal="center"/>
    </xf>
    <xf numFmtId="7" fontId="16" fillId="0" borderId="0" xfId="0" applyNumberFormat="1" applyFont="1" applyFill="1" applyAlignment="1" applyProtection="1">
      <alignment horizontal="center"/>
    </xf>
    <xf numFmtId="7" fontId="21" fillId="0" borderId="0" xfId="0" applyNumberFormat="1" applyFont="1" applyFill="1" applyAlignment="1" applyProtection="1">
      <alignment horizontal="center"/>
    </xf>
    <xf numFmtId="37" fontId="15" fillId="0" borderId="37" xfId="0" applyNumberFormat="1" applyFont="1" applyFill="1" applyBorder="1" applyAlignment="1">
      <alignment horizontal="center"/>
    </xf>
    <xf numFmtId="5" fontId="16" fillId="0" borderId="36" xfId="0" applyNumberFormat="1" applyFont="1" applyFill="1" applyBorder="1" applyAlignment="1">
      <alignment horizontal="left"/>
    </xf>
    <xf numFmtId="165" fontId="15" fillId="0" borderId="0" xfId="0" applyNumberFormat="1" applyFont="1" applyFill="1" applyBorder="1" applyAlignment="1" applyProtection="1">
      <alignment horizontal="center"/>
    </xf>
    <xf numFmtId="165" fontId="15" fillId="0" borderId="37" xfId="0" applyNumberFormat="1" applyFont="1" applyFill="1" applyBorder="1" applyAlignment="1" applyProtection="1">
      <alignment horizontal="center"/>
    </xf>
    <xf numFmtId="165" fontId="15" fillId="0" borderId="36" xfId="0" applyNumberFormat="1" applyFont="1" applyFill="1" applyBorder="1" applyAlignment="1" applyProtection="1">
      <alignment horizontal="center"/>
    </xf>
    <xf numFmtId="5" fontId="16" fillId="0" borderId="0" xfId="0" applyNumberFormat="1" applyFont="1" applyFill="1" applyAlignment="1">
      <alignment horizontal="left"/>
    </xf>
    <xf numFmtId="165" fontId="15" fillId="0" borderId="0" xfId="0" applyNumberFormat="1" applyFont="1" applyFill="1" applyAlignment="1" applyProtection="1">
      <alignment horizontal="center"/>
    </xf>
    <xf numFmtId="165" fontId="18" fillId="0" borderId="0" xfId="0" applyNumberFormat="1" applyFont="1" applyFill="1" applyAlignment="1" applyProtection="1">
      <alignment horizontal="center"/>
    </xf>
    <xf numFmtId="225" fontId="15" fillId="0" borderId="0" xfId="0" applyNumberFormat="1" applyFont="1" applyFill="1" applyAlignment="1">
      <alignment horizontal="center"/>
    </xf>
    <xf numFmtId="191" fontId="15" fillId="0" borderId="39" xfId="0" applyNumberFormat="1" applyFont="1" applyFill="1" applyBorder="1" applyAlignment="1" applyProtection="1">
      <alignment horizontal="center"/>
    </xf>
    <xf numFmtId="37" fontId="15" fillId="0" borderId="38" xfId="0" applyFont="1" applyFill="1" applyBorder="1"/>
    <xf numFmtId="37" fontId="15" fillId="0" borderId="5" xfId="0" applyFont="1" applyFill="1" applyBorder="1" applyAlignment="1">
      <alignment horizontal="center"/>
    </xf>
    <xf numFmtId="37" fontId="15" fillId="0" borderId="23" xfId="0" applyFont="1" applyFill="1" applyBorder="1" applyAlignment="1">
      <alignment horizontal="center"/>
    </xf>
    <xf numFmtId="37" fontId="15" fillId="0" borderId="23" xfId="0" applyFont="1" applyFill="1" applyBorder="1"/>
    <xf numFmtId="37" fontId="15" fillId="0" borderId="40" xfId="0" applyFont="1" applyFill="1" applyBorder="1"/>
    <xf numFmtId="37" fontId="17" fillId="0" borderId="0" xfId="0" applyFont="1" applyFill="1"/>
    <xf numFmtId="184" fontId="9" fillId="0" borderId="0" xfId="66" applyNumberFormat="1" applyFont="1" applyFill="1" applyProtection="1"/>
    <xf numFmtId="37" fontId="32" fillId="0" borderId="0" xfId="0" applyNumberFormat="1" applyFont="1" applyBorder="1" applyProtection="1"/>
    <xf numFmtId="37" fontId="32" fillId="0" borderId="0" xfId="0" applyNumberFormat="1" applyFont="1" applyAlignment="1" applyProtection="1">
      <alignment horizontal="right"/>
    </xf>
    <xf numFmtId="37" fontId="32" fillId="0" borderId="0" xfId="0" applyNumberFormat="1" applyFont="1" applyBorder="1" applyAlignment="1" applyProtection="1">
      <alignment horizontal="right"/>
    </xf>
    <xf numFmtId="37" fontId="37" fillId="0" borderId="0" xfId="0" applyFont="1"/>
    <xf numFmtId="165" fontId="9" fillId="0" borderId="0" xfId="0" quotePrefix="1" applyNumberFormat="1" applyFont="1" applyBorder="1" applyAlignment="1" applyProtection="1">
      <alignment horizontal="right"/>
    </xf>
    <xf numFmtId="186" fontId="9" fillId="0" borderId="0" xfId="35" applyNumberFormat="1" applyFont="1" applyBorder="1"/>
    <xf numFmtId="185" fontId="9" fillId="0" borderId="0" xfId="0" applyNumberFormat="1" applyFont="1" applyBorder="1" applyProtection="1"/>
    <xf numFmtId="0" fontId="6" fillId="26" borderId="0" xfId="68" applyFont="1" applyFill="1" applyAlignment="1">
      <alignment wrapText="1"/>
    </xf>
    <xf numFmtId="0" fontId="6" fillId="26" borderId="0" xfId="68" applyFont="1" applyFill="1" applyBorder="1"/>
    <xf numFmtId="0" fontId="6" fillId="26" borderId="0" xfId="68" applyFont="1" applyFill="1" applyAlignment="1">
      <alignment horizontal="right"/>
    </xf>
    <xf numFmtId="0" fontId="87" fillId="26" borderId="0" xfId="68" applyFont="1" applyFill="1" applyAlignment="1">
      <alignment horizontal="right"/>
    </xf>
    <xf numFmtId="0" fontId="6" fillId="26" borderId="0" xfId="68" applyFont="1" applyFill="1"/>
    <xf numFmtId="0" fontId="6" fillId="0" borderId="0" xfId="68" applyFont="1"/>
    <xf numFmtId="0" fontId="6" fillId="0" borderId="0" xfId="68" applyFont="1" applyFill="1" applyAlignment="1">
      <alignment wrapText="1"/>
    </xf>
    <xf numFmtId="0" fontId="6" fillId="0" borderId="0" xfId="68" applyFont="1" applyFill="1" applyBorder="1"/>
    <xf numFmtId="0" fontId="6" fillId="0" borderId="0" xfId="68" applyFont="1" applyFill="1" applyAlignment="1">
      <alignment horizontal="right"/>
    </xf>
    <xf numFmtId="0" fontId="6" fillId="0" borderId="0" xfId="68" applyFont="1" applyFill="1"/>
    <xf numFmtId="0" fontId="6" fillId="23" borderId="0" xfId="68" applyFont="1" applyFill="1" applyBorder="1" applyAlignment="1">
      <alignment horizontal="left"/>
    </xf>
    <xf numFmtId="0" fontId="6" fillId="23" borderId="0" xfId="68" applyFont="1" applyFill="1" applyBorder="1" applyAlignment="1">
      <alignment horizontal="right"/>
    </xf>
    <xf numFmtId="0" fontId="6" fillId="0" borderId="0" xfId="68" applyFont="1" applyAlignment="1">
      <alignment wrapText="1"/>
    </xf>
    <xf numFmtId="0" fontId="6" fillId="0" borderId="0" xfId="68" applyFont="1" applyAlignment="1">
      <alignment horizontal="right"/>
    </xf>
    <xf numFmtId="0" fontId="6" fillId="0" borderId="0" xfId="68" applyFont="1" applyBorder="1"/>
    <xf numFmtId="0" fontId="6" fillId="0" borderId="0" xfId="68" applyNumberFormat="1" applyFont="1" applyBorder="1"/>
    <xf numFmtId="166" fontId="19" fillId="0" borderId="0" xfId="0" applyNumberFormat="1" applyFont="1" applyBorder="1" applyProtection="1"/>
    <xf numFmtId="37" fontId="21" fillId="0" borderId="0" xfId="0" applyFont="1" applyFill="1" applyBorder="1" applyAlignment="1">
      <alignment horizontal="left" indent="1"/>
    </xf>
    <xf numFmtId="0" fontId="11" fillId="0" borderId="0" xfId="0" applyNumberFormat="1" applyFont="1" applyAlignment="1" applyProtection="1">
      <alignment horizontal="left"/>
    </xf>
    <xf numFmtId="195" fontId="6" fillId="0" borderId="0" xfId="68" applyNumberFormat="1" applyFont="1" applyAlignment="1">
      <alignment horizontal="right"/>
    </xf>
    <xf numFmtId="238" fontId="6" fillId="0" borderId="0" xfId="38" applyNumberFormat="1" applyFont="1" applyFill="1" applyBorder="1" applyAlignment="1">
      <alignment horizontal="right"/>
    </xf>
    <xf numFmtId="238" fontId="6" fillId="0" borderId="0" xfId="38" applyNumberFormat="1" applyFont="1" applyFill="1" applyAlignment="1">
      <alignment horizontal="right"/>
    </xf>
    <xf numFmtId="238" fontId="6" fillId="0" borderId="2" xfId="38" applyNumberFormat="1" applyFont="1" applyFill="1" applyBorder="1" applyAlignment="1">
      <alignment horizontal="right"/>
    </xf>
    <xf numFmtId="238" fontId="11" fillId="0" borderId="0" xfId="38" applyNumberFormat="1" applyFont="1" applyFill="1" applyAlignment="1">
      <alignment horizontal="right"/>
    </xf>
    <xf numFmtId="195" fontId="6" fillId="0" borderId="0" xfId="68" applyNumberFormat="1" applyFont="1" applyFill="1" applyBorder="1" applyAlignment="1">
      <alignment horizontal="right"/>
    </xf>
    <xf numFmtId="195" fontId="6" fillId="0" borderId="0" xfId="68" applyNumberFormat="1" applyFont="1" applyFill="1" applyAlignment="1">
      <alignment horizontal="right"/>
    </xf>
    <xf numFmtId="0" fontId="6" fillId="0" borderId="0" xfId="68" applyFont="1" applyBorder="1" applyAlignment="1">
      <alignment wrapText="1"/>
    </xf>
    <xf numFmtId="238" fontId="6" fillId="0" borderId="0" xfId="68" applyNumberFormat="1" applyFont="1" applyFill="1" applyAlignment="1">
      <alignment horizontal="right"/>
    </xf>
    <xf numFmtId="0" fontId="6" fillId="0" borderId="0" xfId="68" applyFont="1" applyFill="1" applyBorder="1" applyAlignment="1">
      <alignment horizontal="left" indent="1"/>
    </xf>
    <xf numFmtId="238" fontId="6" fillId="0" borderId="2" xfId="68" applyNumberFormat="1" applyFont="1" applyFill="1" applyBorder="1" applyAlignment="1">
      <alignment horizontal="right"/>
    </xf>
    <xf numFmtId="0" fontId="11" fillId="0" borderId="0" xfId="68" applyFont="1" applyFill="1" applyBorder="1"/>
    <xf numFmtId="238" fontId="11" fillId="0" borderId="0" xfId="68" applyNumberFormat="1" applyFont="1" applyFill="1" applyAlignment="1">
      <alignment horizontal="right"/>
    </xf>
    <xf numFmtId="0" fontId="11" fillId="0" borderId="0" xfId="68" applyFont="1" applyAlignment="1">
      <alignment wrapText="1"/>
    </xf>
    <xf numFmtId="0" fontId="65" fillId="0" borderId="0" xfId="68" applyFont="1"/>
    <xf numFmtId="0" fontId="11" fillId="0" borderId="0" xfId="68" applyFont="1"/>
    <xf numFmtId="0" fontId="90" fillId="0" borderId="6" xfId="68" applyFont="1" applyBorder="1"/>
    <xf numFmtId="238" fontId="91" fillId="0" borderId="0" xfId="68" applyNumberFormat="1" applyFont="1" applyAlignment="1">
      <alignment horizontal="right"/>
    </xf>
    <xf numFmtId="0" fontId="6" fillId="23" borderId="0" xfId="68" applyFont="1" applyFill="1" applyAlignment="1">
      <alignment wrapText="1"/>
    </xf>
    <xf numFmtId="0" fontId="6" fillId="23" borderId="0" xfId="68" applyFont="1" applyFill="1" applyBorder="1"/>
    <xf numFmtId="0" fontId="6" fillId="23" borderId="0" xfId="68" applyFont="1" applyFill="1"/>
    <xf numFmtId="0" fontId="11" fillId="0" borderId="0" xfId="68" applyFont="1" applyBorder="1" applyAlignment="1">
      <alignment horizontal="left" indent="1"/>
    </xf>
    <xf numFmtId="238" fontId="6" fillId="0" borderId="0" xfId="68" applyNumberFormat="1" applyFont="1" applyAlignment="1">
      <alignment horizontal="right"/>
    </xf>
    <xf numFmtId="177" fontId="6" fillId="0" borderId="0" xfId="68" applyNumberFormat="1" applyFont="1" applyAlignment="1">
      <alignment horizontal="right"/>
    </xf>
    <xf numFmtId="0" fontId="27" fillId="0" borderId="0" xfId="68" applyFont="1" applyBorder="1"/>
    <xf numFmtId="0" fontId="92" fillId="0" borderId="6" xfId="68" applyFont="1" applyBorder="1"/>
    <xf numFmtId="177" fontId="6" fillId="23" borderId="0" xfId="68" applyNumberFormat="1" applyFont="1" applyFill="1" applyAlignment="1">
      <alignment wrapText="1"/>
    </xf>
    <xf numFmtId="177" fontId="6" fillId="22" borderId="0" xfId="68" applyNumberFormat="1" applyFont="1" applyFill="1" applyAlignment="1"/>
    <xf numFmtId="177" fontId="6" fillId="22" borderId="0" xfId="68" applyNumberFormat="1" applyFont="1" applyFill="1" applyAlignment="1">
      <alignment wrapText="1"/>
    </xf>
    <xf numFmtId="177" fontId="69" fillId="23" borderId="0" xfId="68" applyNumberFormat="1" applyFont="1" applyFill="1" applyBorder="1" applyAlignment="1">
      <alignment horizontal="right"/>
    </xf>
    <xf numFmtId="177" fontId="6" fillId="23" borderId="0" xfId="68" applyNumberFormat="1" applyFont="1" applyFill="1" applyAlignment="1"/>
    <xf numFmtId="237" fontId="6" fillId="0" borderId="0" xfId="68" applyNumberFormat="1" applyFont="1" applyFill="1" applyAlignment="1">
      <alignment horizontal="right"/>
    </xf>
    <xf numFmtId="238" fontId="6" fillId="0" borderId="0" xfId="38" applyNumberFormat="1" applyFont="1" applyAlignment="1">
      <alignment horizontal="right"/>
    </xf>
    <xf numFmtId="242" fontId="6" fillId="0" borderId="0" xfId="55" applyNumberFormat="1" applyFont="1" applyBorder="1" applyAlignment="1">
      <alignment horizontal="right"/>
    </xf>
    <xf numFmtId="177" fontId="6" fillId="0" borderId="0" xfId="55" quotePrefix="1" applyNumberFormat="1" applyFont="1" applyBorder="1" applyAlignment="1">
      <alignment horizontal="right"/>
    </xf>
    <xf numFmtId="191" fontId="6" fillId="0" borderId="0" xfId="76" applyNumberFormat="1" applyFont="1" applyBorder="1" applyAlignment="1">
      <alignment horizontal="right"/>
    </xf>
    <xf numFmtId="190" fontId="6" fillId="0" borderId="0" xfId="55" applyNumberFormat="1" applyFont="1" applyFill="1" applyBorder="1" applyAlignment="1">
      <alignment horizontal="right"/>
    </xf>
    <xf numFmtId="0" fontId="6" fillId="0" borderId="0" xfId="68" applyFont="1" applyBorder="1" applyAlignment="1">
      <alignment horizontal="left" indent="1"/>
    </xf>
    <xf numFmtId="0" fontId="11" fillId="0" borderId="0" xfId="68" applyFont="1" applyBorder="1"/>
    <xf numFmtId="238" fontId="11" fillId="0" borderId="0" xfId="38" applyNumberFormat="1" applyFont="1" applyBorder="1" applyAlignment="1">
      <alignment horizontal="right"/>
    </xf>
    <xf numFmtId="238" fontId="19" fillId="0" borderId="0" xfId="38" applyNumberFormat="1" applyFont="1" applyFill="1" applyBorder="1" applyAlignment="1">
      <alignment horizontal="right"/>
    </xf>
    <xf numFmtId="9" fontId="6" fillId="0" borderId="0" xfId="76" applyFont="1" applyFill="1" applyBorder="1" applyAlignment="1">
      <alignment horizontal="right"/>
    </xf>
    <xf numFmtId="0" fontId="6" fillId="0" borderId="0" xfId="68" applyFont="1" applyBorder="1" applyAlignment="1">
      <alignment horizontal="left"/>
    </xf>
    <xf numFmtId="195" fontId="6" fillId="0" borderId="0" xfId="68" applyNumberFormat="1" applyFont="1" applyAlignment="1">
      <alignment wrapText="1"/>
    </xf>
    <xf numFmtId="195" fontId="6" fillId="0" borderId="0" xfId="68" applyNumberFormat="1" applyFont="1"/>
    <xf numFmtId="3" fontId="6" fillId="0" borderId="0" xfId="68" applyNumberFormat="1" applyFont="1"/>
    <xf numFmtId="195" fontId="6" fillId="0" borderId="0" xfId="68" applyNumberFormat="1" applyFont="1" applyBorder="1" applyAlignment="1">
      <alignment wrapText="1"/>
    </xf>
    <xf numFmtId="195" fontId="6" fillId="0" borderId="0" xfId="68" applyNumberFormat="1" applyFont="1" applyBorder="1"/>
    <xf numFmtId="232" fontId="6" fillId="0" borderId="0" xfId="38" applyNumberFormat="1" applyFont="1" applyFill="1" applyBorder="1"/>
    <xf numFmtId="207" fontId="6" fillId="0" borderId="0" xfId="38" applyNumberFormat="1" applyFont="1" applyFill="1" applyBorder="1" applyAlignment="1">
      <alignment horizontal="right"/>
    </xf>
    <xf numFmtId="195" fontId="6" fillId="0" borderId="0" xfId="68" applyNumberFormat="1" applyFont="1" applyFill="1" applyAlignment="1">
      <alignment wrapText="1"/>
    </xf>
    <xf numFmtId="195" fontId="6" fillId="0" borderId="0" xfId="68" applyNumberFormat="1" applyFont="1" applyFill="1"/>
    <xf numFmtId="238" fontId="6" fillId="0" borderId="0" xfId="38" applyNumberFormat="1" applyFont="1" applyBorder="1" applyAlignment="1">
      <alignment horizontal="right"/>
    </xf>
    <xf numFmtId="238" fontId="6" fillId="0" borderId="0" xfId="68" applyNumberFormat="1" applyFont="1" applyBorder="1" applyAlignment="1">
      <alignment horizontal="right"/>
    </xf>
    <xf numFmtId="207" fontId="6" fillId="0" borderId="0" xfId="68" applyNumberFormat="1" applyFont="1" applyAlignment="1">
      <alignment horizontal="right"/>
    </xf>
    <xf numFmtId="238" fontId="6" fillId="0" borderId="0" xfId="68" applyNumberFormat="1" applyFont="1" applyFill="1"/>
    <xf numFmtId="207" fontId="6" fillId="0" borderId="0" xfId="68" applyNumberFormat="1" applyFont="1" applyFill="1" applyAlignment="1">
      <alignment horizontal="right"/>
    </xf>
    <xf numFmtId="207" fontId="6" fillId="0" borderId="0" xfId="68" applyNumberFormat="1" applyFont="1" applyFill="1" applyBorder="1" applyAlignment="1">
      <alignment horizontal="right"/>
    </xf>
    <xf numFmtId="0" fontId="6" fillId="0" borderId="0" xfId="68" applyFont="1" applyFill="1" applyBorder="1" applyAlignment="1">
      <alignment wrapText="1"/>
    </xf>
    <xf numFmtId="237" fontId="6" fillId="0" borderId="0" xfId="68" applyNumberFormat="1" applyFont="1" applyFill="1" applyBorder="1" applyAlignment="1">
      <alignment horizontal="right"/>
    </xf>
    <xf numFmtId="0" fontId="6" fillId="0" borderId="0" xfId="68" applyFont="1" applyFill="1" applyAlignment="1">
      <alignment horizontal="center" wrapText="1"/>
    </xf>
    <xf numFmtId="0" fontId="6" fillId="0" borderId="0" xfId="68" applyFont="1" applyFill="1" applyBorder="1" applyAlignment="1">
      <alignment horizontal="center"/>
    </xf>
    <xf numFmtId="0" fontId="6" fillId="0" borderId="0" xfId="68" applyFont="1" applyFill="1" applyAlignment="1">
      <alignment horizontal="center"/>
    </xf>
    <xf numFmtId="0" fontId="25" fillId="0" borderId="0" xfId="68" applyFont="1" applyFill="1" applyBorder="1"/>
    <xf numFmtId="0" fontId="33" fillId="0" borderId="0" xfId="68" applyFont="1" applyFill="1" applyBorder="1"/>
    <xf numFmtId="0" fontId="6" fillId="0" borderId="0" xfId="68" applyFont="1" applyFill="1" applyBorder="1" applyAlignment="1">
      <alignment horizontal="right"/>
    </xf>
    <xf numFmtId="37" fontId="31" fillId="0" borderId="0" xfId="0" applyFont="1" applyAlignment="1">
      <alignment horizontal="centerContinuous"/>
    </xf>
    <xf numFmtId="177" fontId="31" fillId="0" borderId="0" xfId="0" applyNumberFormat="1" applyFont="1" applyAlignment="1">
      <alignment horizontal="centerContinuous"/>
    </xf>
    <xf numFmtId="8" fontId="31" fillId="0" borderId="0" xfId="39" applyFont="1" applyAlignment="1">
      <alignment horizontal="centerContinuous"/>
    </xf>
    <xf numFmtId="8" fontId="17" fillId="0" borderId="0" xfId="0" applyNumberFormat="1" applyFont="1" applyAlignment="1">
      <alignment horizontal="centerContinuous"/>
    </xf>
    <xf numFmtId="165" fontId="15" fillId="0" borderId="0" xfId="0" applyNumberFormat="1" applyFont="1" applyFill="1" applyBorder="1" applyAlignment="1">
      <alignment horizontal="center"/>
    </xf>
    <xf numFmtId="166" fontId="16" fillId="0" borderId="0" xfId="0" applyNumberFormat="1" applyFont="1" applyFill="1" applyBorder="1" applyAlignment="1" applyProtection="1">
      <alignment horizontal="center"/>
    </xf>
    <xf numFmtId="37" fontId="18" fillId="0" borderId="0" xfId="0" applyFont="1" applyFill="1" applyAlignment="1" applyProtection="1">
      <alignment horizontal="center"/>
    </xf>
    <xf numFmtId="5" fontId="15" fillId="0" borderId="0" xfId="0" applyNumberFormat="1" applyFont="1" applyFill="1" applyBorder="1" applyAlignment="1">
      <alignment horizontal="left"/>
    </xf>
    <xf numFmtId="249" fontId="81" fillId="0" borderId="0" xfId="0" applyNumberFormat="1" applyFont="1" applyFill="1"/>
    <xf numFmtId="5" fontId="15" fillId="0" borderId="2" xfId="0" applyNumberFormat="1" applyFont="1" applyFill="1" applyBorder="1" applyAlignment="1">
      <alignment horizontal="left"/>
    </xf>
    <xf numFmtId="249" fontId="81" fillId="0" borderId="2" xfId="0" applyNumberFormat="1" applyFont="1" applyBorder="1"/>
    <xf numFmtId="249" fontId="81" fillId="0" borderId="0" xfId="0" applyNumberFormat="1" applyFont="1"/>
    <xf numFmtId="248" fontId="15" fillId="0" borderId="0" xfId="0" applyNumberFormat="1" applyFont="1" applyFill="1" applyBorder="1" applyAlignment="1" applyProtection="1">
      <alignment horizontal="center"/>
    </xf>
    <xf numFmtId="191" fontId="16" fillId="0" borderId="0" xfId="0" applyNumberFormat="1" applyFont="1" applyFill="1" applyBorder="1" applyAlignment="1" applyProtection="1">
      <alignment horizontal="center"/>
    </xf>
    <xf numFmtId="248" fontId="16" fillId="0" borderId="0" xfId="0" applyNumberFormat="1" applyFont="1" applyFill="1" applyBorder="1" applyAlignment="1" applyProtection="1">
      <alignment horizontal="center"/>
    </xf>
    <xf numFmtId="182" fontId="11" fillId="0" borderId="0" xfId="62" applyFont="1" applyBorder="1"/>
    <xf numFmtId="248" fontId="45" fillId="0" borderId="0" xfId="0" applyNumberFormat="1" applyFont="1"/>
    <xf numFmtId="44" fontId="15" fillId="0" borderId="7" xfId="0" applyNumberFormat="1" applyFont="1" applyBorder="1"/>
    <xf numFmtId="250" fontId="15" fillId="0" borderId="0" xfId="0" applyNumberFormat="1" applyFont="1"/>
    <xf numFmtId="37" fontId="21" fillId="0" borderId="0" xfId="0" applyFont="1"/>
    <xf numFmtId="37" fontId="16" fillId="0" borderId="20" xfId="0" applyFont="1" applyBorder="1" applyAlignment="1">
      <alignment horizontal="center"/>
    </xf>
    <xf numFmtId="37" fontId="17" fillId="0" borderId="0" xfId="0" applyFont="1" applyBorder="1" applyAlignment="1">
      <alignment horizontal="center"/>
    </xf>
    <xf numFmtId="250" fontId="43" fillId="0" borderId="0" xfId="0" applyNumberFormat="1" applyFont="1"/>
    <xf numFmtId="177" fontId="43" fillId="0" borderId="0" xfId="76" applyNumberFormat="1" applyFont="1"/>
    <xf numFmtId="177" fontId="43" fillId="0" borderId="0" xfId="76" applyNumberFormat="1" applyFont="1" applyAlignment="1">
      <alignment horizontal="right"/>
    </xf>
    <xf numFmtId="165" fontId="43" fillId="0" borderId="0" xfId="0" applyNumberFormat="1" applyFont="1" applyAlignment="1">
      <alignment horizontal="right"/>
    </xf>
    <xf numFmtId="177" fontId="15" fillId="0" borderId="0" xfId="76" applyNumberFormat="1" applyFont="1" applyAlignment="1">
      <alignment horizontal="right"/>
    </xf>
    <xf numFmtId="177" fontId="81" fillId="0" borderId="0" xfId="76" applyNumberFormat="1" applyFont="1" applyBorder="1"/>
    <xf numFmtId="182" fontId="9" fillId="0" borderId="0" xfId="66" applyFont="1" applyFill="1" applyBorder="1" applyAlignment="1">
      <alignment horizontal="centerContinuous"/>
    </xf>
    <xf numFmtId="166" fontId="9" fillId="0" borderId="0" xfId="66" applyNumberFormat="1" applyFont="1" applyFill="1" applyBorder="1" applyAlignment="1" applyProtection="1">
      <alignment horizontal="centerContinuous"/>
    </xf>
    <xf numFmtId="37" fontId="54" fillId="0" borderId="0" xfId="0" applyFont="1" applyBorder="1" applyAlignment="1" applyProtection="1">
      <alignment horizontal="left"/>
    </xf>
    <xf numFmtId="37" fontId="18" fillId="0" borderId="0" xfId="0" applyFont="1" applyFill="1" applyAlignment="1">
      <alignment horizontal="right"/>
    </xf>
    <xf numFmtId="8" fontId="15" fillId="0" borderId="39" xfId="0" applyNumberFormat="1" applyFont="1" applyFill="1" applyBorder="1" applyAlignment="1">
      <alignment horizontal="center"/>
    </xf>
    <xf numFmtId="8" fontId="15" fillId="0" borderId="39" xfId="0" applyNumberFormat="1" applyFont="1" applyFill="1" applyBorder="1"/>
    <xf numFmtId="8" fontId="16" fillId="0" borderId="39" xfId="0" applyNumberFormat="1" applyFont="1" applyFill="1" applyBorder="1" applyAlignment="1">
      <alignment horizontal="center"/>
    </xf>
    <xf numFmtId="8" fontId="16" fillId="0" borderId="44" xfId="0" applyNumberFormat="1" applyFont="1" applyFill="1" applyBorder="1" applyAlignment="1">
      <alignment horizontal="center"/>
    </xf>
    <xf numFmtId="8" fontId="15" fillId="0" borderId="45" xfId="0" applyNumberFormat="1" applyFont="1" applyFill="1" applyBorder="1" applyAlignment="1">
      <alignment horizontal="center"/>
    </xf>
    <xf numFmtId="8" fontId="15" fillId="0" borderId="44" xfId="0" applyNumberFormat="1" applyFont="1" applyFill="1" applyBorder="1" applyAlignment="1">
      <alignment horizontal="center"/>
    </xf>
    <xf numFmtId="168" fontId="18" fillId="0" borderId="0" xfId="0" applyNumberFormat="1" applyFont="1" applyAlignment="1" applyProtection="1">
      <alignment horizontal="right"/>
    </xf>
    <xf numFmtId="201" fontId="15" fillId="0" borderId="2" xfId="0" applyNumberFormat="1" applyFont="1" applyFill="1" applyBorder="1"/>
    <xf numFmtId="166" fontId="15" fillId="0" borderId="2" xfId="0" applyNumberFormat="1" applyFont="1" applyBorder="1" applyProtection="1"/>
    <xf numFmtId="7" fontId="15" fillId="0" borderId="0" xfId="0" applyNumberFormat="1" applyFont="1"/>
    <xf numFmtId="39" fontId="15" fillId="0" borderId="0" xfId="0" applyNumberFormat="1" applyFont="1" applyAlignment="1">
      <alignment horizontal="center"/>
    </xf>
    <xf numFmtId="175" fontId="15" fillId="0" borderId="0" xfId="76" applyNumberFormat="1" applyFont="1"/>
    <xf numFmtId="203" fontId="11" fillId="0" borderId="2" xfId="70" applyNumberFormat="1" applyFont="1" applyBorder="1" applyAlignment="1" applyProtection="1">
      <alignment horizontal="center"/>
    </xf>
    <xf numFmtId="1" fontId="50" fillId="0" borderId="0" xfId="70" applyNumberFormat="1" applyFont="1" applyAlignment="1" applyProtection="1">
      <alignment horizontal="right"/>
    </xf>
    <xf numFmtId="37" fontId="32" fillId="0" borderId="0" xfId="0" applyNumberFormat="1" applyFont="1"/>
    <xf numFmtId="185" fontId="9" fillId="0" borderId="0" xfId="0" applyNumberFormat="1" applyFont="1" applyFill="1" applyProtection="1"/>
    <xf numFmtId="37" fontId="94" fillId="0" borderId="0" xfId="0" applyFont="1"/>
    <xf numFmtId="177" fontId="81" fillId="0" borderId="0" xfId="76" applyNumberFormat="1" applyFont="1" applyBorder="1" applyAlignment="1">
      <alignment horizontal="right"/>
    </xf>
    <xf numFmtId="37" fontId="86" fillId="0" borderId="0" xfId="0" applyFont="1"/>
    <xf numFmtId="37" fontId="86" fillId="0" borderId="0" xfId="0" applyFont="1" applyAlignment="1">
      <alignment horizontal="left" indent="1"/>
    </xf>
    <xf numFmtId="37" fontId="95" fillId="0" borderId="0" xfId="0" applyFont="1"/>
    <xf numFmtId="37" fontId="9" fillId="22" borderId="0" xfId="0" applyFont="1" applyFill="1"/>
    <xf numFmtId="37" fontId="15" fillId="0" borderId="0" xfId="0" applyFont="1" applyAlignment="1">
      <alignment horizontal="left" indent="1"/>
    </xf>
    <xf numFmtId="37" fontId="9" fillId="30" borderId="0" xfId="0" applyFont="1" applyFill="1"/>
    <xf numFmtId="0" fontId="16" fillId="0" borderId="0" xfId="56" applyFont="1" applyFill="1" applyAlignment="1">
      <alignment horizontal="right"/>
    </xf>
    <xf numFmtId="0" fontId="16" fillId="28" borderId="32" xfId="56" applyFont="1" applyFill="1" applyBorder="1" applyAlignment="1">
      <alignment horizontal="left" indent="1"/>
    </xf>
    <xf numFmtId="0" fontId="81" fillId="0" borderId="0" xfId="56" applyFont="1" applyBorder="1" applyAlignment="1">
      <alignment horizontal="center"/>
    </xf>
    <xf numFmtId="0" fontId="15" fillId="0" borderId="0" xfId="56" applyFont="1" applyBorder="1" applyAlignment="1">
      <alignment horizontal="center"/>
    </xf>
    <xf numFmtId="10" fontId="9" fillId="0" borderId="0" xfId="76" applyNumberFormat="1" applyFont="1"/>
    <xf numFmtId="5" fontId="96" fillId="0" borderId="0" xfId="70" applyNumberFormat="1" applyFont="1" applyProtection="1"/>
    <xf numFmtId="6" fontId="30" fillId="0" borderId="0" xfId="39" applyNumberFormat="1" applyFont="1" applyFill="1"/>
    <xf numFmtId="166" fontId="9" fillId="0" borderId="0" xfId="66" applyNumberFormat="1" applyFont="1" applyFill="1" applyBorder="1" applyProtection="1"/>
    <xf numFmtId="177" fontId="43" fillId="0" borderId="0" xfId="76" applyNumberFormat="1" applyFont="1" applyFill="1"/>
    <xf numFmtId="39" fontId="9" fillId="0" borderId="0" xfId="66" applyNumberFormat="1" applyFont="1" applyFill="1"/>
    <xf numFmtId="0" fontId="113" fillId="0" borderId="0" xfId="52" applyFont="1"/>
    <xf numFmtId="0" fontId="6" fillId="0" borderId="0" xfId="52"/>
    <xf numFmtId="165" fontId="6" fillId="0" borderId="0" xfId="52" applyNumberFormat="1" applyAlignment="1">
      <alignment horizontal="center"/>
    </xf>
    <xf numFmtId="0" fontId="6" fillId="0" borderId="0" xfId="52" applyAlignment="1">
      <alignment horizontal="center"/>
    </xf>
    <xf numFmtId="37" fontId="25" fillId="0" borderId="0" xfId="52" applyNumberFormat="1" applyFont="1" applyAlignment="1">
      <alignment horizontal="center"/>
    </xf>
    <xf numFmtId="165" fontId="115" fillId="0" borderId="0" xfId="52" applyNumberFormat="1" applyFont="1" applyBorder="1" applyAlignment="1">
      <alignment horizontal="center"/>
    </xf>
    <xf numFmtId="223" fontId="115" fillId="0" borderId="0" xfId="52" applyNumberFormat="1" applyFont="1" applyBorder="1" applyAlignment="1">
      <alignment horizontal="center"/>
    </xf>
    <xf numFmtId="0" fontId="27" fillId="0" borderId="0" xfId="52" applyFont="1"/>
    <xf numFmtId="165" fontId="27" fillId="0" borderId="0" xfId="52" applyNumberFormat="1" applyFont="1" applyAlignment="1">
      <alignment horizontal="center"/>
    </xf>
    <xf numFmtId="37" fontId="27" fillId="0" borderId="0" xfId="52" applyNumberFormat="1" applyFont="1" applyAlignment="1">
      <alignment horizontal="center"/>
    </xf>
    <xf numFmtId="165" fontId="19" fillId="0" borderId="0" xfId="52" applyNumberFormat="1" applyFont="1" applyBorder="1" applyAlignment="1">
      <alignment horizontal="center"/>
    </xf>
    <xf numFmtId="165" fontId="19" fillId="0" borderId="0" xfId="52" applyNumberFormat="1" applyFont="1" applyAlignment="1">
      <alignment horizontal="center"/>
    </xf>
    <xf numFmtId="165" fontId="6" fillId="0" borderId="0" xfId="52" applyNumberFormat="1" applyFont="1" applyAlignment="1">
      <alignment horizontal="center"/>
    </xf>
    <xf numFmtId="0" fontId="6" fillId="0" borderId="0" xfId="52" applyFont="1"/>
    <xf numFmtId="37" fontId="6" fillId="0" borderId="0" xfId="52" applyNumberFormat="1" applyFont="1" applyAlignment="1">
      <alignment horizontal="center"/>
    </xf>
    <xf numFmtId="237" fontId="6" fillId="0" borderId="0" xfId="52" applyNumberFormat="1" applyAlignment="1">
      <alignment horizontal="center"/>
    </xf>
    <xf numFmtId="37" fontId="27" fillId="0" borderId="0" xfId="52" applyNumberFormat="1" applyFont="1" applyBorder="1" applyAlignment="1">
      <alignment horizontal="center"/>
    </xf>
    <xf numFmtId="0" fontId="27" fillId="0" borderId="0" xfId="52" applyFont="1" applyAlignment="1">
      <alignment horizontal="center"/>
    </xf>
    <xf numFmtId="9" fontId="19" fillId="0" borderId="0" xfId="77" applyFont="1" applyAlignment="1">
      <alignment horizontal="center"/>
    </xf>
    <xf numFmtId="177" fontId="19" fillId="0" borderId="0" xfId="52" applyNumberFormat="1" applyFont="1" applyAlignment="1">
      <alignment horizontal="center"/>
    </xf>
    <xf numFmtId="1" fontId="19" fillId="0" borderId="0" xfId="52" applyNumberFormat="1" applyFont="1" applyBorder="1" applyAlignment="1">
      <alignment horizontal="center"/>
    </xf>
    <xf numFmtId="1" fontId="19" fillId="0" borderId="0" xfId="52" applyNumberFormat="1" applyFont="1" applyAlignment="1">
      <alignment horizontal="center"/>
    </xf>
    <xf numFmtId="0" fontId="33" fillId="0" borderId="22" xfId="52" applyFont="1" applyBorder="1"/>
    <xf numFmtId="44" fontId="11" fillId="0" borderId="10" xfId="40" applyNumberFormat="1" applyFont="1" applyBorder="1" applyAlignment="1">
      <alignment horizontal="center"/>
    </xf>
    <xf numFmtId="44" fontId="0" fillId="0" borderId="10" xfId="40" applyNumberFormat="1" applyFont="1" applyBorder="1" applyAlignment="1">
      <alignment horizontal="center"/>
    </xf>
    <xf numFmtId="44" fontId="11" fillId="0" borderId="46" xfId="40" applyNumberFormat="1" applyFont="1" applyBorder="1" applyAlignment="1">
      <alignment horizontal="center"/>
    </xf>
    <xf numFmtId="0" fontId="12" fillId="0" borderId="0" xfId="52" applyFont="1"/>
    <xf numFmtId="0" fontId="11" fillId="0" borderId="2" xfId="52" applyFont="1" applyBorder="1" applyAlignment="1">
      <alignment horizontal="centerContinuous" wrapText="1"/>
    </xf>
    <xf numFmtId="0" fontId="11" fillId="0" borderId="2" xfId="52" applyFont="1" applyBorder="1" applyAlignment="1">
      <alignment horizontal="centerContinuous"/>
    </xf>
    <xf numFmtId="223" fontId="6" fillId="0" borderId="0" xfId="52" applyNumberFormat="1" applyAlignment="1">
      <alignment horizontal="center"/>
    </xf>
    <xf numFmtId="190" fontId="6" fillId="0" borderId="0" xfId="42" applyNumberFormat="1" applyFont="1" applyFill="1" applyBorder="1" applyAlignment="1">
      <alignment horizontal="right"/>
    </xf>
    <xf numFmtId="7" fontId="6" fillId="0" borderId="0" xfId="40" applyNumberFormat="1" applyFont="1" applyFill="1" applyBorder="1" applyAlignment="1">
      <alignment horizontal="center"/>
    </xf>
    <xf numFmtId="0" fontId="11" fillId="0" borderId="0" xfId="52" applyFont="1"/>
    <xf numFmtId="9" fontId="11" fillId="0" borderId="0" xfId="77" applyFont="1" applyFill="1" applyBorder="1" applyAlignment="1">
      <alignment horizontal="center"/>
    </xf>
    <xf numFmtId="0" fontId="33" fillId="0" borderId="0" xfId="52" applyFont="1"/>
    <xf numFmtId="223" fontId="33" fillId="0" borderId="0" xfId="52" applyNumberFormat="1" applyFont="1" applyAlignment="1">
      <alignment horizontal="center"/>
    </xf>
    <xf numFmtId="190" fontId="6" fillId="0" borderId="0" xfId="52" applyNumberFormat="1"/>
    <xf numFmtId="0" fontId="11" fillId="0" borderId="0" xfId="52" applyFont="1" applyBorder="1" applyAlignment="1">
      <alignment horizontal="centerContinuous"/>
    </xf>
    <xf numFmtId="2" fontId="6" fillId="0" borderId="0" xfId="52" applyNumberFormat="1"/>
    <xf numFmtId="2" fontId="6" fillId="0" borderId="0" xfId="42" applyNumberFormat="1" applyFont="1" applyFill="1" applyBorder="1" applyAlignment="1">
      <alignment horizontal="right"/>
    </xf>
    <xf numFmtId="37" fontId="6" fillId="0" borderId="0" xfId="52" applyNumberFormat="1" applyAlignment="1">
      <alignment horizontal="center"/>
    </xf>
    <xf numFmtId="37" fontId="27" fillId="0" borderId="0" xfId="52" applyNumberFormat="1" applyFont="1"/>
    <xf numFmtId="37" fontId="6" fillId="0" borderId="0" xfId="52" applyNumberFormat="1"/>
    <xf numFmtId="37" fontId="6" fillId="0" borderId="0" xfId="52" applyNumberFormat="1" applyBorder="1" applyAlignment="1">
      <alignment horizontal="center"/>
    </xf>
    <xf numFmtId="252" fontId="114" fillId="0" borderId="2" xfId="52" applyNumberFormat="1" applyFont="1" applyBorder="1" applyAlignment="1">
      <alignment horizontal="center"/>
    </xf>
    <xf numFmtId="0" fontId="114" fillId="0" borderId="2" xfId="52" applyFont="1" applyBorder="1" applyAlignment="1">
      <alignment horizontal="center"/>
    </xf>
    <xf numFmtId="39" fontId="27" fillId="0" borderId="0" xfId="40" applyNumberFormat="1" applyFont="1" applyAlignment="1">
      <alignment horizontal="center"/>
    </xf>
    <xf numFmtId="39" fontId="27" fillId="0" borderId="0" xfId="40" applyNumberFormat="1" applyFont="1"/>
    <xf numFmtId="194" fontId="146" fillId="0" borderId="0" xfId="66" applyNumberFormat="1" applyFont="1" applyFill="1"/>
    <xf numFmtId="1" fontId="6" fillId="0" borderId="0" xfId="52" applyNumberFormat="1" applyFont="1" applyAlignment="1">
      <alignment horizontal="center"/>
    </xf>
    <xf numFmtId="1" fontId="6" fillId="0" borderId="0" xfId="52" applyNumberFormat="1" applyAlignment="1">
      <alignment horizontal="center"/>
    </xf>
    <xf numFmtId="37" fontId="6" fillId="0" borderId="0" xfId="0" applyFont="1"/>
    <xf numFmtId="165" fontId="6" fillId="0" borderId="0" xfId="53" applyNumberFormat="1" applyFont="1" applyFill="1" applyBorder="1"/>
    <xf numFmtId="165" fontId="6" fillId="0" borderId="0" xfId="70" applyNumberFormat="1" applyFont="1" applyBorder="1" applyAlignment="1" applyProtection="1">
      <alignment horizontal="right"/>
    </xf>
    <xf numFmtId="182" fontId="9" fillId="0" borderId="0" xfId="66" applyFont="1" applyFill="1" applyBorder="1"/>
    <xf numFmtId="182" fontId="14" fillId="0" borderId="0" xfId="66" applyFont="1" applyFill="1" applyBorder="1" applyAlignment="1">
      <alignment horizontal="centerContinuous"/>
    </xf>
    <xf numFmtId="182" fontId="25" fillId="0" borderId="0" xfId="66" applyFont="1" applyFill="1" applyBorder="1" applyAlignment="1">
      <alignment horizontal="center"/>
    </xf>
    <xf numFmtId="37" fontId="56" fillId="0" borderId="0" xfId="0" applyFont="1" applyFill="1" applyBorder="1" applyAlignment="1">
      <alignment horizontal="right"/>
    </xf>
    <xf numFmtId="165" fontId="11" fillId="0" borderId="0" xfId="0" applyNumberFormat="1" applyFont="1" applyBorder="1"/>
    <xf numFmtId="203" fontId="16" fillId="0" borderId="0" xfId="58" applyNumberFormat="1" applyFont="1" applyBorder="1" applyAlignment="1">
      <alignment horizontal="centerContinuous"/>
    </xf>
    <xf numFmtId="37" fontId="4" fillId="0" borderId="0" xfId="0" applyFont="1"/>
    <xf numFmtId="0" fontId="10" fillId="0" borderId="0" xfId="59" applyFont="1" applyAlignment="1">
      <alignment horizontal="left"/>
    </xf>
    <xf numFmtId="0" fontId="10" fillId="0" borderId="0" xfId="59" applyFont="1"/>
    <xf numFmtId="0" fontId="10" fillId="0" borderId="0" xfId="59" applyFont="1" applyBorder="1"/>
    <xf numFmtId="0" fontId="10" fillId="0" borderId="2" xfId="59" applyFont="1" applyBorder="1" applyAlignment="1">
      <alignment horizontal="left" vertical="center"/>
    </xf>
    <xf numFmtId="0" fontId="10" fillId="0" borderId="2" xfId="59" applyFont="1" applyBorder="1" applyAlignment="1">
      <alignment vertical="center"/>
    </xf>
    <xf numFmtId="0" fontId="10" fillId="0" borderId="0" xfId="59" applyFont="1" applyBorder="1" applyAlignment="1">
      <alignment vertical="center"/>
    </xf>
    <xf numFmtId="15" fontId="10" fillId="0" borderId="0" xfId="59" applyNumberFormat="1" applyFont="1" applyAlignment="1">
      <alignment horizontal="left"/>
    </xf>
    <xf numFmtId="0" fontId="117" fillId="0" borderId="0" xfId="59" applyFont="1" applyBorder="1" applyAlignment="1">
      <alignment horizontal="centerContinuous"/>
    </xf>
    <xf numFmtId="0" fontId="117" fillId="0" borderId="2" xfId="59" applyFont="1" applyBorder="1" applyAlignment="1">
      <alignment horizontal="centerContinuous"/>
    </xf>
    <xf numFmtId="0" fontId="117" fillId="0" borderId="0" xfId="59" applyFont="1" applyBorder="1" applyAlignment="1">
      <alignment horizontal="center"/>
    </xf>
    <xf numFmtId="0" fontId="10" fillId="0" borderId="0" xfId="59" applyFont="1" applyAlignment="1">
      <alignment horizontal="centerContinuous"/>
    </xf>
    <xf numFmtId="0" fontId="10" fillId="0" borderId="2" xfId="59" applyFont="1" applyBorder="1" applyAlignment="1">
      <alignment horizontal="centerContinuous"/>
    </xf>
    <xf numFmtId="0" fontId="10" fillId="0" borderId="0" xfId="59" applyFont="1" applyBorder="1" applyAlignment="1">
      <alignment horizontal="centerContinuous"/>
    </xf>
    <xf numFmtId="0" fontId="10" fillId="0" borderId="2" xfId="59" applyFont="1" applyBorder="1"/>
    <xf numFmtId="0" fontId="10" fillId="0" borderId="0" xfId="59" applyNumberFormat="1" applyFont="1" applyBorder="1"/>
    <xf numFmtId="0" fontId="10" fillId="0" borderId="0" xfId="59" applyNumberFormat="1" applyFont="1"/>
    <xf numFmtId="0" fontId="10" fillId="0" borderId="2" xfId="59" applyNumberFormat="1" applyFont="1" applyBorder="1"/>
    <xf numFmtId="0" fontId="11" fillId="0" borderId="7" xfId="76" applyNumberFormat="1" applyFont="1" applyBorder="1" applyAlignment="1">
      <alignment horizontal="center"/>
    </xf>
    <xf numFmtId="0" fontId="11" fillId="0" borderId="0" xfId="76" applyNumberFormat="1" applyFont="1" applyBorder="1" applyAlignment="1">
      <alignment horizontal="center"/>
    </xf>
    <xf numFmtId="0" fontId="117" fillId="0" borderId="0" xfId="86" applyNumberFormat="1" applyFont="1" applyBorder="1" applyAlignment="1">
      <alignment horizontal="center"/>
    </xf>
    <xf numFmtId="0" fontId="11" fillId="0" borderId="0" xfId="86" applyNumberFormat="1" applyFont="1" applyBorder="1" applyAlignment="1">
      <alignment horizontal="center"/>
    </xf>
    <xf numFmtId="0" fontId="11" fillId="0" borderId="20" xfId="86" applyNumberFormat="1" applyFont="1" applyBorder="1" applyAlignment="1">
      <alignment horizontal="center"/>
    </xf>
    <xf numFmtId="0" fontId="11" fillId="0" borderId="8" xfId="86" applyNumberFormat="1" applyFont="1" applyBorder="1" applyAlignment="1">
      <alignment horizontal="center"/>
    </xf>
    <xf numFmtId="0" fontId="11" fillId="0" borderId="26" xfId="86" applyNumberFormat="1" applyFont="1" applyBorder="1" applyAlignment="1">
      <alignment horizontal="center"/>
    </xf>
    <xf numFmtId="0" fontId="25" fillId="0" borderId="20" xfId="86" applyNumberFormat="1" applyFont="1" applyBorder="1" applyAlignment="1">
      <alignment horizontal="center"/>
    </xf>
    <xf numFmtId="0" fontId="25" fillId="0" borderId="26" xfId="86" applyNumberFormat="1" applyFont="1" applyBorder="1" applyAlignment="1">
      <alignment horizontal="center"/>
    </xf>
    <xf numFmtId="0" fontId="25" fillId="0" borderId="33" xfId="86" applyNumberFormat="1" applyFont="1" applyBorder="1" applyAlignment="1">
      <alignment horizontal="center"/>
    </xf>
    <xf numFmtId="0" fontId="119" fillId="0" borderId="0" xfId="59" applyFont="1" applyBorder="1"/>
    <xf numFmtId="0" fontId="119" fillId="0" borderId="0" xfId="59" applyFont="1" applyAlignment="1">
      <alignment horizontal="center"/>
    </xf>
    <xf numFmtId="186" fontId="12" fillId="0" borderId="1" xfId="86" applyFont="1" applyBorder="1" applyAlignment="1">
      <alignment horizontal="center"/>
    </xf>
    <xf numFmtId="186" fontId="12" fillId="0" borderId="0" xfId="86" applyFont="1" applyBorder="1" applyAlignment="1">
      <alignment horizontal="center"/>
    </xf>
    <xf numFmtId="0" fontId="120" fillId="0" borderId="0" xfId="59" applyFont="1" applyBorder="1" applyAlignment="1">
      <alignment horizontal="center"/>
    </xf>
    <xf numFmtId="186" fontId="119" fillId="0" borderId="0" xfId="86" applyFont="1" applyBorder="1" applyAlignment="1">
      <alignment horizontal="center"/>
    </xf>
    <xf numFmtId="186" fontId="12" fillId="0" borderId="27" xfId="86" applyFont="1" applyBorder="1" applyAlignment="1">
      <alignment horizontal="center"/>
    </xf>
    <xf numFmtId="186" fontId="120" fillId="0" borderId="0" xfId="86" applyFont="1" applyBorder="1" applyAlignment="1">
      <alignment horizontal="center"/>
    </xf>
    <xf numFmtId="186" fontId="120" fillId="0" borderId="27" xfId="86" applyFont="1" applyBorder="1" applyAlignment="1">
      <alignment horizontal="center"/>
    </xf>
    <xf numFmtId="0" fontId="121" fillId="0" borderId="0" xfId="59" applyFont="1" applyAlignment="1">
      <alignment horizontal="center"/>
    </xf>
    <xf numFmtId="186" fontId="121" fillId="0" borderId="1" xfId="86" applyFont="1" applyBorder="1" applyAlignment="1">
      <alignment horizontal="center"/>
    </xf>
    <xf numFmtId="186" fontId="121" fillId="0" borderId="0" xfId="86" applyFont="1" applyBorder="1" applyAlignment="1">
      <alignment horizontal="center"/>
    </xf>
    <xf numFmtId="0" fontId="121" fillId="0" borderId="0" xfId="59" applyFont="1" applyBorder="1" applyAlignment="1">
      <alignment horizontal="center"/>
    </xf>
    <xf numFmtId="0" fontId="10" fillId="0" borderId="1" xfId="59" applyFont="1" applyBorder="1"/>
    <xf numFmtId="0" fontId="10" fillId="0" borderId="27" xfId="59" applyFont="1" applyBorder="1"/>
    <xf numFmtId="5" fontId="10" fillId="0" borderId="0" xfId="59" applyNumberFormat="1" applyFont="1" applyBorder="1"/>
    <xf numFmtId="5" fontId="10" fillId="0" borderId="0" xfId="59" applyNumberFormat="1" applyFont="1" applyAlignment="1">
      <alignment horizontal="right"/>
    </xf>
    <xf numFmtId="5" fontId="10" fillId="0" borderId="1" xfId="59" applyNumberFormat="1" applyFont="1" applyBorder="1" applyAlignment="1">
      <alignment horizontal="right"/>
    </xf>
    <xf numFmtId="5" fontId="10" fillId="0" borderId="0" xfId="59" applyNumberFormat="1" applyFont="1" applyBorder="1" applyAlignment="1">
      <alignment horizontal="right"/>
    </xf>
    <xf numFmtId="166" fontId="10" fillId="0" borderId="0" xfId="59" applyNumberFormat="1" applyFont="1" applyBorder="1" applyAlignment="1">
      <alignment horizontal="right"/>
    </xf>
    <xf numFmtId="5" fontId="10" fillId="0" borderId="27" xfId="59" applyNumberFormat="1" applyFont="1" applyBorder="1" applyAlignment="1">
      <alignment horizontal="right"/>
    </xf>
    <xf numFmtId="166" fontId="10" fillId="0" borderId="27" xfId="59" applyNumberFormat="1" applyFont="1" applyBorder="1" applyAlignment="1">
      <alignment horizontal="right"/>
    </xf>
    <xf numFmtId="188" fontId="10" fillId="0" borderId="0" xfId="59" applyNumberFormat="1" applyFont="1" applyAlignment="1">
      <alignment horizontal="right"/>
    </xf>
    <xf numFmtId="188" fontId="10" fillId="0" borderId="0" xfId="59" applyNumberFormat="1" applyFont="1" applyBorder="1" applyAlignment="1">
      <alignment horizontal="right"/>
    </xf>
    <xf numFmtId="37" fontId="6" fillId="0" borderId="0" xfId="0" applyFont="1" applyBorder="1"/>
    <xf numFmtId="37" fontId="10" fillId="0" borderId="0" xfId="59" applyNumberFormat="1" applyFont="1" applyBorder="1"/>
    <xf numFmtId="37" fontId="10" fillId="0" borderId="0" xfId="59" applyNumberFormat="1" applyFont="1"/>
    <xf numFmtId="37" fontId="10" fillId="0" borderId="1" xfId="59" applyNumberFormat="1" applyFont="1" applyBorder="1"/>
    <xf numFmtId="37" fontId="10" fillId="0" borderId="27" xfId="59" applyNumberFormat="1" applyFont="1" applyBorder="1"/>
    <xf numFmtId="37" fontId="42" fillId="0" borderId="1" xfId="59" applyNumberFormat="1" applyFont="1" applyBorder="1"/>
    <xf numFmtId="37" fontId="42" fillId="0" borderId="0" xfId="59" applyNumberFormat="1" applyFont="1" applyBorder="1"/>
    <xf numFmtId="2" fontId="10" fillId="0" borderId="0" xfId="59" applyNumberFormat="1" applyFont="1"/>
    <xf numFmtId="2" fontId="10" fillId="0" borderId="1" xfId="59" applyNumberFormat="1" applyFont="1" applyBorder="1"/>
    <xf numFmtId="2" fontId="10" fillId="0" borderId="0" xfId="59" applyNumberFormat="1" applyFont="1" applyBorder="1"/>
    <xf numFmtId="2" fontId="10" fillId="0" borderId="27" xfId="59" applyNumberFormat="1" applyFont="1" applyBorder="1"/>
    <xf numFmtId="166" fontId="10" fillId="0" borderId="1" xfId="59" applyNumberFormat="1" applyFont="1" applyBorder="1" applyAlignment="1">
      <alignment horizontal="right"/>
    </xf>
    <xf numFmtId="188" fontId="10" fillId="0" borderId="0" xfId="59" applyNumberFormat="1" applyFont="1"/>
    <xf numFmtId="188" fontId="10" fillId="0" borderId="1" xfId="59" applyNumberFormat="1" applyFont="1" applyBorder="1"/>
    <xf numFmtId="188" fontId="10" fillId="0" borderId="0" xfId="59" applyNumberFormat="1" applyFont="1" applyBorder="1"/>
    <xf numFmtId="188" fontId="10" fillId="0" borderId="27" xfId="59" applyNumberFormat="1" applyFont="1" applyBorder="1"/>
    <xf numFmtId="5" fontId="10" fillId="0" borderId="28" xfId="59" applyNumberFormat="1" applyFont="1" applyBorder="1"/>
    <xf numFmtId="5" fontId="10" fillId="0" borderId="7" xfId="59" applyNumberFormat="1" applyFont="1" applyBorder="1" applyAlignment="1">
      <alignment horizontal="right"/>
    </xf>
    <xf numFmtId="7" fontId="10" fillId="0" borderId="7" xfId="59" applyNumberFormat="1" applyFont="1" applyBorder="1" applyAlignment="1">
      <alignment horizontal="right"/>
    </xf>
    <xf numFmtId="7" fontId="10" fillId="0" borderId="28" xfId="59" applyNumberFormat="1" applyFont="1" applyBorder="1" applyAlignment="1">
      <alignment horizontal="right"/>
    </xf>
    <xf numFmtId="7" fontId="10" fillId="0" borderId="29" xfId="59" applyNumberFormat="1" applyFont="1" applyBorder="1" applyAlignment="1">
      <alignment horizontal="right"/>
    </xf>
    <xf numFmtId="165" fontId="10" fillId="0" borderId="0" xfId="59" applyNumberFormat="1" applyFont="1" applyBorder="1"/>
    <xf numFmtId="165" fontId="10" fillId="0" borderId="0" xfId="59" applyNumberFormat="1" applyFont="1" applyAlignment="1">
      <alignment horizontal="right"/>
    </xf>
    <xf numFmtId="165" fontId="10" fillId="0" borderId="1" xfId="59" applyNumberFormat="1" applyFont="1" applyBorder="1" applyAlignment="1">
      <alignment horizontal="right"/>
    </xf>
    <xf numFmtId="165" fontId="10" fillId="0" borderId="0" xfId="59" applyNumberFormat="1" applyFont="1" applyBorder="1" applyAlignment="1">
      <alignment horizontal="right"/>
    </xf>
    <xf numFmtId="165" fontId="10" fillId="0" borderId="27" xfId="59" applyNumberFormat="1" applyFont="1" applyBorder="1" applyAlignment="1">
      <alignment horizontal="right"/>
    </xf>
    <xf numFmtId="165" fontId="10" fillId="0" borderId="0" xfId="59" applyNumberFormat="1" applyFont="1"/>
    <xf numFmtId="166" fontId="10" fillId="0" borderId="0" xfId="59" applyNumberFormat="1" applyFont="1" applyBorder="1"/>
    <xf numFmtId="177" fontId="10" fillId="0" borderId="0" xfId="59" applyNumberFormat="1" applyFont="1" applyAlignment="1">
      <alignment horizontal="right"/>
    </xf>
    <xf numFmtId="177" fontId="10" fillId="0" borderId="1" xfId="59" applyNumberFormat="1" applyFont="1" applyBorder="1" applyAlignment="1">
      <alignment horizontal="right"/>
    </xf>
    <xf numFmtId="177" fontId="10" fillId="0" borderId="0" xfId="59" applyNumberFormat="1" applyFont="1" applyBorder="1" applyAlignment="1">
      <alignment horizontal="right"/>
    </xf>
    <xf numFmtId="191" fontId="10" fillId="0" borderId="0" xfId="76" applyNumberFormat="1" applyFont="1" applyBorder="1" applyAlignment="1">
      <alignment horizontal="right"/>
    </xf>
    <xf numFmtId="191" fontId="10" fillId="0" borderId="1" xfId="76" applyNumberFormat="1" applyFont="1" applyBorder="1" applyAlignment="1">
      <alignment horizontal="right"/>
    </xf>
    <xf numFmtId="191" fontId="10" fillId="0" borderId="27" xfId="76" applyNumberFormat="1" applyFont="1" applyBorder="1" applyAlignment="1">
      <alignment horizontal="right"/>
    </xf>
    <xf numFmtId="177" fontId="10" fillId="0" borderId="27" xfId="59" applyNumberFormat="1" applyFont="1" applyBorder="1" applyAlignment="1">
      <alignment horizontal="right"/>
    </xf>
    <xf numFmtId="177" fontId="10" fillId="0" borderId="1" xfId="76" applyNumberFormat="1" applyFont="1" applyBorder="1" applyAlignment="1">
      <alignment horizontal="right"/>
    </xf>
    <xf numFmtId="177" fontId="10" fillId="0" borderId="0" xfId="76" applyNumberFormat="1" applyFont="1" applyBorder="1" applyAlignment="1">
      <alignment horizontal="right"/>
    </xf>
    <xf numFmtId="177" fontId="10" fillId="0" borderId="0" xfId="59" applyNumberFormat="1" applyFont="1"/>
    <xf numFmtId="177" fontId="10" fillId="0" borderId="1" xfId="59" applyNumberFormat="1" applyFont="1" applyBorder="1"/>
    <xf numFmtId="177" fontId="10" fillId="0" borderId="0" xfId="59" applyNumberFormat="1" applyFont="1" applyBorder="1"/>
    <xf numFmtId="177" fontId="10" fillId="0" borderId="0" xfId="35" applyNumberFormat="1" applyFont="1" applyAlignment="1">
      <alignment horizontal="right"/>
    </xf>
    <xf numFmtId="191" fontId="68" fillId="0" borderId="1" xfId="76" applyNumberFormat="1" applyFont="1" applyBorder="1" applyAlignment="1">
      <alignment horizontal="right"/>
    </xf>
    <xf numFmtId="191" fontId="68" fillId="0" borderId="0" xfId="76" applyNumberFormat="1" applyFont="1" applyBorder="1" applyAlignment="1">
      <alignment horizontal="right"/>
    </xf>
    <xf numFmtId="177" fontId="10" fillId="0" borderId="0" xfId="35" applyNumberFormat="1" applyFont="1" applyBorder="1" applyAlignment="1">
      <alignment horizontal="right"/>
    </xf>
    <xf numFmtId="191" fontId="6" fillId="0" borderId="1" xfId="76" applyNumberFormat="1" applyFont="1" applyBorder="1" applyAlignment="1">
      <alignment horizontal="right"/>
    </xf>
    <xf numFmtId="191" fontId="6" fillId="0" borderId="27" xfId="76" applyNumberFormat="1" applyFont="1" applyBorder="1" applyAlignment="1">
      <alignment horizontal="right"/>
    </xf>
    <xf numFmtId="191" fontId="6" fillId="0" borderId="0" xfId="76" applyNumberFormat="1" applyFont="1" applyFill="1" applyBorder="1" applyAlignment="1">
      <alignment horizontal="right"/>
    </xf>
    <xf numFmtId="191" fontId="68" fillId="0" borderId="27" xfId="76" applyNumberFormat="1" applyFont="1" applyBorder="1" applyAlignment="1">
      <alignment horizontal="right"/>
    </xf>
    <xf numFmtId="191" fontId="122" fillId="0" borderId="0" xfId="76" applyNumberFormat="1" applyFont="1" applyBorder="1" applyAlignment="1">
      <alignment horizontal="right"/>
    </xf>
    <xf numFmtId="165" fontId="10" fillId="0" borderId="2" xfId="59" applyNumberFormat="1" applyFont="1" applyBorder="1" applyAlignment="1">
      <alignment horizontal="right"/>
    </xf>
    <xf numFmtId="191" fontId="122" fillId="0" borderId="2" xfId="76" applyNumberFormat="1" applyFont="1" applyBorder="1" applyAlignment="1">
      <alignment horizontal="right"/>
    </xf>
    <xf numFmtId="177" fontId="10" fillId="0" borderId="2" xfId="59" applyNumberFormat="1" applyFont="1" applyBorder="1" applyAlignment="1">
      <alignment horizontal="right"/>
    </xf>
    <xf numFmtId="191" fontId="10" fillId="0" borderId="2" xfId="76" applyNumberFormat="1" applyFont="1" applyBorder="1" applyAlignment="1">
      <alignment horizontal="right"/>
    </xf>
    <xf numFmtId="191" fontId="10" fillId="0" borderId="25" xfId="76" applyNumberFormat="1" applyFont="1" applyBorder="1" applyAlignment="1">
      <alignment horizontal="right"/>
    </xf>
    <xf numFmtId="191" fontId="10" fillId="0" borderId="30" xfId="76" applyNumberFormat="1" applyFont="1" applyBorder="1" applyAlignment="1">
      <alignment horizontal="right"/>
    </xf>
    <xf numFmtId="165" fontId="10" fillId="0" borderId="0" xfId="59" applyNumberFormat="1" applyFont="1" applyAlignment="1">
      <alignment horizontal="centerContinuous"/>
    </xf>
    <xf numFmtId="165" fontId="10" fillId="0" borderId="0" xfId="59" applyNumberFormat="1" applyFont="1" applyBorder="1" applyAlignment="1">
      <alignment horizontal="centerContinuous"/>
    </xf>
    <xf numFmtId="165" fontId="10" fillId="0" borderId="0" xfId="59" quotePrefix="1" applyNumberFormat="1" applyFont="1" applyBorder="1" applyAlignment="1">
      <alignment horizontal="centerContinuous"/>
    </xf>
    <xf numFmtId="0" fontId="119" fillId="0" borderId="8" xfId="59" applyFont="1" applyBorder="1"/>
    <xf numFmtId="0" fontId="119" fillId="0" borderId="20" xfId="59" applyFont="1" applyBorder="1"/>
    <xf numFmtId="0" fontId="119" fillId="0" borderId="20" xfId="59" applyFont="1" applyBorder="1" applyAlignment="1">
      <alignment horizontal="right"/>
    </xf>
    <xf numFmtId="9" fontId="119" fillId="0" borderId="20" xfId="76" quotePrefix="1" applyFont="1" applyBorder="1" applyAlignment="1">
      <alignment horizontal="right"/>
    </xf>
    <xf numFmtId="37" fontId="6" fillId="0" borderId="20" xfId="0" applyFont="1" applyBorder="1"/>
    <xf numFmtId="0" fontId="10" fillId="0" borderId="20" xfId="59" applyFont="1" applyBorder="1"/>
    <xf numFmtId="0" fontId="10" fillId="0" borderId="20" xfId="59" applyNumberFormat="1" applyFont="1" applyBorder="1"/>
    <xf numFmtId="0" fontId="119" fillId="0" borderId="20" xfId="59" applyNumberFormat="1" applyFont="1" applyBorder="1" applyAlignment="1">
      <alignment horizontal="right"/>
    </xf>
    <xf numFmtId="0" fontId="119" fillId="0" borderId="26" xfId="59" applyFont="1" applyBorder="1" applyAlignment="1">
      <alignment horizontal="right"/>
    </xf>
    <xf numFmtId="9" fontId="119" fillId="0" borderId="20" xfId="76" applyFont="1" applyBorder="1" applyAlignment="1">
      <alignment horizontal="right"/>
    </xf>
    <xf numFmtId="9" fontId="119" fillId="0" borderId="0" xfId="76" applyFont="1" applyBorder="1" applyAlignment="1">
      <alignment horizontal="right"/>
    </xf>
    <xf numFmtId="9" fontId="119" fillId="0" borderId="26" xfId="76" applyFont="1" applyBorder="1" applyAlignment="1">
      <alignment horizontal="right"/>
    </xf>
    <xf numFmtId="166" fontId="10" fillId="0" borderId="1" xfId="59" applyNumberFormat="1" applyFont="1" applyBorder="1" applyAlignment="1">
      <alignment horizontal="left"/>
    </xf>
    <xf numFmtId="166" fontId="10" fillId="0" borderId="0" xfId="59" applyNumberFormat="1" applyFont="1" applyBorder="1" applyAlignment="1">
      <alignment horizontal="left"/>
    </xf>
    <xf numFmtId="37" fontId="10" fillId="0" borderId="0" xfId="59" applyNumberFormat="1" applyFont="1" applyBorder="1" applyAlignment="1">
      <alignment horizontal="right"/>
    </xf>
    <xf numFmtId="39" fontId="10" fillId="0" borderId="0" xfId="59" quotePrefix="1" applyNumberFormat="1" applyFont="1" applyBorder="1" applyAlignment="1">
      <alignment horizontal="right"/>
    </xf>
    <xf numFmtId="39" fontId="10" fillId="0" borderId="0" xfId="59" applyNumberFormat="1" applyFont="1" applyBorder="1" applyAlignment="1">
      <alignment horizontal="right"/>
    </xf>
    <xf numFmtId="39" fontId="10" fillId="0" borderId="0" xfId="59" quotePrefix="1" applyNumberFormat="1" applyFont="1" applyFill="1" applyBorder="1" applyAlignment="1">
      <alignment horizontal="right"/>
    </xf>
    <xf numFmtId="39" fontId="10" fillId="0" borderId="27" xfId="59" quotePrefix="1" applyNumberFormat="1" applyFont="1" applyFill="1" applyBorder="1" applyAlignment="1">
      <alignment horizontal="right"/>
    </xf>
    <xf numFmtId="166" fontId="10" fillId="0" borderId="1" xfId="59" applyNumberFormat="1" applyFont="1" applyBorder="1"/>
    <xf numFmtId="37" fontId="10" fillId="0" borderId="27" xfId="59" applyNumberFormat="1" applyFont="1" applyBorder="1" applyAlignment="1">
      <alignment horizontal="right"/>
    </xf>
    <xf numFmtId="37" fontId="10" fillId="0" borderId="1" xfId="59" applyNumberFormat="1" applyFont="1" applyBorder="1" applyAlignment="1">
      <alignment horizontal="left"/>
    </xf>
    <xf numFmtId="9" fontId="10" fillId="0" borderId="0" xfId="59" applyNumberFormat="1" applyFont="1" applyBorder="1" applyAlignment="1">
      <alignment horizontal="right"/>
    </xf>
    <xf numFmtId="9" fontId="10" fillId="0" borderId="0" xfId="76" quotePrefix="1" applyFont="1" applyBorder="1" applyAlignment="1">
      <alignment horizontal="right"/>
    </xf>
    <xf numFmtId="9" fontId="10" fillId="0" borderId="0" xfId="76" quotePrefix="1" applyFont="1" applyFill="1" applyBorder="1" applyAlignment="1">
      <alignment horizontal="right"/>
    </xf>
    <xf numFmtId="9" fontId="10" fillId="0" borderId="27" xfId="76" quotePrefix="1" applyFont="1" applyFill="1" applyBorder="1" applyAlignment="1">
      <alignment horizontal="right"/>
    </xf>
    <xf numFmtId="165" fontId="10" fillId="0" borderId="1" xfId="59" applyNumberFormat="1" applyFont="1" applyBorder="1"/>
    <xf numFmtId="0" fontId="10" fillId="0" borderId="1" xfId="59" applyFont="1" applyBorder="1" applyAlignment="1">
      <alignment horizontal="left"/>
    </xf>
    <xf numFmtId="37" fontId="19" fillId="0" borderId="0" xfId="59" applyNumberFormat="1" applyFont="1" applyBorder="1" applyAlignment="1">
      <alignment horizontal="right"/>
    </xf>
    <xf numFmtId="9" fontId="6" fillId="0" borderId="0" xfId="76" quotePrefix="1" applyFont="1" applyBorder="1" applyAlignment="1">
      <alignment horizontal="right"/>
    </xf>
    <xf numFmtId="177" fontId="6" fillId="0" borderId="0" xfId="76" quotePrefix="1" applyNumberFormat="1" applyFont="1" applyBorder="1" applyAlignment="1">
      <alignment horizontal="right"/>
    </xf>
    <xf numFmtId="177" fontId="6" fillId="0" borderId="0" xfId="76" quotePrefix="1" applyNumberFormat="1" applyFont="1" applyFill="1" applyBorder="1" applyAlignment="1">
      <alignment horizontal="right"/>
    </xf>
    <xf numFmtId="177" fontId="6" fillId="0" borderId="27" xfId="76" quotePrefix="1" applyNumberFormat="1" applyFont="1" applyFill="1" applyBorder="1" applyAlignment="1">
      <alignment horizontal="right"/>
    </xf>
    <xf numFmtId="37" fontId="19" fillId="0" borderId="0" xfId="59" applyNumberFormat="1" applyFont="1" applyBorder="1"/>
    <xf numFmtId="37" fontId="19" fillId="0" borderId="27" xfId="59" applyNumberFormat="1" applyFont="1" applyBorder="1"/>
    <xf numFmtId="177" fontId="10" fillId="0" borderId="1" xfId="59" applyNumberFormat="1" applyFont="1" applyBorder="1" applyAlignment="1">
      <alignment horizontal="left"/>
    </xf>
    <xf numFmtId="177" fontId="10" fillId="0" borderId="0" xfId="59" quotePrefix="1" applyNumberFormat="1" applyFont="1" applyBorder="1" applyAlignment="1">
      <alignment horizontal="right"/>
    </xf>
    <xf numFmtId="177" fontId="10" fillId="0" borderId="0" xfId="59" quotePrefix="1" applyNumberFormat="1" applyFont="1" applyFill="1" applyBorder="1" applyAlignment="1">
      <alignment horizontal="right"/>
    </xf>
    <xf numFmtId="177" fontId="10" fillId="0" borderId="27" xfId="59" quotePrefix="1" applyNumberFormat="1" applyFont="1" applyFill="1" applyBorder="1" applyAlignment="1">
      <alignment horizontal="right"/>
    </xf>
    <xf numFmtId="37" fontId="6" fillId="0" borderId="0" xfId="59" applyNumberFormat="1" applyFont="1" applyBorder="1"/>
    <xf numFmtId="37" fontId="6" fillId="0" borderId="27" xfId="59" applyNumberFormat="1" applyFont="1" applyBorder="1"/>
    <xf numFmtId="0" fontId="10" fillId="0" borderId="25" xfId="59" applyFont="1" applyBorder="1"/>
    <xf numFmtId="37" fontId="10" fillId="0" borderId="2" xfId="59" applyNumberFormat="1" applyFont="1" applyBorder="1" applyAlignment="1">
      <alignment horizontal="left"/>
    </xf>
    <xf numFmtId="39" fontId="10" fillId="0" borderId="2" xfId="59" applyNumberFormat="1" applyFont="1" applyBorder="1" applyAlignment="1">
      <alignment horizontal="right"/>
    </xf>
    <xf numFmtId="165" fontId="10" fillId="0" borderId="2" xfId="59" applyNumberFormat="1" applyFont="1" applyBorder="1"/>
    <xf numFmtId="37" fontId="19" fillId="0" borderId="2" xfId="59" applyNumberFormat="1" applyFont="1" applyBorder="1" applyAlignment="1">
      <alignment horizontal="right"/>
    </xf>
    <xf numFmtId="37" fontId="6" fillId="0" borderId="2" xfId="59" applyNumberFormat="1" applyFont="1" applyBorder="1"/>
    <xf numFmtId="165" fontId="6" fillId="0" borderId="2" xfId="59" applyNumberFormat="1" applyFont="1" applyBorder="1"/>
    <xf numFmtId="165" fontId="6" fillId="0" borderId="30" xfId="59" applyNumberFormat="1" applyFont="1" applyBorder="1"/>
    <xf numFmtId="37" fontId="10" fillId="0" borderId="0" xfId="59" applyNumberFormat="1" applyFont="1" applyBorder="1" applyAlignment="1">
      <alignment horizontal="left"/>
    </xf>
    <xf numFmtId="0" fontId="10" fillId="0" borderId="0" xfId="59" applyFont="1" applyBorder="1" applyAlignment="1">
      <alignment horizontal="left"/>
    </xf>
    <xf numFmtId="37" fontId="29" fillId="0" borderId="0" xfId="59" applyNumberFormat="1" applyFont="1" applyBorder="1" applyAlignment="1">
      <alignment horizontal="right"/>
    </xf>
    <xf numFmtId="37" fontId="10" fillId="0" borderId="0" xfId="59" applyNumberFormat="1" applyFont="1" applyAlignment="1">
      <alignment horizontal="right"/>
    </xf>
    <xf numFmtId="39" fontId="10" fillId="0" borderId="27" xfId="59" applyNumberFormat="1" applyFont="1" applyBorder="1" applyAlignment="1">
      <alignment horizontal="right"/>
    </xf>
    <xf numFmtId="165" fontId="119" fillId="0" borderId="8" xfId="59" applyNumberFormat="1" applyFont="1" applyBorder="1"/>
    <xf numFmtId="165" fontId="10" fillId="0" borderId="20" xfId="59" applyNumberFormat="1" applyFont="1" applyBorder="1"/>
    <xf numFmtId="6" fontId="10" fillId="0" borderId="20" xfId="39" applyNumberFormat="1" applyFont="1" applyBorder="1" applyAlignment="1">
      <alignment horizontal="right"/>
    </xf>
    <xf numFmtId="177" fontId="10" fillId="0" borderId="20" xfId="59" applyNumberFormat="1" applyFont="1" applyBorder="1" applyAlignment="1">
      <alignment horizontal="left"/>
    </xf>
    <xf numFmtId="177" fontId="10" fillId="0" borderId="20" xfId="59" applyNumberFormat="1" applyFont="1" applyBorder="1" applyAlignment="1">
      <alignment horizontal="right"/>
    </xf>
    <xf numFmtId="165" fontId="10" fillId="0" borderId="20" xfId="59" applyNumberFormat="1" applyFont="1" applyBorder="1" applyAlignment="1">
      <alignment horizontal="right"/>
    </xf>
    <xf numFmtId="177" fontId="10" fillId="0" borderId="20" xfId="76" applyNumberFormat="1" applyFont="1" applyBorder="1" applyAlignment="1">
      <alignment horizontal="right"/>
    </xf>
    <xf numFmtId="177" fontId="10" fillId="0" borderId="27" xfId="76" applyNumberFormat="1" applyFont="1" applyBorder="1" applyAlignment="1">
      <alignment horizontal="right"/>
    </xf>
    <xf numFmtId="37" fontId="6" fillId="0" borderId="0" xfId="59" applyNumberFormat="1" applyFont="1" applyBorder="1" applyAlignment="1">
      <alignment horizontal="right"/>
    </xf>
    <xf numFmtId="225" fontId="6" fillId="0" borderId="0" xfId="59" applyNumberFormat="1" applyFont="1" applyBorder="1" applyAlignment="1">
      <alignment horizontal="right"/>
    </xf>
    <xf numFmtId="225" fontId="6" fillId="0" borderId="27" xfId="59" applyNumberFormat="1" applyFont="1" applyBorder="1" applyAlignment="1">
      <alignment horizontal="right"/>
    </xf>
    <xf numFmtId="37" fontId="6" fillId="0" borderId="27" xfId="59" applyNumberFormat="1" applyFont="1" applyBorder="1" applyAlignment="1">
      <alignment horizontal="right"/>
    </xf>
    <xf numFmtId="9" fontId="10" fillId="0" borderId="0" xfId="59" applyNumberFormat="1" applyFont="1" applyBorder="1"/>
    <xf numFmtId="1" fontId="6" fillId="0" borderId="0" xfId="59" applyNumberFormat="1" applyFont="1" applyBorder="1" applyAlignment="1">
      <alignment horizontal="right"/>
    </xf>
    <xf numFmtId="1" fontId="6" fillId="0" borderId="27" xfId="59" applyNumberFormat="1" applyFont="1" applyBorder="1" applyAlignment="1">
      <alignment horizontal="right"/>
    </xf>
    <xf numFmtId="9" fontId="10" fillId="0" borderId="1" xfId="59" applyNumberFormat="1" applyFont="1" applyBorder="1"/>
    <xf numFmtId="5" fontId="6" fillId="0" borderId="0" xfId="76" applyNumberFormat="1" applyFont="1" applyBorder="1" applyAlignment="1">
      <alignment horizontal="right"/>
    </xf>
    <xf numFmtId="5" fontId="6" fillId="0" borderId="27" xfId="76" applyNumberFormat="1" applyFont="1" applyBorder="1" applyAlignment="1">
      <alignment horizontal="right"/>
    </xf>
    <xf numFmtId="6" fontId="10" fillId="0" borderId="0" xfId="39" applyNumberFormat="1" applyFont="1" applyBorder="1" applyAlignment="1">
      <alignment horizontal="right"/>
    </xf>
    <xf numFmtId="165" fontId="10" fillId="0" borderId="25" xfId="59" applyNumberFormat="1" applyFont="1" applyBorder="1"/>
    <xf numFmtId="6" fontId="10" fillId="0" borderId="2" xfId="39" applyNumberFormat="1" applyFont="1" applyBorder="1" applyAlignment="1">
      <alignment horizontal="right"/>
    </xf>
    <xf numFmtId="6" fontId="10" fillId="0" borderId="30" xfId="39" applyNumberFormat="1" applyFont="1" applyBorder="1" applyAlignment="1">
      <alignment horizontal="right"/>
    </xf>
    <xf numFmtId="1" fontId="6" fillId="0" borderId="2" xfId="59" applyNumberFormat="1" applyFont="1" applyBorder="1" applyAlignment="1">
      <alignment horizontal="right"/>
    </xf>
    <xf numFmtId="1" fontId="6" fillId="0" borderId="30" xfId="59" applyNumberFormat="1" applyFont="1" applyBorder="1" applyAlignment="1">
      <alignment horizontal="right"/>
    </xf>
    <xf numFmtId="182" fontId="6" fillId="0" borderId="0" xfId="60" applyFont="1" applyAlignment="1"/>
    <xf numFmtId="178" fontId="10" fillId="0" borderId="0" xfId="59" applyNumberFormat="1" applyFont="1" applyBorder="1"/>
    <xf numFmtId="178" fontId="10" fillId="0" borderId="1" xfId="59" applyNumberFormat="1" applyFont="1" applyBorder="1"/>
    <xf numFmtId="39" fontId="6" fillId="0" borderId="0" xfId="59" applyNumberFormat="1" applyFont="1" applyBorder="1" applyAlignment="1">
      <alignment horizontal="right"/>
    </xf>
    <xf numFmtId="1" fontId="10" fillId="0" borderId="0" xfId="59" applyNumberFormat="1" applyFont="1" applyBorder="1"/>
    <xf numFmtId="1" fontId="10" fillId="0" borderId="1" xfId="59" applyNumberFormat="1" applyFont="1" applyBorder="1"/>
    <xf numFmtId="9" fontId="10" fillId="0" borderId="0" xfId="76" applyFont="1" applyBorder="1"/>
    <xf numFmtId="9" fontId="10" fillId="0" borderId="1" xfId="76" applyFont="1" applyBorder="1"/>
    <xf numFmtId="9" fontId="6" fillId="0" borderId="0" xfId="76" applyFont="1" applyBorder="1" applyAlignment="1">
      <alignment horizontal="right"/>
    </xf>
    <xf numFmtId="9" fontId="6" fillId="0" borderId="0" xfId="76" applyNumberFormat="1" applyFont="1" applyBorder="1" applyAlignment="1">
      <alignment horizontal="right"/>
    </xf>
    <xf numFmtId="37" fontId="6" fillId="0" borderId="0" xfId="0" applyFont="1" applyFill="1"/>
    <xf numFmtId="39" fontId="6" fillId="0" borderId="0" xfId="0" applyNumberFormat="1" applyFont="1" applyFill="1"/>
    <xf numFmtId="9" fontId="6" fillId="0" borderId="0" xfId="76" applyFont="1" applyFill="1"/>
    <xf numFmtId="37" fontId="6" fillId="0" borderId="2" xfId="0" applyFont="1" applyBorder="1"/>
    <xf numFmtId="37" fontId="6" fillId="0" borderId="2" xfId="0" applyFont="1" applyFill="1" applyBorder="1"/>
    <xf numFmtId="8" fontId="6" fillId="0" borderId="2" xfId="0" applyNumberFormat="1" applyFont="1" applyFill="1" applyBorder="1"/>
    <xf numFmtId="37" fontId="6" fillId="0" borderId="0" xfId="0" applyFont="1" applyFill="1" applyBorder="1"/>
    <xf numFmtId="37" fontId="27" fillId="0" borderId="0" xfId="0" applyFont="1" applyAlignment="1" applyProtection="1">
      <alignment horizontal="left"/>
    </xf>
    <xf numFmtId="165" fontId="6" fillId="0" borderId="0" xfId="0" applyNumberFormat="1" applyFont="1" applyFill="1"/>
    <xf numFmtId="37" fontId="6" fillId="0" borderId="0" xfId="0" applyFont="1" applyAlignment="1" applyProtection="1">
      <alignment horizontal="left"/>
    </xf>
    <xf numFmtId="37" fontId="11" fillId="0" borderId="2" xfId="0" quotePrefix="1" applyFont="1" applyBorder="1" applyAlignment="1" applyProtection="1">
      <alignment horizontal="centerContinuous"/>
    </xf>
    <xf numFmtId="37" fontId="11" fillId="0" borderId="2" xfId="0" applyFont="1" applyBorder="1" applyAlignment="1">
      <alignment horizontal="centerContinuous"/>
    </xf>
    <xf numFmtId="37" fontId="11" fillId="0" borderId="2" xfId="0" quotePrefix="1" applyFont="1" applyBorder="1" applyAlignment="1">
      <alignment horizontal="centerContinuous"/>
    </xf>
    <xf numFmtId="37" fontId="14" fillId="0" borderId="0" xfId="0" applyFont="1"/>
    <xf numFmtId="37" fontId="11" fillId="0" borderId="2" xfId="0" applyFont="1" applyFill="1" applyBorder="1" applyAlignment="1">
      <alignment horizontal="centerContinuous"/>
    </xf>
    <xf numFmtId="37" fontId="11" fillId="0" borderId="2" xfId="0" quotePrefix="1" applyFont="1" applyFill="1" applyBorder="1" applyAlignment="1">
      <alignment horizontal="centerContinuous"/>
    </xf>
    <xf numFmtId="37" fontId="25" fillId="0" borderId="2" xfId="0" applyFont="1" applyFill="1" applyBorder="1" applyAlignment="1">
      <alignment horizontal="centerContinuous"/>
    </xf>
    <xf numFmtId="37" fontId="11" fillId="0" borderId="0" xfId="0" applyFont="1" applyFill="1" applyBorder="1" applyAlignment="1">
      <alignment horizontal="centerContinuous"/>
    </xf>
    <xf numFmtId="37" fontId="25" fillId="0" borderId="0" xfId="0" applyFont="1" applyFill="1" applyBorder="1" applyAlignment="1">
      <alignment horizontal="centerContinuous"/>
    </xf>
    <xf numFmtId="37" fontId="25" fillId="0" borderId="0" xfId="0" quotePrefix="1" applyFont="1" applyFill="1" applyBorder="1" applyAlignment="1">
      <alignment horizontal="center"/>
    </xf>
    <xf numFmtId="37" fontId="11" fillId="0" borderId="0" xfId="0" applyFont="1" applyFill="1" applyBorder="1" applyAlignment="1">
      <alignment horizontal="center"/>
    </xf>
    <xf numFmtId="37" fontId="11" fillId="0" borderId="0" xfId="0" applyFont="1" applyBorder="1" applyAlignment="1">
      <alignment horizontal="left"/>
    </xf>
    <xf numFmtId="37" fontId="27" fillId="0" borderId="0" xfId="0" applyFont="1" applyAlignment="1">
      <alignment horizontal="center"/>
    </xf>
    <xf numFmtId="37" fontId="12" fillId="0" borderId="0" xfId="0" applyFont="1" applyAlignment="1" applyProtection="1">
      <alignment horizontal="center"/>
    </xf>
    <xf numFmtId="37" fontId="12" fillId="0" borderId="0" xfId="0" applyFont="1" applyAlignment="1" applyProtection="1">
      <alignment horizontal="centerContinuous"/>
    </xf>
    <xf numFmtId="37" fontId="11" fillId="0" borderId="0" xfId="0" applyFont="1" applyAlignment="1">
      <alignment horizontal="centerContinuous"/>
    </xf>
    <xf numFmtId="37" fontId="11" fillId="0" borderId="0" xfId="0" quotePrefix="1" applyFont="1" applyAlignment="1">
      <alignment horizontal="centerContinuous"/>
    </xf>
    <xf numFmtId="37" fontId="11" fillId="0" borderId="0" xfId="0" applyFont="1" applyFill="1" applyAlignment="1">
      <alignment horizontal="centerContinuous"/>
    </xf>
    <xf numFmtId="37" fontId="11" fillId="0" borderId="0" xfId="0" quotePrefix="1" applyFont="1" applyFill="1" applyAlignment="1">
      <alignment horizontal="centerContinuous"/>
    </xf>
    <xf numFmtId="37" fontId="11" fillId="0" borderId="0" xfId="0" applyFont="1" applyFill="1" applyAlignment="1">
      <alignment horizontal="right"/>
    </xf>
    <xf numFmtId="0" fontId="11" fillId="0" borderId="0" xfId="35" applyNumberFormat="1" applyFont="1" applyFill="1" applyAlignment="1">
      <alignment horizontal="right"/>
    </xf>
    <xf numFmtId="37" fontId="11" fillId="0" borderId="0" xfId="0" applyFont="1" applyAlignment="1">
      <alignment horizontal="left"/>
    </xf>
    <xf numFmtId="37" fontId="6" fillId="0" borderId="0" xfId="0" applyFont="1" applyAlignment="1">
      <alignment horizontal="left"/>
    </xf>
    <xf numFmtId="37" fontId="11" fillId="0" borderId="0" xfId="0" applyFont="1" applyFill="1" applyAlignment="1">
      <alignment horizontal="left"/>
    </xf>
    <xf numFmtId="37" fontId="27" fillId="0" borderId="0" xfId="0" applyFont="1" applyAlignment="1">
      <alignment horizontal="left"/>
    </xf>
    <xf numFmtId="170" fontId="6" fillId="0" borderId="0" xfId="0" applyNumberFormat="1" applyFont="1" applyAlignment="1" applyProtection="1">
      <alignment horizontal="right"/>
    </xf>
    <xf numFmtId="179" fontId="6" fillId="0" borderId="0" xfId="0" quotePrefix="1" applyNumberFormat="1" applyFont="1" applyAlignment="1" applyProtection="1">
      <alignment horizontal="left"/>
    </xf>
    <xf numFmtId="193" fontId="6" fillId="0" borderId="0" xfId="0" quotePrefix="1" applyNumberFormat="1" applyFont="1" applyAlignment="1" applyProtection="1">
      <alignment horizontal="left"/>
    </xf>
    <xf numFmtId="193" fontId="19" fillId="0" borderId="0" xfId="0" quotePrefix="1" applyNumberFormat="1" applyFont="1" applyAlignment="1" applyProtection="1">
      <alignment horizontal="left"/>
    </xf>
    <xf numFmtId="200" fontId="19" fillId="0" borderId="0" xfId="0" applyNumberFormat="1" applyFont="1" applyAlignment="1">
      <alignment horizontal="left"/>
    </xf>
    <xf numFmtId="170" fontId="6" fillId="0" borderId="0" xfId="0" applyNumberFormat="1" applyFont="1" applyFill="1" applyAlignment="1" applyProtection="1">
      <alignment horizontal="right"/>
    </xf>
    <xf numFmtId="193" fontId="19" fillId="0" borderId="0" xfId="0" quotePrefix="1" applyNumberFormat="1" applyFont="1" applyFill="1" applyAlignment="1" applyProtection="1">
      <alignment horizontal="left"/>
    </xf>
    <xf numFmtId="251" fontId="6" fillId="0" borderId="0" xfId="0" applyNumberFormat="1" applyFont="1" applyFill="1" applyAlignment="1" applyProtection="1">
      <alignment horizontal="right"/>
    </xf>
    <xf numFmtId="166" fontId="6" fillId="0" borderId="0" xfId="0" applyNumberFormat="1" applyFont="1" applyFill="1" applyProtection="1"/>
    <xf numFmtId="193" fontId="6" fillId="0" borderId="0" xfId="0" quotePrefix="1" applyNumberFormat="1" applyFont="1" applyFill="1" applyAlignment="1" applyProtection="1">
      <alignment horizontal="left"/>
    </xf>
    <xf numFmtId="186" fontId="19" fillId="0" borderId="0" xfId="35" quotePrefix="1" applyNumberFormat="1" applyFont="1" applyFill="1" applyAlignment="1" applyProtection="1">
      <alignment horizontal="right"/>
    </xf>
    <xf numFmtId="177" fontId="19" fillId="0" borderId="0" xfId="35" quotePrefix="1" applyNumberFormat="1" applyFont="1" applyFill="1" applyAlignment="1" applyProtection="1">
      <alignment horizontal="right"/>
    </xf>
    <xf numFmtId="229" fontId="6" fillId="0" borderId="0" xfId="0" quotePrefix="1" applyNumberFormat="1" applyFont="1" applyAlignment="1" applyProtection="1">
      <alignment horizontal="left"/>
    </xf>
    <xf numFmtId="9" fontId="6" fillId="0" borderId="0" xfId="76" applyFont="1"/>
    <xf numFmtId="37" fontId="68" fillId="0" borderId="0" xfId="0" applyFont="1"/>
    <xf numFmtId="37" fontId="14" fillId="0" borderId="0" xfId="0" applyFont="1" applyAlignment="1">
      <alignment horizontal="right"/>
    </xf>
    <xf numFmtId="37" fontId="6" fillId="0" borderId="0" xfId="0" applyFont="1" applyAlignment="1">
      <alignment horizontal="center"/>
    </xf>
    <xf numFmtId="165" fontId="19" fillId="0" borderId="0" xfId="0" applyNumberFormat="1" applyFont="1" applyFill="1" applyBorder="1"/>
    <xf numFmtId="165" fontId="6" fillId="0" borderId="0" xfId="0" applyNumberFormat="1" applyFont="1" applyFill="1" applyBorder="1"/>
    <xf numFmtId="8" fontId="6" fillId="0" borderId="0" xfId="39" quotePrefix="1" applyFont="1" applyAlignment="1" applyProtection="1">
      <alignment horizontal="left"/>
    </xf>
    <xf numFmtId="9" fontId="6" fillId="0" borderId="0" xfId="0" quotePrefix="1" applyNumberFormat="1" applyFont="1" applyFill="1" applyAlignment="1" applyProtection="1">
      <alignment horizontal="left"/>
    </xf>
    <xf numFmtId="9" fontId="6" fillId="0" borderId="0" xfId="76" quotePrefix="1" applyFont="1" applyAlignment="1" applyProtection="1">
      <alignment horizontal="left"/>
    </xf>
    <xf numFmtId="180" fontId="6" fillId="0" borderId="0" xfId="0" quotePrefix="1" applyNumberFormat="1" applyFont="1" applyAlignment="1" applyProtection="1">
      <alignment horizontal="left"/>
    </xf>
    <xf numFmtId="200" fontId="19" fillId="0" borderId="0" xfId="0" applyNumberFormat="1" applyFont="1" applyFill="1" applyAlignment="1">
      <alignment horizontal="left"/>
    </xf>
    <xf numFmtId="165" fontId="19" fillId="0" borderId="2" xfId="0" applyNumberFormat="1" applyFont="1" applyFill="1" applyBorder="1"/>
    <xf numFmtId="165" fontId="6" fillId="0" borderId="2" xfId="0" applyNumberFormat="1" applyFont="1" applyFill="1" applyBorder="1"/>
    <xf numFmtId="37" fontId="123" fillId="0" borderId="0" xfId="0" applyFont="1"/>
    <xf numFmtId="9" fontId="14" fillId="0" borderId="0" xfId="76" applyFont="1"/>
    <xf numFmtId="37" fontId="124" fillId="0" borderId="0" xfId="0" applyFont="1"/>
    <xf numFmtId="166" fontId="6" fillId="0" borderId="0" xfId="0" applyNumberFormat="1" applyFont="1" applyProtection="1"/>
    <xf numFmtId="185" fontId="6" fillId="0" borderId="0" xfId="0" applyNumberFormat="1" applyFont="1"/>
    <xf numFmtId="186" fontId="19" fillId="0" borderId="0" xfId="35" applyNumberFormat="1" applyFont="1" applyFill="1" applyAlignment="1" applyProtection="1">
      <alignment horizontal="right"/>
    </xf>
    <xf numFmtId="177" fontId="6" fillId="0" borderId="0" xfId="0" quotePrefix="1" applyNumberFormat="1" applyFont="1" applyAlignment="1" applyProtection="1">
      <alignment horizontal="left"/>
    </xf>
    <xf numFmtId="165" fontId="6" fillId="0" borderId="0" xfId="0" applyNumberFormat="1" applyFont="1"/>
    <xf numFmtId="200" fontId="6" fillId="0" borderId="0" xfId="0" applyNumberFormat="1" applyFont="1" applyAlignment="1">
      <alignment horizontal="left"/>
    </xf>
    <xf numFmtId="10" fontId="6" fillId="0" borderId="0" xfId="76" applyNumberFormat="1" applyFont="1" applyFill="1"/>
    <xf numFmtId="177" fontId="6" fillId="0" borderId="0" xfId="76" applyNumberFormat="1" applyFont="1" applyFill="1"/>
    <xf numFmtId="186" fontId="6" fillId="0" borderId="0" xfId="35" applyNumberFormat="1" applyFont="1" applyFill="1"/>
    <xf numFmtId="9" fontId="6" fillId="0" borderId="0" xfId="0" applyNumberFormat="1" applyFont="1" applyFill="1"/>
    <xf numFmtId="39" fontId="6" fillId="0" borderId="0" xfId="0" applyNumberFormat="1" applyFont="1"/>
    <xf numFmtId="9" fontId="11" fillId="0" borderId="0" xfId="76" quotePrefix="1" applyFont="1" applyFill="1" applyAlignment="1">
      <alignment horizontal="centerContinuous"/>
    </xf>
    <xf numFmtId="177" fontId="11" fillId="0" borderId="0" xfId="76" applyNumberFormat="1" applyFont="1" applyFill="1" applyAlignment="1">
      <alignment horizontal="centerContinuous"/>
    </xf>
    <xf numFmtId="37" fontId="12" fillId="0" borderId="0" xfId="0" applyFont="1"/>
    <xf numFmtId="37" fontId="12" fillId="0" borderId="0" xfId="0" applyFont="1" applyAlignment="1">
      <alignment horizontal="center"/>
    </xf>
    <xf numFmtId="39" fontId="11" fillId="0" borderId="0" xfId="0" applyNumberFormat="1" applyFont="1" applyAlignment="1">
      <alignment horizontal="centerContinuous"/>
    </xf>
    <xf numFmtId="166" fontId="6" fillId="0" borderId="0" xfId="76" applyNumberFormat="1" applyFont="1" applyFill="1"/>
    <xf numFmtId="37" fontId="11" fillId="0" borderId="0" xfId="0" applyFont="1" applyFill="1" applyAlignment="1"/>
    <xf numFmtId="165" fontId="12" fillId="0" borderId="0" xfId="0" applyNumberFormat="1" applyFont="1" applyAlignment="1">
      <alignment horizontal="right"/>
    </xf>
    <xf numFmtId="172" fontId="6" fillId="0" borderId="0" xfId="0" applyNumberFormat="1" applyFont="1" applyAlignment="1" applyProtection="1">
      <alignment horizontal="left"/>
    </xf>
    <xf numFmtId="173" fontId="6" fillId="0" borderId="0" xfId="0" applyNumberFormat="1" applyFont="1" applyAlignment="1" applyProtection="1">
      <alignment horizontal="left"/>
    </xf>
    <xf numFmtId="173" fontId="6" fillId="0" borderId="0" xfId="0" applyNumberFormat="1" applyFont="1" applyFill="1" applyAlignment="1" applyProtection="1">
      <alignment horizontal="left"/>
    </xf>
    <xf numFmtId="165" fontId="6" fillId="0" borderId="0" xfId="0" applyNumberFormat="1" applyFont="1" applyFill="1" applyAlignment="1">
      <alignment horizontal="left"/>
    </xf>
    <xf numFmtId="167" fontId="6" fillId="0" borderId="0" xfId="0" applyNumberFormat="1" applyFont="1" applyFill="1"/>
    <xf numFmtId="173" fontId="19" fillId="0" borderId="0" xfId="0" applyNumberFormat="1" applyFont="1" applyFill="1" applyAlignment="1" applyProtection="1">
      <alignment horizontal="left"/>
    </xf>
    <xf numFmtId="165" fontId="6" fillId="0" borderId="0" xfId="0" applyNumberFormat="1" applyFont="1" applyBorder="1"/>
    <xf numFmtId="165" fontId="6" fillId="0" borderId="2" xfId="0" applyNumberFormat="1" applyFont="1" applyBorder="1"/>
    <xf numFmtId="165" fontId="125" fillId="0" borderId="0" xfId="0" applyNumberFormat="1" applyFont="1" applyFill="1"/>
    <xf numFmtId="165" fontId="123" fillId="0" borderId="0" xfId="0" applyNumberFormat="1" applyFont="1"/>
    <xf numFmtId="165" fontId="14" fillId="0" borderId="0" xfId="0" applyNumberFormat="1" applyFont="1"/>
    <xf numFmtId="165" fontId="10" fillId="0" borderId="0" xfId="0" applyNumberFormat="1" applyFont="1" applyAlignment="1"/>
    <xf numFmtId="165" fontId="10" fillId="0" borderId="0" xfId="0" applyNumberFormat="1" applyFont="1" applyFill="1" applyAlignment="1"/>
    <xf numFmtId="165" fontId="6" fillId="0" borderId="0" xfId="0" applyNumberFormat="1" applyFont="1" applyAlignment="1">
      <alignment horizontal="right"/>
    </xf>
    <xf numFmtId="40" fontId="6" fillId="0" borderId="0" xfId="35" applyFont="1"/>
    <xf numFmtId="167" fontId="68" fillId="0" borderId="0" xfId="0" applyNumberFormat="1" applyFont="1" applyFill="1"/>
    <xf numFmtId="40" fontId="6" fillId="0" borderId="0" xfId="35" applyFont="1" applyFill="1"/>
    <xf numFmtId="172" fontId="6" fillId="0" borderId="0" xfId="0" applyNumberFormat="1" applyFont="1" applyFill="1" applyAlignment="1" applyProtection="1">
      <alignment horizontal="left"/>
    </xf>
    <xf numFmtId="37" fontId="11" fillId="0" borderId="0" xfId="0" applyFont="1" applyAlignment="1"/>
    <xf numFmtId="8" fontId="12" fillId="0" borderId="0" xfId="0" applyNumberFormat="1" applyFont="1" applyAlignment="1" applyProtection="1">
      <alignment horizontal="center"/>
    </xf>
    <xf numFmtId="165" fontId="11" fillId="0" borderId="0" xfId="0" applyNumberFormat="1" applyFont="1" applyAlignment="1">
      <alignment horizontal="centerContinuous"/>
    </xf>
    <xf numFmtId="37" fontId="14" fillId="0" borderId="0" xfId="0" applyFont="1" applyAlignment="1">
      <alignment horizontal="centerContinuous"/>
    </xf>
    <xf numFmtId="39" fontId="14" fillId="0" borderId="0" xfId="0" applyNumberFormat="1" applyFont="1" applyAlignment="1">
      <alignment horizontal="centerContinuous"/>
    </xf>
    <xf numFmtId="177" fontId="14" fillId="0" borderId="0" xfId="0" applyNumberFormat="1" applyFont="1" applyFill="1" applyAlignment="1">
      <alignment horizontal="centerContinuous"/>
    </xf>
    <xf numFmtId="39" fontId="14" fillId="0" borderId="0" xfId="0" applyNumberFormat="1" applyFont="1" applyFill="1" applyAlignment="1">
      <alignment horizontal="centerContinuous"/>
    </xf>
    <xf numFmtId="165" fontId="14" fillId="0" borderId="0" xfId="0" applyNumberFormat="1" applyFont="1" applyFill="1" applyAlignment="1">
      <alignment horizontal="centerContinuous"/>
    </xf>
    <xf numFmtId="37" fontId="6" fillId="0" borderId="0" xfId="0" applyFont="1" applyFill="1" applyAlignment="1">
      <alignment horizontal="centerContinuous"/>
    </xf>
    <xf numFmtId="165" fontId="14" fillId="0" borderId="0" xfId="0" applyNumberFormat="1" applyFont="1" applyAlignment="1">
      <alignment horizontal="right"/>
    </xf>
    <xf numFmtId="176" fontId="6" fillId="0" borderId="0" xfId="0" applyNumberFormat="1" applyFont="1" applyAlignment="1" applyProtection="1">
      <alignment horizontal="left"/>
    </xf>
    <xf numFmtId="174" fontId="6" fillId="0" borderId="0" xfId="0" applyNumberFormat="1" applyFont="1" applyAlignment="1" applyProtection="1">
      <alignment horizontal="left"/>
    </xf>
    <xf numFmtId="174" fontId="6" fillId="0" borderId="0" xfId="0" applyNumberFormat="1" applyFont="1" applyFill="1" applyAlignment="1" applyProtection="1">
      <alignment horizontal="left"/>
    </xf>
    <xf numFmtId="10" fontId="6" fillId="0" borderId="0" xfId="0" applyNumberFormat="1" applyFont="1" applyFill="1" applyAlignment="1" applyProtection="1">
      <alignment horizontal="left"/>
    </xf>
    <xf numFmtId="205" fontId="6" fillId="0" borderId="0" xfId="0" applyNumberFormat="1" applyFont="1" applyAlignment="1" applyProtection="1">
      <alignment horizontal="left"/>
    </xf>
    <xf numFmtId="166" fontId="11" fillId="0" borderId="0" xfId="0" applyNumberFormat="1" applyFont="1" applyProtection="1"/>
    <xf numFmtId="38" fontId="6" fillId="0" borderId="0" xfId="35" applyNumberFormat="1" applyFont="1" applyFill="1" applyAlignment="1" applyProtection="1">
      <alignment horizontal="right"/>
    </xf>
    <xf numFmtId="165" fontId="11" fillId="0" borderId="0" xfId="0" applyNumberFormat="1" applyFont="1" applyFill="1" applyBorder="1"/>
    <xf numFmtId="174" fontId="6" fillId="0" borderId="0" xfId="0" applyNumberFormat="1" applyFont="1" applyBorder="1" applyAlignment="1" applyProtection="1">
      <alignment horizontal="left"/>
    </xf>
    <xf numFmtId="205" fontId="6" fillId="0" borderId="0" xfId="0" quotePrefix="1" applyNumberFormat="1" applyFont="1" applyAlignment="1" applyProtection="1">
      <alignment horizontal="left"/>
    </xf>
    <xf numFmtId="165" fontId="123" fillId="0" borderId="0" xfId="0" applyNumberFormat="1" applyFont="1" applyBorder="1"/>
    <xf numFmtId="165" fontId="6" fillId="0" borderId="0" xfId="0" applyNumberFormat="1" applyFont="1" applyBorder="1" applyAlignment="1" applyProtection="1">
      <alignment horizontal="right"/>
    </xf>
    <xf numFmtId="228" fontId="6" fillId="0" borderId="0" xfId="0" applyNumberFormat="1" applyFont="1" applyBorder="1" applyAlignment="1" applyProtection="1">
      <alignment horizontal="left"/>
    </xf>
    <xf numFmtId="177" fontId="6" fillId="0" borderId="0" xfId="0" applyNumberFormat="1" applyFont="1" applyBorder="1" applyAlignment="1" applyProtection="1">
      <alignment horizontal="left"/>
    </xf>
    <xf numFmtId="166" fontId="6" fillId="0" borderId="0" xfId="0" applyNumberFormat="1" applyFont="1" applyBorder="1" applyProtection="1"/>
    <xf numFmtId="172" fontId="6" fillId="0" borderId="0" xfId="0" applyNumberFormat="1" applyFont="1" applyBorder="1" applyAlignment="1" applyProtection="1">
      <alignment horizontal="left"/>
    </xf>
    <xf numFmtId="173" fontId="6" fillId="0" borderId="0" xfId="0" applyNumberFormat="1" applyFont="1" applyBorder="1" applyAlignment="1" applyProtection="1">
      <alignment horizontal="left"/>
    </xf>
    <xf numFmtId="39" fontId="6" fillId="0" borderId="0" xfId="0" applyNumberFormat="1" applyFont="1" applyBorder="1"/>
    <xf numFmtId="166" fontId="42" fillId="0" borderId="0" xfId="0" applyNumberFormat="1" applyFont="1" applyProtection="1"/>
    <xf numFmtId="165" fontId="42" fillId="0" borderId="0" xfId="0" applyNumberFormat="1" applyFont="1"/>
    <xf numFmtId="166" fontId="42" fillId="0" borderId="0" xfId="0" applyNumberFormat="1" applyFont="1" applyFill="1" applyProtection="1"/>
    <xf numFmtId="167" fontId="6" fillId="0" borderId="0" xfId="0" applyNumberFormat="1" applyFont="1"/>
    <xf numFmtId="9" fontId="6" fillId="0" borderId="0" xfId="76" applyNumberFormat="1" applyFont="1"/>
    <xf numFmtId="9" fontId="6" fillId="0" borderId="0" xfId="76" applyNumberFormat="1" applyFont="1" applyBorder="1"/>
    <xf numFmtId="165" fontId="42" fillId="0" borderId="0" xfId="0" applyNumberFormat="1" applyFont="1" applyProtection="1"/>
    <xf numFmtId="165" fontId="42" fillId="0" borderId="0" xfId="0" applyNumberFormat="1" applyFont="1" applyFill="1" applyProtection="1"/>
    <xf numFmtId="165" fontId="42" fillId="0" borderId="2" xfId="0" applyNumberFormat="1" applyFont="1" applyBorder="1" applyProtection="1"/>
    <xf numFmtId="165" fontId="42" fillId="0" borderId="2" xfId="0" applyNumberFormat="1" applyFont="1" applyFill="1" applyBorder="1" applyProtection="1"/>
    <xf numFmtId="166" fontId="6" fillId="0" borderId="0" xfId="0" applyNumberFormat="1" applyFont="1" applyFill="1" applyBorder="1" applyProtection="1"/>
    <xf numFmtId="177" fontId="6" fillId="0" borderId="0" xfId="0" applyNumberFormat="1" applyFont="1" applyFill="1"/>
    <xf numFmtId="185" fontId="147" fillId="0" borderId="0" xfId="39" applyNumberFormat="1" applyFont="1" applyFill="1" applyBorder="1"/>
    <xf numFmtId="9" fontId="6" fillId="0" borderId="0" xfId="76" applyNumberFormat="1" applyFont="1" applyFill="1"/>
    <xf numFmtId="248" fontId="6" fillId="0" borderId="0" xfId="0" applyNumberFormat="1" applyFont="1"/>
    <xf numFmtId="186" fontId="6" fillId="0" borderId="0" xfId="35" applyNumberFormat="1" applyFont="1"/>
    <xf numFmtId="177" fontId="6" fillId="0" borderId="0" xfId="76" applyNumberFormat="1" applyFont="1"/>
    <xf numFmtId="167" fontId="19" fillId="0" borderId="0" xfId="0" applyNumberFormat="1" applyFont="1"/>
    <xf numFmtId="37" fontId="6" fillId="0" borderId="0" xfId="0" applyFont="1" applyFill="1" applyAlignment="1">
      <alignment horizontal="right"/>
    </xf>
    <xf numFmtId="248" fontId="6" fillId="0" borderId="0" xfId="0" applyNumberFormat="1" applyFont="1" applyFill="1"/>
    <xf numFmtId="165" fontId="14" fillId="0" borderId="0" xfId="0" applyNumberFormat="1" applyFont="1" applyAlignment="1">
      <alignment horizontal="centerContinuous"/>
    </xf>
    <xf numFmtId="9" fontId="6" fillId="0" borderId="0" xfId="76" applyFont="1" applyBorder="1"/>
    <xf numFmtId="9" fontId="6" fillId="0" borderId="0" xfId="76" applyFont="1" applyFill="1" applyBorder="1"/>
    <xf numFmtId="167" fontId="6" fillId="0" borderId="0" xfId="0" applyNumberFormat="1" applyFont="1" applyBorder="1"/>
    <xf numFmtId="165" fontId="11" fillId="0" borderId="0" xfId="0" applyNumberFormat="1" applyFont="1" applyFill="1" applyAlignment="1">
      <alignment horizontal="centerContinuous"/>
    </xf>
    <xf numFmtId="39" fontId="11" fillId="0" borderId="0" xfId="0" applyNumberFormat="1" applyFont="1" applyFill="1" applyAlignment="1">
      <alignment horizontal="centerContinuous"/>
    </xf>
    <xf numFmtId="9" fontId="11" fillId="0" borderId="0" xfId="0" applyNumberFormat="1" applyFont="1" applyFill="1" applyAlignment="1">
      <alignment horizontal="centerContinuous"/>
    </xf>
    <xf numFmtId="175" fontId="6" fillId="0" borderId="0" xfId="0" applyNumberFormat="1" applyFont="1" applyAlignment="1" applyProtection="1">
      <alignment horizontal="left"/>
    </xf>
    <xf numFmtId="205" fontId="6" fillId="0" borderId="0" xfId="0" applyNumberFormat="1" applyFont="1" applyFill="1" applyAlignment="1" applyProtection="1">
      <alignment horizontal="left"/>
    </xf>
    <xf numFmtId="9" fontId="6" fillId="0" borderId="0" xfId="0" applyNumberFormat="1" applyFont="1" applyFill="1" applyAlignment="1" applyProtection="1">
      <alignment horizontal="left"/>
    </xf>
    <xf numFmtId="8" fontId="6" fillId="0" borderId="0" xfId="39" applyFont="1" applyFill="1" applyAlignment="1" applyProtection="1">
      <alignment horizontal="left"/>
    </xf>
    <xf numFmtId="228" fontId="6" fillId="0" borderId="0" xfId="0" applyNumberFormat="1" applyFont="1" applyAlignment="1" applyProtection="1">
      <alignment horizontal="left"/>
    </xf>
    <xf numFmtId="37" fontId="6" fillId="0" borderId="0" xfId="0" applyNumberFormat="1" applyFont="1"/>
    <xf numFmtId="8" fontId="6" fillId="0" borderId="0" xfId="0" applyNumberFormat="1" applyFont="1" applyFill="1"/>
    <xf numFmtId="227" fontId="6" fillId="0" borderId="0" xfId="0" applyNumberFormat="1" applyFont="1" applyAlignment="1" applyProtection="1">
      <alignment horizontal="left"/>
    </xf>
    <xf numFmtId="40" fontId="6" fillId="0" borderId="0" xfId="35" applyFont="1" applyAlignment="1" applyProtection="1">
      <alignment horizontal="left"/>
    </xf>
    <xf numFmtId="7" fontId="6" fillId="0" borderId="0" xfId="76" applyNumberFormat="1" applyFont="1" applyFill="1"/>
    <xf numFmtId="176" fontId="11" fillId="0" borderId="0" xfId="0" applyNumberFormat="1" applyFont="1" applyAlignment="1" applyProtection="1">
      <alignment horizontal="centerContinuous"/>
    </xf>
    <xf numFmtId="176" fontId="11" fillId="0" borderId="0" xfId="0" applyNumberFormat="1" applyFont="1" applyFill="1" applyAlignment="1" applyProtection="1">
      <alignment horizontal="centerContinuous"/>
    </xf>
    <xf numFmtId="176" fontId="19" fillId="0" borderId="0" xfId="0" applyNumberFormat="1" applyFont="1" applyAlignment="1" applyProtection="1">
      <alignment horizontal="left"/>
    </xf>
    <xf numFmtId="167" fontId="6" fillId="0" borderId="0" xfId="0" applyNumberFormat="1" applyFont="1" applyFill="1" applyBorder="1"/>
    <xf numFmtId="173" fontId="6" fillId="0" borderId="0" xfId="0" applyNumberFormat="1" applyFont="1"/>
    <xf numFmtId="37" fontId="6" fillId="0" borderId="0" xfId="0" applyNumberFormat="1" applyFont="1" applyFill="1"/>
    <xf numFmtId="5" fontId="6" fillId="0" borderId="0" xfId="0" applyNumberFormat="1" applyFont="1" applyProtection="1"/>
    <xf numFmtId="37" fontId="6" fillId="0" borderId="0" xfId="0" quotePrefix="1" applyFont="1" applyAlignment="1">
      <alignment horizontal="right"/>
    </xf>
    <xf numFmtId="37" fontId="6" fillId="0" borderId="0" xfId="0" quotePrefix="1" applyFont="1" applyFill="1" applyAlignment="1">
      <alignment horizontal="right"/>
    </xf>
    <xf numFmtId="37" fontId="6" fillId="0" borderId="0" xfId="0" applyNumberFormat="1" applyFont="1" applyBorder="1"/>
    <xf numFmtId="37" fontId="6" fillId="0" borderId="2" xfId="0" applyNumberFormat="1" applyFont="1" applyBorder="1"/>
    <xf numFmtId="37" fontId="6" fillId="0" borderId="2" xfId="0" quotePrefix="1" applyFont="1" applyBorder="1" applyAlignment="1">
      <alignment horizontal="right"/>
    </xf>
    <xf numFmtId="37" fontId="6" fillId="0" borderId="2" xfId="0" quotePrefix="1" applyFont="1" applyFill="1" applyBorder="1" applyAlignment="1">
      <alignment horizontal="right"/>
    </xf>
    <xf numFmtId="5" fontId="6" fillId="0" borderId="0" xfId="0" applyNumberFormat="1" applyFont="1" applyBorder="1" applyProtection="1"/>
    <xf numFmtId="37" fontId="25" fillId="0" borderId="0" xfId="0" applyFont="1" applyFill="1" applyAlignment="1">
      <alignment horizontal="centerContinuous"/>
    </xf>
    <xf numFmtId="166" fontId="19" fillId="0" borderId="0" xfId="0" applyNumberFormat="1" applyFont="1" applyFill="1" applyBorder="1" applyProtection="1"/>
    <xf numFmtId="165" fontId="126" fillId="0" borderId="0" xfId="0" applyNumberFormat="1" applyFont="1" applyFill="1" applyBorder="1"/>
    <xf numFmtId="0" fontId="12" fillId="0" borderId="0" xfId="0" applyNumberFormat="1" applyFont="1" applyAlignment="1" applyProtection="1">
      <alignment horizontal="centerContinuous"/>
    </xf>
    <xf numFmtId="0" fontId="11" fillId="0" borderId="0" xfId="0" applyNumberFormat="1" applyFont="1" applyAlignment="1">
      <alignment horizontal="centerContinuous"/>
    </xf>
    <xf numFmtId="0" fontId="11" fillId="0" borderId="0" xfId="0" quotePrefix="1" applyNumberFormat="1" applyFont="1" applyAlignment="1">
      <alignment horizontal="centerContinuous"/>
    </xf>
    <xf numFmtId="0" fontId="11" fillId="0" borderId="0" xfId="0" quotePrefix="1" applyNumberFormat="1" applyFont="1" applyFill="1" applyAlignment="1">
      <alignment horizontal="centerContinuous"/>
    </xf>
    <xf numFmtId="0" fontId="12" fillId="0" borderId="0" xfId="0" applyNumberFormat="1" applyFont="1" applyAlignment="1" applyProtection="1">
      <alignment horizontal="left"/>
    </xf>
    <xf numFmtId="0" fontId="11" fillId="0" borderId="0" xfId="0" applyNumberFormat="1" applyFont="1" applyAlignment="1">
      <alignment horizontal="left"/>
    </xf>
    <xf numFmtId="0" fontId="11" fillId="0" borderId="0" xfId="0" quotePrefix="1" applyNumberFormat="1" applyFont="1" applyAlignment="1">
      <alignment horizontal="left"/>
    </xf>
    <xf numFmtId="174" fontId="19" fillId="0" borderId="0" xfId="0" applyNumberFormat="1" applyFont="1" applyAlignment="1" applyProtection="1">
      <alignment horizontal="left"/>
    </xf>
    <xf numFmtId="166" fontId="6" fillId="0" borderId="0" xfId="0" applyNumberFormat="1" applyFont="1" applyFill="1" applyBorder="1"/>
    <xf numFmtId="167" fontId="6" fillId="0" borderId="2" xfId="0" applyNumberFormat="1" applyFont="1" applyFill="1" applyBorder="1"/>
    <xf numFmtId="166" fontId="6" fillId="0" borderId="2" xfId="0" applyNumberFormat="1" applyFont="1" applyFill="1" applyBorder="1"/>
    <xf numFmtId="37" fontId="11" fillId="0" borderId="0" xfId="0" applyFont="1" applyBorder="1" applyAlignment="1">
      <alignment horizontal="centerContinuous"/>
    </xf>
    <xf numFmtId="166" fontId="127" fillId="0" borderId="0" xfId="0" applyNumberFormat="1" applyFont="1" applyProtection="1"/>
    <xf numFmtId="165" fontId="127" fillId="0" borderId="0" xfId="0" applyNumberFormat="1" applyFont="1"/>
    <xf numFmtId="165" fontId="127" fillId="0" borderId="0" xfId="0" applyNumberFormat="1" applyFont="1" applyBorder="1"/>
    <xf numFmtId="165" fontId="127" fillId="0" borderId="2" xfId="0" applyNumberFormat="1" applyFont="1" applyBorder="1"/>
    <xf numFmtId="166" fontId="6" fillId="0" borderId="0" xfId="0" applyNumberFormat="1" applyFont="1"/>
    <xf numFmtId="37" fontId="128" fillId="0" borderId="0" xfId="0" applyFont="1" applyFill="1" applyAlignment="1">
      <alignment horizontal="left"/>
    </xf>
    <xf numFmtId="7" fontId="6" fillId="0" borderId="0" xfId="0" applyNumberFormat="1" applyFont="1" applyProtection="1"/>
    <xf numFmtId="169" fontId="6" fillId="0" borderId="0" xfId="0" applyNumberFormat="1" applyFont="1" applyAlignment="1" applyProtection="1">
      <alignment horizontal="left"/>
    </xf>
    <xf numFmtId="39" fontId="128" fillId="0" borderId="0" xfId="0" applyNumberFormat="1" applyFont="1" applyFill="1" applyAlignment="1">
      <alignment horizontal="left"/>
    </xf>
    <xf numFmtId="39" fontId="57" fillId="0" borderId="0" xfId="0" applyNumberFormat="1" applyFont="1"/>
    <xf numFmtId="40" fontId="6" fillId="0" borderId="0" xfId="0" applyNumberFormat="1" applyFont="1"/>
    <xf numFmtId="186" fontId="6" fillId="0" borderId="0" xfId="0" applyNumberFormat="1" applyFont="1"/>
    <xf numFmtId="186" fontId="6" fillId="0" borderId="0" xfId="0" applyNumberFormat="1" applyFont="1" applyFill="1"/>
    <xf numFmtId="40" fontId="6" fillId="0" borderId="2" xfId="0" applyNumberFormat="1" applyFont="1" applyBorder="1"/>
    <xf numFmtId="186" fontId="6" fillId="0" borderId="2" xfId="0" applyNumberFormat="1" applyFont="1" applyBorder="1"/>
    <xf numFmtId="39" fontId="129" fillId="0" borderId="0" xfId="0" applyNumberFormat="1" applyFont="1" applyFill="1" applyAlignment="1">
      <alignment horizontal="left"/>
    </xf>
    <xf numFmtId="186" fontId="6" fillId="0" borderId="2" xfId="0" applyNumberFormat="1" applyFont="1" applyFill="1" applyBorder="1"/>
    <xf numFmtId="40" fontId="57" fillId="0" borderId="0" xfId="35" applyFont="1"/>
    <xf numFmtId="37" fontId="6" fillId="0" borderId="0" xfId="0" applyFont="1" applyFill="1" applyAlignment="1" applyProtection="1">
      <alignment horizontal="left"/>
    </xf>
    <xf numFmtId="37" fontId="57" fillId="0" borderId="0" xfId="0" applyFont="1" applyBorder="1" applyAlignment="1">
      <alignment horizontal="center"/>
    </xf>
    <xf numFmtId="37" fontId="60" fillId="0" borderId="0" xfId="0" applyFont="1" applyBorder="1" applyAlignment="1">
      <alignment horizontal="center"/>
    </xf>
    <xf numFmtId="165" fontId="60" fillId="0" borderId="0" xfId="0" applyNumberFormat="1" applyFont="1" applyBorder="1" applyAlignment="1">
      <alignment horizontal="center"/>
    </xf>
    <xf numFmtId="7" fontId="6" fillId="0" borderId="0" xfId="0" applyNumberFormat="1" applyFont="1" applyFill="1" applyProtection="1"/>
    <xf numFmtId="39" fontId="19" fillId="0" borderId="0" xfId="0" applyNumberFormat="1" applyFont="1" applyFill="1" applyAlignment="1">
      <alignment horizontal="center"/>
    </xf>
    <xf numFmtId="39" fontId="123" fillId="0" borderId="0" xfId="0" applyNumberFormat="1" applyFont="1" applyFill="1" applyBorder="1" applyAlignment="1" applyProtection="1">
      <alignment horizontal="right"/>
    </xf>
    <xf numFmtId="8" fontId="57" fillId="0" borderId="0" xfId="0" applyNumberFormat="1" applyFont="1" applyBorder="1" applyAlignment="1">
      <alignment horizontal="center"/>
    </xf>
    <xf numFmtId="8" fontId="57" fillId="0" borderId="0" xfId="0" applyNumberFormat="1" applyFont="1" applyBorder="1" applyAlignment="1">
      <alignment horizontal="right"/>
    </xf>
    <xf numFmtId="40" fontId="6" fillId="0" borderId="0" xfId="0" applyNumberFormat="1" applyFont="1" applyFill="1"/>
    <xf numFmtId="248" fontId="19" fillId="0" borderId="0" xfId="0" applyNumberFormat="1" applyFont="1" applyFill="1" applyAlignment="1">
      <alignment horizontal="center"/>
    </xf>
    <xf numFmtId="39" fontId="19" fillId="0" borderId="0" xfId="0" applyNumberFormat="1" applyFont="1" applyFill="1" applyBorder="1" applyAlignment="1" applyProtection="1">
      <alignment horizontal="right"/>
    </xf>
    <xf numFmtId="40" fontId="6" fillId="0" borderId="2" xfId="0" applyNumberFormat="1" applyFont="1" applyFill="1" applyBorder="1"/>
    <xf numFmtId="39" fontId="123" fillId="0" borderId="0" xfId="0" applyNumberFormat="1" applyFont="1" applyFill="1" applyAlignment="1">
      <alignment horizontal="center"/>
    </xf>
    <xf numFmtId="167" fontId="128" fillId="0" borderId="0" xfId="0" applyNumberFormat="1" applyFont="1" applyFill="1" applyAlignment="1">
      <alignment horizontal="left"/>
    </xf>
    <xf numFmtId="177" fontId="19" fillId="0" borderId="0" xfId="76" applyNumberFormat="1" applyFont="1" applyFill="1" applyAlignment="1">
      <alignment horizontal="center"/>
    </xf>
    <xf numFmtId="39" fontId="25" fillId="0" borderId="0" xfId="0" applyNumberFormat="1" applyFont="1" applyFill="1" applyAlignment="1">
      <alignment horizontal="center"/>
    </xf>
    <xf numFmtId="209" fontId="57" fillId="0" borderId="0" xfId="35" applyNumberFormat="1" applyFont="1" applyBorder="1" applyAlignment="1">
      <alignment horizontal="left"/>
    </xf>
    <xf numFmtId="8" fontId="6" fillId="0" borderId="0" xfId="39" applyFont="1"/>
    <xf numFmtId="248" fontId="6" fillId="0" borderId="0" xfId="0" applyNumberFormat="1" applyFont="1" applyFill="1" applyAlignment="1">
      <alignment horizontal="centerContinuous"/>
    </xf>
    <xf numFmtId="37" fontId="128" fillId="0" borderId="0" xfId="0" applyFont="1" applyFill="1" applyAlignment="1">
      <alignment horizontal="right"/>
    </xf>
    <xf numFmtId="7" fontId="6" fillId="0" borderId="0" xfId="0" applyNumberFormat="1" applyFont="1" applyBorder="1" applyProtection="1"/>
    <xf numFmtId="169" fontId="6" fillId="0" borderId="0" xfId="0" applyNumberFormat="1" applyFont="1" applyBorder="1" applyAlignment="1" applyProtection="1">
      <alignment horizontal="left"/>
    </xf>
    <xf numFmtId="39" fontId="128" fillId="0" borderId="0" xfId="0" applyNumberFormat="1" applyFont="1" applyFill="1"/>
    <xf numFmtId="40" fontId="6" fillId="0" borderId="0" xfId="0" applyNumberFormat="1" applyFont="1" applyBorder="1"/>
    <xf numFmtId="176" fontId="6" fillId="0" borderId="0" xfId="0" applyNumberFormat="1" applyFont="1" applyBorder="1" applyAlignment="1" applyProtection="1">
      <alignment horizontal="left"/>
    </xf>
    <xf numFmtId="248" fontId="128" fillId="0" borderId="0" xfId="0" applyNumberFormat="1" applyFont="1" applyFill="1"/>
    <xf numFmtId="39" fontId="129" fillId="0" borderId="0" xfId="0" applyNumberFormat="1" applyFont="1" applyFill="1"/>
    <xf numFmtId="40" fontId="6" fillId="0" borderId="0" xfId="35" applyFont="1" applyBorder="1"/>
    <xf numFmtId="8" fontId="6" fillId="0" borderId="0" xfId="39" applyFont="1" applyBorder="1"/>
    <xf numFmtId="37" fontId="6" fillId="0" borderId="0" xfId="0" applyFont="1" applyBorder="1" applyAlignment="1" applyProtection="1">
      <alignment horizontal="centerContinuous"/>
    </xf>
    <xf numFmtId="37" fontId="6" fillId="0" borderId="0" xfId="0" applyFont="1" applyBorder="1" applyAlignment="1">
      <alignment horizontal="centerContinuous"/>
    </xf>
    <xf numFmtId="37" fontId="6" fillId="0" borderId="0" xfId="0" applyFont="1" applyFill="1" applyBorder="1" applyAlignment="1" applyProtection="1">
      <alignment horizontal="centerContinuous"/>
    </xf>
    <xf numFmtId="37" fontId="6" fillId="0" borderId="0" xfId="0" applyFont="1" applyFill="1" applyBorder="1" applyAlignment="1">
      <alignment horizontal="centerContinuous"/>
    </xf>
    <xf numFmtId="165" fontId="6" fillId="0" borderId="0" xfId="0" applyNumberFormat="1" applyFont="1" applyFill="1" applyBorder="1" applyAlignment="1" applyProtection="1">
      <alignment horizontal="centerContinuous"/>
    </xf>
    <xf numFmtId="39" fontId="6" fillId="0" borderId="0" xfId="0" applyNumberFormat="1" applyFont="1" applyFill="1" applyBorder="1" applyAlignment="1">
      <alignment horizontal="centerContinuous"/>
    </xf>
    <xf numFmtId="185" fontId="125" fillId="0" borderId="0" xfId="39" applyNumberFormat="1" applyFont="1" applyFill="1" applyBorder="1" applyAlignment="1" applyProtection="1">
      <alignment horizontal="center"/>
    </xf>
    <xf numFmtId="37" fontId="122" fillId="0" borderId="0" xfId="0" applyFont="1" applyBorder="1" applyAlignment="1" applyProtection="1">
      <alignment horizontal="center"/>
    </xf>
    <xf numFmtId="37" fontId="11" fillId="0" borderId="0" xfId="0" applyFont="1" applyBorder="1" applyAlignment="1"/>
    <xf numFmtId="37" fontId="12" fillId="0" borderId="0" xfId="0" applyFont="1" applyBorder="1" applyAlignment="1" applyProtection="1">
      <alignment horizontal="centerContinuous"/>
    </xf>
    <xf numFmtId="37" fontId="12" fillId="0" borderId="0" xfId="0" applyFont="1" applyAlignment="1">
      <alignment horizontal="centerContinuous"/>
    </xf>
    <xf numFmtId="37" fontId="6" fillId="0" borderId="0" xfId="0" applyFont="1" applyAlignment="1">
      <alignment horizontal="centerContinuous"/>
    </xf>
    <xf numFmtId="39" fontId="6" fillId="0" borderId="0" xfId="0" applyNumberFormat="1" applyFont="1" applyBorder="1" applyAlignment="1" applyProtection="1">
      <alignment horizontal="centerContinuous"/>
    </xf>
    <xf numFmtId="165" fontId="6" fillId="0" borderId="0" xfId="0" applyNumberFormat="1" applyFont="1" applyBorder="1" applyAlignment="1" applyProtection="1">
      <alignment horizontal="centerContinuous"/>
    </xf>
    <xf numFmtId="39" fontId="6" fillId="0" borderId="0" xfId="0" applyNumberFormat="1" applyFont="1" applyFill="1" applyBorder="1" applyAlignment="1" applyProtection="1">
      <alignment horizontal="centerContinuous"/>
    </xf>
    <xf numFmtId="37" fontId="6" fillId="0" borderId="0" xfId="0" applyFont="1" applyBorder="1" applyAlignment="1">
      <alignment horizontal="right"/>
    </xf>
    <xf numFmtId="37" fontId="19" fillId="0" borderId="0" xfId="0" quotePrefix="1" applyFont="1" applyBorder="1" applyAlignment="1">
      <alignment horizontal="center"/>
    </xf>
    <xf numFmtId="39" fontId="6" fillId="0" borderId="0" xfId="0" applyNumberFormat="1" applyFont="1" applyAlignment="1" applyProtection="1">
      <alignment horizontal="left"/>
    </xf>
    <xf numFmtId="39" fontId="19" fillId="0" borderId="0" xfId="0" applyNumberFormat="1" applyFont="1" applyAlignment="1" applyProtection="1">
      <alignment horizontal="right"/>
    </xf>
    <xf numFmtId="9" fontId="19" fillId="0" borderId="0" xfId="76" applyFont="1" applyAlignment="1" applyProtection="1">
      <alignment horizontal="right"/>
    </xf>
    <xf numFmtId="39" fontId="19" fillId="0" borderId="0" xfId="0" applyNumberFormat="1" applyFont="1" applyBorder="1" applyAlignment="1" applyProtection="1">
      <alignment horizontal="right"/>
    </xf>
    <xf numFmtId="7" fontId="57" fillId="0" borderId="0" xfId="0" applyNumberFormat="1" applyFont="1" applyBorder="1" applyProtection="1"/>
    <xf numFmtId="39" fontId="57" fillId="0" borderId="0" xfId="0" applyNumberFormat="1" applyFont="1" applyBorder="1" applyAlignment="1" applyProtection="1">
      <alignment horizontal="right"/>
    </xf>
    <xf numFmtId="40" fontId="57" fillId="0" borderId="0" xfId="0" applyNumberFormat="1" applyFont="1" applyFill="1" applyBorder="1"/>
    <xf numFmtId="40" fontId="19" fillId="0" borderId="0" xfId="0" applyNumberFormat="1" applyFont="1" applyBorder="1"/>
    <xf numFmtId="177" fontId="19" fillId="0" borderId="0" xfId="76" applyNumberFormat="1" applyFont="1" applyBorder="1"/>
    <xf numFmtId="40" fontId="29" fillId="0" borderId="0" xfId="0" applyNumberFormat="1" applyFont="1" applyBorder="1"/>
    <xf numFmtId="40" fontId="19" fillId="0" borderId="0" xfId="35" applyFont="1" applyAlignment="1" applyProtection="1">
      <alignment horizontal="left"/>
    </xf>
    <xf numFmtId="40" fontId="57" fillId="0" borderId="0" xfId="0" applyNumberFormat="1" applyFont="1" applyBorder="1"/>
    <xf numFmtId="39" fontId="123" fillId="0" borderId="0" xfId="0" applyNumberFormat="1" applyFont="1" applyAlignment="1" applyProtection="1">
      <alignment horizontal="right"/>
    </xf>
    <xf numFmtId="39" fontId="123" fillId="0" borderId="0" xfId="0" applyNumberFormat="1" applyFont="1" applyBorder="1" applyAlignment="1" applyProtection="1">
      <alignment horizontal="right"/>
    </xf>
    <xf numFmtId="40" fontId="130" fillId="0" borderId="0" xfId="0" applyNumberFormat="1" applyFont="1" applyBorder="1"/>
    <xf numFmtId="37" fontId="6" fillId="0" borderId="0" xfId="0" applyFont="1" applyBorder="1" applyAlignment="1" applyProtection="1">
      <alignment horizontal="left"/>
    </xf>
    <xf numFmtId="39" fontId="6" fillId="0" borderId="0" xfId="0" applyNumberFormat="1" applyFont="1" applyBorder="1" applyAlignment="1" applyProtection="1">
      <alignment horizontal="left"/>
    </xf>
    <xf numFmtId="248" fontId="19" fillId="0" borderId="0" xfId="0" applyNumberFormat="1" applyFont="1" applyFill="1" applyBorder="1" applyAlignment="1" applyProtection="1">
      <alignment horizontal="right"/>
    </xf>
    <xf numFmtId="7" fontId="19" fillId="0" borderId="0" xfId="0" applyNumberFormat="1" applyFont="1" applyBorder="1" applyProtection="1"/>
    <xf numFmtId="7" fontId="29" fillId="0" borderId="0" xfId="0" applyNumberFormat="1" applyFont="1" applyBorder="1" applyProtection="1"/>
    <xf numFmtId="39" fontId="6" fillId="0" borderId="0" xfId="0" applyNumberFormat="1" applyFont="1" applyFill="1" applyBorder="1" applyAlignment="1" applyProtection="1">
      <alignment horizontal="left"/>
    </xf>
    <xf numFmtId="37" fontId="6" fillId="0" borderId="0" xfId="0" quotePrefix="1" applyFont="1" applyBorder="1" applyAlignment="1">
      <alignment horizontal="right"/>
    </xf>
    <xf numFmtId="40" fontId="29" fillId="0" borderId="0" xfId="0" applyNumberFormat="1" applyFont="1" applyBorder="1" applyAlignment="1">
      <alignment horizontal="right"/>
    </xf>
    <xf numFmtId="40" fontId="6" fillId="0" borderId="0" xfId="0" applyNumberFormat="1" applyFont="1" applyAlignment="1">
      <alignment horizontal="right"/>
    </xf>
    <xf numFmtId="40" fontId="6" fillId="0" borderId="0" xfId="0" applyNumberFormat="1" applyFont="1" applyFill="1" applyAlignment="1">
      <alignment horizontal="right"/>
    </xf>
    <xf numFmtId="40" fontId="6" fillId="0" borderId="0" xfId="35" quotePrefix="1" applyFont="1"/>
    <xf numFmtId="40" fontId="6" fillId="0" borderId="0" xfId="35" quotePrefix="1" applyFont="1" applyFill="1"/>
    <xf numFmtId="39" fontId="11" fillId="0" borderId="0" xfId="0" applyNumberFormat="1" applyFont="1" applyBorder="1" applyAlignment="1">
      <alignment horizontal="centerContinuous"/>
    </xf>
    <xf numFmtId="165" fontId="19" fillId="0" borderId="0" xfId="0" applyNumberFormat="1" applyFont="1" applyFill="1" applyProtection="1"/>
    <xf numFmtId="165" fontId="6" fillId="0" borderId="0" xfId="0" applyNumberFormat="1" applyFont="1" applyFill="1" applyProtection="1"/>
    <xf numFmtId="165" fontId="19" fillId="0" borderId="2" xfId="0" applyNumberFormat="1" applyFont="1" applyFill="1" applyBorder="1" applyProtection="1"/>
    <xf numFmtId="165" fontId="14" fillId="0" borderId="0" xfId="0" applyNumberFormat="1" applyFont="1" applyFill="1"/>
    <xf numFmtId="167" fontId="14" fillId="0" borderId="0" xfId="0" applyNumberFormat="1" applyFont="1" applyFill="1"/>
    <xf numFmtId="165" fontId="6" fillId="0" borderId="2" xfId="0" applyNumberFormat="1" applyFont="1" applyFill="1" applyBorder="1" applyProtection="1"/>
    <xf numFmtId="165" fontId="6" fillId="0" borderId="0" xfId="0" applyNumberFormat="1" applyFont="1" applyProtection="1"/>
    <xf numFmtId="10" fontId="6" fillId="0" borderId="0" xfId="0" quotePrefix="1" applyNumberFormat="1" applyFont="1" applyFill="1"/>
    <xf numFmtId="165" fontId="6" fillId="0" borderId="2" xfId="0" applyNumberFormat="1" applyFont="1" applyBorder="1" applyProtection="1"/>
    <xf numFmtId="165" fontId="19" fillId="0" borderId="0" xfId="0" applyNumberFormat="1" applyFont="1" applyFill="1" applyBorder="1" applyProtection="1"/>
    <xf numFmtId="40" fontId="19" fillId="0" borderId="0" xfId="0" applyNumberFormat="1" applyFont="1"/>
    <xf numFmtId="9" fontId="6" fillId="0" borderId="0" xfId="76" applyNumberFormat="1" applyFont="1" applyAlignment="1">
      <alignment horizontal="center"/>
    </xf>
    <xf numFmtId="7" fontId="19" fillId="0" borderId="0" xfId="0" applyNumberFormat="1" applyFont="1" applyFill="1" applyBorder="1" applyProtection="1"/>
    <xf numFmtId="184" fontId="19" fillId="0" borderId="0" xfId="0" applyNumberFormat="1" applyFont="1" applyFill="1" applyBorder="1" applyProtection="1"/>
    <xf numFmtId="177" fontId="6" fillId="0" borderId="0" xfId="76" applyNumberFormat="1" applyFont="1" applyFill="1" applyAlignment="1">
      <alignment horizontal="right"/>
    </xf>
    <xf numFmtId="187" fontId="19" fillId="0" borderId="0" xfId="0" applyNumberFormat="1" applyFont="1" applyFill="1"/>
    <xf numFmtId="40" fontId="19" fillId="0" borderId="0" xfId="0" applyNumberFormat="1" applyFont="1" applyFill="1"/>
    <xf numFmtId="40" fontId="19" fillId="0" borderId="2" xfId="0" applyNumberFormat="1" applyFont="1" applyBorder="1"/>
    <xf numFmtId="187" fontId="19" fillId="0" borderId="2" xfId="0" applyNumberFormat="1" applyFont="1" applyFill="1" applyBorder="1"/>
    <xf numFmtId="40" fontId="19" fillId="0" borderId="2" xfId="0" applyNumberFormat="1" applyFont="1" applyFill="1" applyBorder="1"/>
    <xf numFmtId="8" fontId="19" fillId="0" borderId="0" xfId="0" applyNumberFormat="1" applyFont="1"/>
    <xf numFmtId="8" fontId="19" fillId="0" borderId="0" xfId="0" applyNumberFormat="1" applyFont="1" applyFill="1"/>
    <xf numFmtId="40" fontId="67" fillId="0" borderId="0" xfId="0" applyNumberFormat="1" applyFont="1"/>
    <xf numFmtId="0" fontId="6" fillId="0" borderId="0" xfId="69" applyFont="1"/>
    <xf numFmtId="182" fontId="6" fillId="0" borderId="0" xfId="67" applyFont="1"/>
    <xf numFmtId="37" fontId="6" fillId="0" borderId="0" xfId="67" applyNumberFormat="1" applyFont="1" applyAlignment="1" applyProtection="1"/>
    <xf numFmtId="182" fontId="6" fillId="0" borderId="0" xfId="67" applyFont="1" applyBorder="1"/>
    <xf numFmtId="182" fontId="11" fillId="0" borderId="0" xfId="62" applyFont="1" applyBorder="1" applyAlignment="1">
      <alignment horizontal="center"/>
    </xf>
    <xf numFmtId="182" fontId="6" fillId="0" borderId="2" xfId="67" applyFont="1" applyBorder="1"/>
    <xf numFmtId="37" fontId="6" fillId="0" borderId="2" xfId="67" applyNumberFormat="1" applyFont="1" applyBorder="1" applyAlignment="1" applyProtection="1"/>
    <xf numFmtId="37" fontId="6" fillId="0" borderId="0" xfId="67" applyNumberFormat="1" applyFont="1" applyAlignment="1"/>
    <xf numFmtId="3" fontId="6" fillId="0" borderId="0" xfId="67" applyNumberFormat="1" applyFont="1"/>
    <xf numFmtId="3" fontId="6" fillId="0" borderId="0" xfId="67" applyNumberFormat="1" applyFont="1" applyBorder="1"/>
    <xf numFmtId="182" fontId="6" fillId="0" borderId="0" xfId="62" applyFont="1"/>
    <xf numFmtId="182" fontId="11" fillId="0" borderId="28" xfId="67" applyFont="1" applyBorder="1" applyAlignment="1">
      <alignment horizontal="centerContinuous"/>
    </xf>
    <xf numFmtId="182" fontId="11" fillId="0" borderId="7" xfId="67" applyFont="1" applyBorder="1" applyAlignment="1">
      <alignment horizontal="centerContinuous"/>
    </xf>
    <xf numFmtId="37" fontId="11" fillId="0" borderId="7" xfId="67" applyNumberFormat="1" applyFont="1" applyBorder="1" applyAlignment="1">
      <alignment horizontal="centerContinuous"/>
    </xf>
    <xf numFmtId="182" fontId="11" fillId="0" borderId="7" xfId="62" applyFont="1" applyBorder="1" applyAlignment="1">
      <alignment horizontal="centerContinuous"/>
    </xf>
    <xf numFmtId="182" fontId="11" fillId="0" borderId="29" xfId="62" applyFont="1" applyBorder="1" applyAlignment="1">
      <alignment horizontal="centerContinuous"/>
    </xf>
    <xf numFmtId="182" fontId="6" fillId="0" borderId="7" xfId="67" applyFont="1" applyBorder="1" applyAlignment="1">
      <alignment horizontal="centerContinuous"/>
    </xf>
    <xf numFmtId="182" fontId="6" fillId="0" borderId="29" xfId="67" applyFont="1" applyBorder="1" applyAlignment="1">
      <alignment horizontal="centerContinuous"/>
    </xf>
    <xf numFmtId="182" fontId="11" fillId="0" borderId="0" xfId="67" applyFont="1"/>
    <xf numFmtId="182" fontId="11" fillId="0" borderId="2" xfId="67" applyFont="1" applyBorder="1"/>
    <xf numFmtId="182" fontId="11" fillId="0" borderId="2" xfId="67" applyFont="1" applyBorder="1" applyAlignment="1" applyProtection="1">
      <alignment horizontal="center"/>
    </xf>
    <xf numFmtId="182" fontId="11" fillId="0" borderId="0" xfId="67" applyFont="1" applyAlignment="1" applyProtection="1">
      <alignment horizontal="center"/>
    </xf>
    <xf numFmtId="37" fontId="11" fillId="0" borderId="0" xfId="67" applyNumberFormat="1" applyFont="1" applyBorder="1" applyAlignment="1" applyProtection="1">
      <alignment horizontal="centerContinuous"/>
    </xf>
    <xf numFmtId="182" fontId="11" fillId="0" borderId="0" xfId="67" applyFont="1" applyBorder="1" applyAlignment="1">
      <alignment horizontal="centerContinuous"/>
    </xf>
    <xf numFmtId="182" fontId="67" fillId="0" borderId="0" xfId="67" applyFont="1" applyFill="1" applyBorder="1" applyAlignment="1">
      <alignment horizontal="centerContinuous"/>
    </xf>
    <xf numFmtId="182" fontId="11" fillId="0" borderId="2" xfId="67" applyFont="1" applyBorder="1" applyAlignment="1" applyProtection="1">
      <alignment horizontal="centerContinuous" wrapText="1"/>
    </xf>
    <xf numFmtId="182" fontId="11" fillId="0" borderId="2" xfId="67" applyFont="1" applyBorder="1" applyAlignment="1">
      <alignment horizontal="centerContinuous" wrapText="1"/>
    </xf>
    <xf numFmtId="182" fontId="11" fillId="0" borderId="0" xfId="67" applyFont="1" applyBorder="1"/>
    <xf numFmtId="182" fontId="11" fillId="0" borderId="2" xfId="67" applyFont="1" applyBorder="1" applyAlignment="1" applyProtection="1">
      <alignment horizontal="centerContinuous"/>
    </xf>
    <xf numFmtId="182" fontId="11" fillId="0" borderId="2" xfId="67" applyFont="1" applyBorder="1" applyAlignment="1">
      <alignment horizontal="centerContinuous"/>
    </xf>
    <xf numFmtId="182" fontId="11" fillId="0" borderId="0" xfId="67" applyFont="1" applyBorder="1" applyAlignment="1"/>
    <xf numFmtId="182" fontId="11" fillId="0" borderId="0" xfId="67" applyFont="1" applyAlignment="1" applyProtection="1">
      <alignment horizontal="left"/>
    </xf>
    <xf numFmtId="182" fontId="11" fillId="0" borderId="0" xfId="67" applyFont="1" applyBorder="1" applyAlignment="1" applyProtection="1">
      <alignment horizontal="center"/>
    </xf>
    <xf numFmtId="182" fontId="11" fillId="0" borderId="0" xfId="62" applyFont="1" applyAlignment="1">
      <alignment horizontal="center"/>
    </xf>
    <xf numFmtId="182" fontId="6" fillId="0" borderId="0" xfId="67" applyFont="1" applyAlignment="1">
      <alignment horizontal="right"/>
    </xf>
    <xf numFmtId="182" fontId="11" fillId="0" borderId="0" xfId="67" applyFont="1" applyAlignment="1">
      <alignment horizontal="center"/>
    </xf>
    <xf numFmtId="182" fontId="12" fillId="0" borderId="0" xfId="67" applyFont="1"/>
    <xf numFmtId="182" fontId="11" fillId="0" borderId="7" xfId="67" applyFont="1" applyBorder="1" applyAlignment="1" applyProtection="1">
      <alignment horizontal="center"/>
    </xf>
    <xf numFmtId="37" fontId="11" fillId="0" borderId="2" xfId="67" applyNumberFormat="1" applyFont="1" applyBorder="1" applyAlignment="1" applyProtection="1">
      <alignment horizontal="centerContinuous"/>
    </xf>
    <xf numFmtId="182" fontId="11" fillId="0" borderId="2" xfId="62" applyFont="1" applyBorder="1" applyAlignment="1">
      <alignment horizontal="center"/>
    </xf>
    <xf numFmtId="182" fontId="12" fillId="0" borderId="0" xfId="62" applyFont="1"/>
    <xf numFmtId="182" fontId="6" fillId="0" borderId="0" xfId="67" applyFont="1" applyBorder="1" applyAlignment="1">
      <alignment horizontal="center"/>
    </xf>
    <xf numFmtId="182" fontId="11" fillId="0" borderId="2" xfId="67" applyFont="1" applyBorder="1" applyAlignment="1">
      <alignment horizontal="center"/>
    </xf>
    <xf numFmtId="182" fontId="11" fillId="0" borderId="0" xfId="67" applyFont="1" applyFill="1"/>
    <xf numFmtId="182" fontId="11" fillId="0" borderId="0" xfId="67" applyFont="1" applyFill="1" applyBorder="1" applyAlignment="1" applyProtection="1">
      <alignment horizontal="center"/>
    </xf>
    <xf numFmtId="182" fontId="11" fillId="0" borderId="0" xfId="67" applyFont="1" applyFill="1" applyBorder="1"/>
    <xf numFmtId="182" fontId="11" fillId="0" borderId="0" xfId="67" quotePrefix="1" applyFont="1" applyFill="1" applyBorder="1" applyAlignment="1" applyProtection="1">
      <alignment horizontal="center"/>
    </xf>
    <xf numFmtId="182" fontId="11" fillId="0" borderId="0" xfId="67" quotePrefix="1" applyFont="1" applyFill="1" applyAlignment="1" applyProtection="1">
      <alignment horizontal="center"/>
    </xf>
    <xf numFmtId="37" fontId="11" fillId="0" borderId="0" xfId="67" quotePrefix="1" applyNumberFormat="1" applyFont="1" applyFill="1" applyBorder="1" applyAlignment="1" applyProtection="1">
      <alignment horizontal="centerContinuous"/>
    </xf>
    <xf numFmtId="182" fontId="11" fillId="0" borderId="0" xfId="67" applyFont="1" applyFill="1" applyBorder="1" applyAlignment="1">
      <alignment horizontal="centerContinuous"/>
    </xf>
    <xf numFmtId="37" fontId="11" fillId="0" borderId="0" xfId="67" quotePrefix="1" applyNumberFormat="1" applyFont="1" applyFill="1" applyBorder="1" applyAlignment="1" applyProtection="1">
      <alignment horizontal="center"/>
    </xf>
    <xf numFmtId="182" fontId="117" fillId="0" borderId="0" xfId="67" quotePrefix="1" applyFont="1" applyFill="1" applyAlignment="1" applyProtection="1">
      <alignment horizontal="center"/>
    </xf>
    <xf numFmtId="182" fontId="10" fillId="0" borderId="0" xfId="62" applyFont="1" applyFill="1"/>
    <xf numFmtId="182" fontId="14" fillId="0" borderId="0" xfId="67" applyFont="1" applyBorder="1" applyAlignment="1">
      <alignment horizontal="center"/>
    </xf>
    <xf numFmtId="165" fontId="14" fillId="0" borderId="0" xfId="67" applyNumberFormat="1" applyFont="1" applyAlignment="1" applyProtection="1">
      <alignment horizontal="centerContinuous"/>
    </xf>
    <xf numFmtId="182" fontId="6" fillId="0" borderId="0" xfId="67" applyFont="1" applyAlignment="1">
      <alignment horizontal="centerContinuous"/>
    </xf>
    <xf numFmtId="165" fontId="6" fillId="0" borderId="0" xfId="67" applyNumberFormat="1" applyFont="1" applyAlignment="1" applyProtection="1">
      <alignment horizontal="centerContinuous"/>
    </xf>
    <xf numFmtId="165" fontId="12" fillId="0" borderId="0" xfId="67" applyNumberFormat="1" applyFont="1" applyAlignment="1" applyProtection="1">
      <alignment horizontal="center"/>
    </xf>
    <xf numFmtId="37" fontId="6" fillId="0" borderId="0" xfId="67" applyNumberFormat="1" applyFont="1" applyAlignment="1" applyProtection="1">
      <alignment horizontal="centerContinuous"/>
    </xf>
    <xf numFmtId="37" fontId="6" fillId="0" borderId="0" xfId="67" applyNumberFormat="1" applyFont="1" applyBorder="1" applyAlignment="1"/>
    <xf numFmtId="182" fontId="6" fillId="0" borderId="0" xfId="67" applyFont="1" applyBorder="1" applyAlignment="1">
      <alignment horizontal="centerContinuous"/>
    </xf>
    <xf numFmtId="182" fontId="11" fillId="0" borderId="0" xfId="62" applyFont="1" applyAlignment="1">
      <alignment horizontal="centerContinuous"/>
    </xf>
    <xf numFmtId="182" fontId="6" fillId="0" borderId="0" xfId="67" applyFont="1" applyAlignment="1" applyProtection="1">
      <alignment horizontal="left"/>
    </xf>
    <xf numFmtId="165" fontId="6" fillId="0" borderId="0" xfId="67" applyNumberFormat="1" applyFont="1" applyProtection="1"/>
    <xf numFmtId="182" fontId="6" fillId="0" borderId="0" xfId="67" applyFont="1" applyProtection="1"/>
    <xf numFmtId="37" fontId="6" fillId="0" borderId="0" xfId="67" applyNumberFormat="1" applyFont="1" applyProtection="1"/>
    <xf numFmtId="37" fontId="6" fillId="0" borderId="0" xfId="67" applyNumberFormat="1" applyFont="1" applyBorder="1" applyAlignment="1" applyProtection="1"/>
    <xf numFmtId="182" fontId="6" fillId="0" borderId="0" xfId="67" applyFont="1" applyBorder="1" applyAlignment="1" applyProtection="1">
      <alignment horizontal="left"/>
    </xf>
    <xf numFmtId="166" fontId="6" fillId="0" borderId="0" xfId="67" applyNumberFormat="1" applyFont="1" applyProtection="1"/>
    <xf numFmtId="166" fontId="6" fillId="0" borderId="0" xfId="67" applyNumberFormat="1" applyFont="1" applyBorder="1" applyProtection="1"/>
    <xf numFmtId="7" fontId="6" fillId="0" borderId="0" xfId="62" applyNumberFormat="1" applyFont="1"/>
    <xf numFmtId="182" fontId="6" fillId="0" borderId="0" xfId="67" applyFont="1" applyBorder="1" applyProtection="1"/>
    <xf numFmtId="37" fontId="6" fillId="0" borderId="0" xfId="67" applyNumberFormat="1" applyFont="1" applyBorder="1" applyProtection="1"/>
    <xf numFmtId="7" fontId="6" fillId="0" borderId="0" xfId="62" applyNumberFormat="1" applyFont="1" applyBorder="1"/>
    <xf numFmtId="182" fontId="6" fillId="0" borderId="0" xfId="62" applyFont="1" applyBorder="1"/>
    <xf numFmtId="165" fontId="6" fillId="0" borderId="2" xfId="67" applyNumberFormat="1" applyFont="1" applyBorder="1" applyProtection="1"/>
    <xf numFmtId="37" fontId="6" fillId="0" borderId="2" xfId="67" applyNumberFormat="1" applyFont="1" applyBorder="1" applyProtection="1"/>
    <xf numFmtId="182" fontId="6" fillId="0" borderId="2" xfId="67" applyFont="1" applyBorder="1" applyProtection="1"/>
    <xf numFmtId="7" fontId="6" fillId="0" borderId="2" xfId="62" applyNumberFormat="1" applyFont="1" applyBorder="1"/>
    <xf numFmtId="182" fontId="11" fillId="0" borderId="0" xfId="67" applyFont="1" applyAlignment="1"/>
    <xf numFmtId="165" fontId="11" fillId="0" borderId="0" xfId="67" applyNumberFormat="1" applyFont="1" applyAlignment="1" applyProtection="1"/>
    <xf numFmtId="37" fontId="11" fillId="0" borderId="0" xfId="67" applyNumberFormat="1" applyFont="1" applyAlignment="1" applyProtection="1"/>
    <xf numFmtId="37" fontId="11" fillId="0" borderId="0" xfId="67" applyNumberFormat="1" applyFont="1" applyBorder="1" applyAlignment="1"/>
    <xf numFmtId="37" fontId="11" fillId="0" borderId="0" xfId="67" applyNumberFormat="1" applyFont="1" applyBorder="1" applyAlignment="1" applyProtection="1"/>
    <xf numFmtId="166" fontId="6" fillId="0" borderId="0" xfId="62" applyNumberFormat="1" applyFont="1" applyBorder="1"/>
    <xf numFmtId="9" fontId="11" fillId="0" borderId="0" xfId="76" applyFont="1"/>
    <xf numFmtId="191" fontId="6" fillId="0" borderId="0" xfId="71" applyNumberFormat="1" applyFont="1" applyProtection="1"/>
    <xf numFmtId="182" fontId="11" fillId="0" borderId="0" xfId="62" applyFont="1" applyBorder="1" applyAlignment="1">
      <alignment horizontal="centerContinuous"/>
    </xf>
    <xf numFmtId="165" fontId="6" fillId="0" borderId="0" xfId="67" applyNumberFormat="1" applyFont="1" applyBorder="1" applyProtection="1"/>
    <xf numFmtId="191" fontId="6" fillId="0" borderId="0" xfId="71" applyNumberFormat="1" applyFont="1" applyBorder="1" applyProtection="1"/>
    <xf numFmtId="191" fontId="6" fillId="0" borderId="2" xfId="71" applyNumberFormat="1" applyFont="1" applyBorder="1" applyProtection="1"/>
    <xf numFmtId="191" fontId="14" fillId="0" borderId="0" xfId="71" applyNumberFormat="1" applyFont="1" applyBorder="1" applyProtection="1"/>
    <xf numFmtId="177" fontId="6" fillId="0" borderId="0" xfId="76" applyNumberFormat="1" applyFont="1" applyBorder="1"/>
    <xf numFmtId="40" fontId="6" fillId="0" borderId="2" xfId="35" applyFont="1" applyBorder="1"/>
    <xf numFmtId="191" fontId="14" fillId="0" borderId="0" xfId="71" applyNumberFormat="1" applyFont="1" applyProtection="1"/>
    <xf numFmtId="165" fontId="12" fillId="0" borderId="0" xfId="67" quotePrefix="1" applyNumberFormat="1" applyFont="1" applyAlignment="1" applyProtection="1">
      <alignment horizontal="center"/>
    </xf>
    <xf numFmtId="171" fontId="6" fillId="0" borderId="0" xfId="67" applyNumberFormat="1" applyFont="1"/>
    <xf numFmtId="1" fontId="6" fillId="0" borderId="0" xfId="67" applyNumberFormat="1" applyFont="1" applyBorder="1" applyAlignment="1" applyProtection="1">
      <alignment horizontal="right"/>
    </xf>
    <xf numFmtId="1" fontId="6" fillId="0" borderId="0" xfId="67" applyNumberFormat="1" applyFont="1"/>
    <xf numFmtId="1" fontId="6" fillId="0" borderId="0" xfId="67" applyNumberFormat="1" applyFont="1" applyBorder="1"/>
    <xf numFmtId="1" fontId="6" fillId="0" borderId="0" xfId="67" applyNumberFormat="1" applyFont="1" applyAlignment="1" applyProtection="1">
      <alignment horizontal="right"/>
    </xf>
    <xf numFmtId="171" fontId="6" fillId="0" borderId="2" xfId="67" applyNumberFormat="1" applyFont="1" applyBorder="1"/>
    <xf numFmtId="182" fontId="12" fillId="0" borderId="0" xfId="67" applyFont="1" applyBorder="1" applyAlignment="1" applyProtection="1">
      <alignment horizontal="center"/>
    </xf>
    <xf numFmtId="1" fontId="11" fillId="0" borderId="0" xfId="67" applyNumberFormat="1" applyFont="1" applyBorder="1" applyAlignment="1"/>
    <xf numFmtId="182" fontId="6" fillId="0" borderId="0" xfId="67" applyFont="1" applyBorder="1" applyAlignment="1"/>
    <xf numFmtId="178" fontId="10" fillId="0" borderId="0" xfId="0" applyNumberFormat="1" applyFont="1"/>
    <xf numFmtId="171" fontId="10" fillId="0" borderId="0" xfId="67" applyNumberFormat="1" applyFont="1"/>
    <xf numFmtId="165" fontId="10" fillId="0" borderId="0" xfId="67" applyNumberFormat="1" applyFont="1" applyBorder="1" applyProtection="1"/>
    <xf numFmtId="178" fontId="10" fillId="0" borderId="2" xfId="0" applyNumberFormat="1" applyFont="1" applyBorder="1"/>
    <xf numFmtId="182" fontId="14" fillId="0" borderId="0" xfId="67" applyFont="1" applyBorder="1" applyAlignment="1">
      <alignment horizontal="centerContinuous"/>
    </xf>
    <xf numFmtId="171" fontId="6" fillId="0" borderId="0" xfId="67" applyNumberFormat="1" applyFont="1" applyProtection="1"/>
    <xf numFmtId="182" fontId="12" fillId="0" borderId="0" xfId="67" applyFont="1" applyBorder="1" applyAlignment="1" applyProtection="1">
      <alignment horizontal="left"/>
    </xf>
    <xf numFmtId="171" fontId="6" fillId="0" borderId="0" xfId="67" applyNumberFormat="1" applyFont="1" applyBorder="1"/>
    <xf numFmtId="1" fontId="19" fillId="0" borderId="0" xfId="67" applyNumberFormat="1" applyFont="1" applyBorder="1" applyAlignment="1" applyProtection="1">
      <alignment horizontal="right"/>
    </xf>
    <xf numFmtId="37" fontId="6" fillId="0" borderId="0" xfId="67" applyNumberFormat="1" applyFont="1" applyBorder="1" applyAlignment="1" applyProtection="1">
      <alignment horizontal="center"/>
    </xf>
    <xf numFmtId="189" fontId="6" fillId="0" borderId="0" xfId="76" applyNumberFormat="1" applyFont="1" applyFill="1" applyBorder="1"/>
    <xf numFmtId="5" fontId="6" fillId="0" borderId="0" xfId="62" applyNumberFormat="1" applyFont="1"/>
    <xf numFmtId="1" fontId="19" fillId="0" borderId="0" xfId="67" applyNumberFormat="1" applyFont="1" applyAlignment="1" applyProtection="1">
      <alignment horizontal="right"/>
    </xf>
    <xf numFmtId="38" fontId="6" fillId="0" borderId="0" xfId="35" applyNumberFormat="1" applyFont="1"/>
    <xf numFmtId="37" fontId="6" fillId="0" borderId="2" xfId="67" applyNumberFormat="1" applyFont="1" applyBorder="1" applyAlignment="1" applyProtection="1">
      <alignment horizontal="center"/>
    </xf>
    <xf numFmtId="189" fontId="6" fillId="0" borderId="2" xfId="76" applyNumberFormat="1" applyFont="1" applyFill="1" applyBorder="1"/>
    <xf numFmtId="38" fontId="6" fillId="0" borderId="2" xfId="35" applyNumberFormat="1" applyFont="1" applyBorder="1"/>
    <xf numFmtId="184" fontId="6" fillId="0" borderId="0" xfId="67" applyNumberFormat="1" applyFont="1" applyBorder="1" applyProtection="1"/>
    <xf numFmtId="167" fontId="6" fillId="0" borderId="0" xfId="67" applyNumberFormat="1" applyFont="1" applyBorder="1" applyProtection="1"/>
    <xf numFmtId="167" fontId="6" fillId="0" borderId="2" xfId="67" applyNumberFormat="1" applyFont="1" applyBorder="1" applyProtection="1"/>
    <xf numFmtId="177" fontId="6" fillId="0" borderId="2" xfId="76" applyNumberFormat="1" applyFont="1" applyBorder="1"/>
    <xf numFmtId="171" fontId="19" fillId="0" borderId="0" xfId="67" applyNumberFormat="1" applyFont="1"/>
    <xf numFmtId="171" fontId="19" fillId="0" borderId="2" xfId="67" applyNumberFormat="1" applyFont="1" applyBorder="1"/>
    <xf numFmtId="37" fontId="6" fillId="0" borderId="2" xfId="67" applyNumberFormat="1" applyFont="1" applyBorder="1" applyAlignment="1"/>
    <xf numFmtId="182" fontId="6" fillId="0" borderId="0" xfId="67" applyFont="1" applyAlignment="1">
      <alignment horizontal="center"/>
    </xf>
    <xf numFmtId="182" fontId="14" fillId="0" borderId="0" xfId="67" applyFont="1" applyAlignment="1">
      <alignment horizontal="center"/>
    </xf>
    <xf numFmtId="182" fontId="19" fillId="0" borderId="0" xfId="67" applyFont="1" applyBorder="1" applyAlignment="1"/>
    <xf numFmtId="178" fontId="6" fillId="0" borderId="0" xfId="0" applyNumberFormat="1" applyFont="1"/>
    <xf numFmtId="182" fontId="19" fillId="0" borderId="0" xfId="67" applyFont="1"/>
    <xf numFmtId="182" fontId="19" fillId="0" borderId="0" xfId="67" applyFont="1" applyBorder="1"/>
    <xf numFmtId="191" fontId="6" fillId="0" borderId="0" xfId="76" applyNumberFormat="1" applyFont="1" applyBorder="1"/>
    <xf numFmtId="186" fontId="6" fillId="0" borderId="0" xfId="35" applyNumberFormat="1" applyFont="1" applyBorder="1" applyProtection="1"/>
    <xf numFmtId="1" fontId="6" fillId="0" borderId="0" xfId="67" applyNumberFormat="1" applyFont="1" applyFill="1" applyBorder="1" applyAlignment="1" applyProtection="1">
      <alignment horizontal="right"/>
    </xf>
    <xf numFmtId="186" fontId="6" fillId="0" borderId="2" xfId="35" applyNumberFormat="1" applyFont="1" applyBorder="1" applyProtection="1"/>
    <xf numFmtId="182" fontId="19" fillId="0" borderId="2" xfId="67" applyFont="1" applyBorder="1"/>
    <xf numFmtId="9" fontId="6" fillId="0" borderId="2" xfId="76" applyNumberFormat="1" applyFont="1" applyBorder="1"/>
    <xf numFmtId="171" fontId="19" fillId="0" borderId="0" xfId="67" applyNumberFormat="1" applyFont="1" applyProtection="1"/>
    <xf numFmtId="178" fontId="6" fillId="0" borderId="0" xfId="67" applyNumberFormat="1" applyFont="1" applyBorder="1" applyAlignment="1" applyProtection="1">
      <alignment horizontal="right"/>
    </xf>
    <xf numFmtId="178" fontId="19" fillId="0" borderId="0" xfId="0" applyNumberFormat="1" applyFont="1"/>
    <xf numFmtId="9" fontId="19" fillId="0" borderId="0" xfId="76" applyFont="1"/>
    <xf numFmtId="171" fontId="32" fillId="0" borderId="2" xfId="67" applyNumberFormat="1" applyFont="1" applyBorder="1"/>
    <xf numFmtId="9" fontId="19" fillId="0" borderId="2" xfId="76" applyFont="1" applyBorder="1"/>
    <xf numFmtId="9" fontId="19" fillId="0" borderId="0" xfId="76" applyFont="1" applyBorder="1"/>
    <xf numFmtId="191" fontId="6" fillId="0" borderId="2" xfId="76" applyNumberFormat="1" applyFont="1" applyBorder="1"/>
    <xf numFmtId="171" fontId="32" fillId="0" borderId="0" xfId="67" applyNumberFormat="1" applyFont="1"/>
    <xf numFmtId="37" fontId="10" fillId="0" borderId="0" xfId="67" applyNumberFormat="1" applyFont="1" applyBorder="1" applyAlignment="1" applyProtection="1"/>
    <xf numFmtId="177" fontId="6" fillId="0" borderId="0" xfId="76" applyNumberFormat="1" applyFont="1" applyProtection="1"/>
    <xf numFmtId="177" fontId="11" fillId="0" borderId="0" xfId="76" applyNumberFormat="1" applyFont="1" applyBorder="1" applyAlignment="1"/>
    <xf numFmtId="165" fontId="25" fillId="0" borderId="0" xfId="67" applyNumberFormat="1" applyFont="1" applyBorder="1" applyAlignment="1"/>
    <xf numFmtId="194" fontId="19" fillId="0" borderId="0" xfId="67" applyNumberFormat="1" applyFont="1"/>
    <xf numFmtId="197" fontId="32" fillId="0" borderId="0" xfId="67" applyNumberFormat="1" applyFont="1"/>
    <xf numFmtId="197" fontId="32" fillId="0" borderId="2" xfId="67" applyNumberFormat="1" applyFont="1" applyBorder="1"/>
    <xf numFmtId="9" fontId="6" fillId="0" borderId="2" xfId="76" applyFont="1" applyBorder="1"/>
    <xf numFmtId="197" fontId="32" fillId="0" borderId="0" xfId="67" applyNumberFormat="1" applyFont="1" applyBorder="1"/>
    <xf numFmtId="37" fontId="25" fillId="0" borderId="0" xfId="67" applyNumberFormat="1" applyFont="1" applyBorder="1" applyAlignment="1"/>
    <xf numFmtId="194" fontId="6" fillId="0" borderId="0" xfId="67" applyNumberFormat="1" applyFont="1"/>
    <xf numFmtId="185" fontId="6" fillId="0" borderId="0" xfId="39" applyNumberFormat="1" applyFont="1" applyBorder="1" applyProtection="1"/>
    <xf numFmtId="182" fontId="19" fillId="0" borderId="0" xfId="67" applyFont="1" applyFill="1"/>
    <xf numFmtId="182" fontId="19" fillId="0" borderId="0" xfId="67" applyFont="1" applyFill="1" applyBorder="1"/>
    <xf numFmtId="194" fontId="6" fillId="0" borderId="2" xfId="67" applyNumberFormat="1" applyFont="1" applyBorder="1"/>
    <xf numFmtId="182" fontId="19" fillId="0" borderId="2" xfId="67" applyFont="1" applyFill="1" applyBorder="1"/>
    <xf numFmtId="197" fontId="6" fillId="0" borderId="0" xfId="67" applyNumberFormat="1" applyFont="1" applyProtection="1"/>
    <xf numFmtId="182" fontId="6" fillId="0" borderId="0" xfId="67" applyFont="1" applyFill="1"/>
    <xf numFmtId="182" fontId="6" fillId="0" borderId="0" xfId="67" applyFont="1" applyFill="1" applyBorder="1"/>
    <xf numFmtId="197" fontId="6" fillId="0" borderId="0" xfId="67" applyNumberFormat="1" applyFont="1"/>
    <xf numFmtId="1" fontId="19" fillId="0" borderId="0" xfId="67" applyNumberFormat="1" applyFont="1" applyFill="1" applyBorder="1" applyAlignment="1" applyProtection="1">
      <alignment horizontal="right"/>
    </xf>
    <xf numFmtId="166" fontId="6" fillId="0" borderId="0" xfId="62" applyNumberFormat="1" applyFont="1"/>
    <xf numFmtId="178" fontId="19" fillId="0" borderId="0" xfId="0" applyNumberFormat="1" applyFont="1" applyFill="1"/>
    <xf numFmtId="197" fontId="6" fillId="0" borderId="2" xfId="67" applyNumberFormat="1" applyFont="1" applyBorder="1"/>
    <xf numFmtId="38" fontId="19" fillId="0" borderId="0" xfId="35" applyNumberFormat="1" applyFont="1" applyFill="1"/>
    <xf numFmtId="178" fontId="6" fillId="0" borderId="0" xfId="0" applyNumberFormat="1" applyFont="1" applyFill="1"/>
    <xf numFmtId="38" fontId="19" fillId="0" borderId="2" xfId="35" applyNumberFormat="1" applyFont="1" applyFill="1" applyBorder="1"/>
    <xf numFmtId="197" fontId="6" fillId="0" borderId="0" xfId="67" applyNumberFormat="1" applyFont="1" applyFill="1"/>
    <xf numFmtId="182" fontId="131" fillId="0" borderId="0" xfId="67" applyFont="1" applyBorder="1" applyAlignment="1"/>
    <xf numFmtId="38" fontId="19" fillId="0" borderId="0" xfId="35" applyNumberFormat="1" applyFont="1" applyFill="1" applyBorder="1"/>
    <xf numFmtId="197" fontId="6" fillId="0" borderId="2" xfId="67" applyNumberFormat="1" applyFont="1" applyFill="1" applyBorder="1"/>
    <xf numFmtId="38" fontId="68" fillId="0" borderId="2" xfId="35" applyNumberFormat="1" applyFont="1" applyFill="1" applyBorder="1"/>
    <xf numFmtId="38" fontId="68" fillId="0" borderId="0" xfId="35" applyNumberFormat="1" applyFont="1" applyFill="1" applyBorder="1"/>
    <xf numFmtId="182" fontId="131" fillId="0" borderId="0" xfId="67" applyFont="1"/>
    <xf numFmtId="182" fontId="132" fillId="0" borderId="0" xfId="67" applyFont="1" applyBorder="1" applyAlignment="1"/>
    <xf numFmtId="182" fontId="12" fillId="0" borderId="0" xfId="67" applyFont="1" applyFill="1" applyBorder="1" applyAlignment="1" applyProtection="1">
      <alignment horizontal="center"/>
    </xf>
    <xf numFmtId="38" fontId="6" fillId="0" borderId="0" xfId="35" applyNumberFormat="1" applyFont="1" applyFill="1"/>
    <xf numFmtId="38" fontId="6" fillId="0" borderId="2" xfId="35" applyNumberFormat="1" applyFont="1" applyFill="1" applyBorder="1"/>
    <xf numFmtId="182" fontId="71" fillId="0" borderId="0" xfId="67" applyFont="1" applyBorder="1" applyAlignment="1" applyProtection="1">
      <alignment horizontal="left"/>
    </xf>
    <xf numFmtId="9" fontId="19" fillId="0" borderId="2" xfId="76" applyNumberFormat="1" applyFont="1" applyBorder="1"/>
    <xf numFmtId="9" fontId="19" fillId="0" borderId="0" xfId="76" applyNumberFormat="1" applyFont="1" applyBorder="1"/>
    <xf numFmtId="166" fontId="19" fillId="0" borderId="0" xfId="67" applyNumberFormat="1" applyFont="1" applyProtection="1"/>
    <xf numFmtId="171" fontId="10" fillId="0" borderId="0" xfId="67" applyNumberFormat="1" applyFont="1" applyBorder="1"/>
    <xf numFmtId="177" fontId="6" fillId="0" borderId="0" xfId="67" applyNumberFormat="1" applyFont="1"/>
    <xf numFmtId="177" fontId="6" fillId="0" borderId="0" xfId="67" applyNumberFormat="1" applyFont="1" applyBorder="1"/>
    <xf numFmtId="248" fontId="6" fillId="0" borderId="0" xfId="67" applyNumberFormat="1" applyFont="1"/>
    <xf numFmtId="165" fontId="11" fillId="0" borderId="0" xfId="67" applyNumberFormat="1" applyFont="1" applyBorder="1" applyAlignment="1"/>
    <xf numFmtId="37" fontId="6" fillId="0" borderId="0" xfId="67" applyNumberFormat="1" applyFont="1" applyBorder="1" applyAlignment="1" applyProtection="1">
      <alignment horizontal="right"/>
    </xf>
    <xf numFmtId="185" fontId="6" fillId="0" borderId="0" xfId="39" applyNumberFormat="1" applyFont="1" applyFill="1" applyBorder="1" applyProtection="1"/>
    <xf numFmtId="182" fontId="6" fillId="0" borderId="0" xfId="67" applyFont="1" applyFill="1" applyAlignment="1" applyProtection="1">
      <alignment horizontal="left"/>
    </xf>
    <xf numFmtId="182" fontId="6" fillId="0" borderId="0" xfId="67" applyFont="1" applyFill="1" applyBorder="1" applyAlignment="1"/>
    <xf numFmtId="171" fontId="6" fillId="0" borderId="0" xfId="67" applyNumberFormat="1" applyFont="1" applyFill="1" applyBorder="1"/>
    <xf numFmtId="171" fontId="6" fillId="0" borderId="0" xfId="67" applyNumberFormat="1" applyFont="1" applyFill="1"/>
    <xf numFmtId="182" fontId="131" fillId="0" borderId="0" xfId="67" applyFont="1" applyFill="1" applyBorder="1" applyAlignment="1"/>
    <xf numFmtId="37" fontId="6" fillId="0" borderId="0" xfId="67" applyNumberFormat="1" applyFont="1" applyFill="1" applyProtection="1"/>
    <xf numFmtId="165" fontId="6" fillId="0" borderId="0" xfId="67" applyNumberFormat="1" applyFont="1" applyFill="1" applyProtection="1"/>
    <xf numFmtId="37" fontId="6" fillId="0" borderId="0" xfId="67" applyNumberFormat="1" applyFont="1" applyFill="1" applyBorder="1" applyAlignment="1" applyProtection="1"/>
    <xf numFmtId="186" fontId="6" fillId="0" borderId="0" xfId="35" applyNumberFormat="1" applyFont="1" applyFill="1" applyBorder="1" applyProtection="1"/>
    <xf numFmtId="165" fontId="6" fillId="0" borderId="0" xfId="67" applyNumberFormat="1" applyFont="1" applyFill="1" applyBorder="1" applyProtection="1"/>
    <xf numFmtId="182" fontId="6" fillId="0" borderId="0" xfId="62" applyFont="1" applyFill="1"/>
    <xf numFmtId="182" fontId="19" fillId="0" borderId="0" xfId="67" applyFont="1" applyFill="1" applyBorder="1" applyAlignment="1"/>
    <xf numFmtId="178" fontId="10" fillId="0" borderId="0" xfId="0" applyNumberFormat="1" applyFont="1" applyFill="1"/>
    <xf numFmtId="9" fontId="19" fillId="0" borderId="0" xfId="76" applyNumberFormat="1" applyFont="1" applyFill="1"/>
    <xf numFmtId="38" fontId="6" fillId="0" borderId="0" xfId="35" applyNumberFormat="1" applyFont="1" applyFill="1" applyBorder="1"/>
    <xf numFmtId="166" fontId="6" fillId="0" borderId="2" xfId="67" applyNumberFormat="1" applyFont="1" applyBorder="1" applyProtection="1"/>
    <xf numFmtId="38" fontId="6" fillId="23" borderId="0" xfId="35" applyNumberFormat="1" applyFont="1" applyFill="1"/>
    <xf numFmtId="182" fontId="133" fillId="0" borderId="0" xfId="67" applyFont="1"/>
    <xf numFmtId="178" fontId="10" fillId="0" borderId="0" xfId="0" applyNumberFormat="1" applyFont="1" applyBorder="1"/>
    <xf numFmtId="2" fontId="6" fillId="0" borderId="0" xfId="67" applyNumberFormat="1" applyFont="1"/>
    <xf numFmtId="167" fontId="6" fillId="0" borderId="0" xfId="67" applyNumberFormat="1" applyFont="1" applyBorder="1" applyAlignment="1" applyProtection="1"/>
    <xf numFmtId="8" fontId="6" fillId="0" borderId="0" xfId="67" applyNumberFormat="1" applyFont="1"/>
    <xf numFmtId="8" fontId="6" fillId="0" borderId="0" xfId="67" applyNumberFormat="1" applyFont="1" applyBorder="1"/>
    <xf numFmtId="178" fontId="118" fillId="0" borderId="0" xfId="0" applyNumberFormat="1" applyFont="1" applyFill="1"/>
    <xf numFmtId="186" fontId="6" fillId="0" borderId="2" xfId="35" applyNumberFormat="1" applyFont="1" applyFill="1" applyBorder="1" applyProtection="1"/>
    <xf numFmtId="9" fontId="134" fillId="0" borderId="2" xfId="76" applyNumberFormat="1" applyFont="1" applyBorder="1"/>
    <xf numFmtId="9" fontId="134" fillId="0" borderId="0" xfId="76" applyNumberFormat="1" applyFont="1" applyBorder="1"/>
    <xf numFmtId="171" fontId="19" fillId="0" borderId="0" xfId="67" applyNumberFormat="1" applyFont="1" applyBorder="1"/>
    <xf numFmtId="37" fontId="13" fillId="0" borderId="0" xfId="67" applyNumberFormat="1" applyFont="1" applyBorder="1" applyAlignment="1"/>
    <xf numFmtId="187" fontId="6" fillId="0" borderId="0" xfId="35" applyNumberFormat="1" applyFont="1" applyBorder="1" applyAlignment="1" applyProtection="1">
      <alignment horizontal="right"/>
    </xf>
    <xf numFmtId="171" fontId="6" fillId="0" borderId="0" xfId="67" applyNumberFormat="1" applyFont="1" applyBorder="1" applyProtection="1"/>
    <xf numFmtId="39" fontId="6" fillId="0" borderId="0" xfId="67" applyNumberFormat="1" applyFont="1" applyAlignment="1"/>
    <xf numFmtId="182" fontId="14" fillId="0" borderId="0" xfId="62" applyFont="1"/>
    <xf numFmtId="171" fontId="19" fillId="0" borderId="0" xfId="67" quotePrefix="1" applyNumberFormat="1" applyFont="1" applyBorder="1" applyAlignment="1">
      <alignment horizontal="right"/>
    </xf>
    <xf numFmtId="171" fontId="19" fillId="0" borderId="2" xfId="67" applyNumberFormat="1" applyFont="1" applyBorder="1" applyAlignment="1">
      <alignment horizontal="right"/>
    </xf>
    <xf numFmtId="171" fontId="19" fillId="0" borderId="0" xfId="67" applyNumberFormat="1" applyFont="1" applyBorder="1" applyAlignment="1">
      <alignment horizontal="right"/>
    </xf>
    <xf numFmtId="182" fontId="6" fillId="0" borderId="2" xfId="62" applyFont="1" applyBorder="1"/>
    <xf numFmtId="182" fontId="6" fillId="0" borderId="2" xfId="62" applyFont="1" applyBorder="1" applyAlignment="1">
      <alignment horizontal="center"/>
    </xf>
    <xf numFmtId="182" fontId="11" fillId="0" borderId="0" xfId="67" applyFont="1" applyBorder="1" applyAlignment="1">
      <alignment horizontal="center"/>
    </xf>
    <xf numFmtId="182" fontId="11" fillId="0" borderId="0" xfId="67" applyFont="1" applyFill="1" applyBorder="1" applyAlignment="1">
      <alignment horizontal="center"/>
    </xf>
    <xf numFmtId="171" fontId="6" fillId="0" borderId="0" xfId="67" applyNumberFormat="1" applyFont="1" applyBorder="1" applyAlignment="1">
      <alignment horizontal="right"/>
    </xf>
    <xf numFmtId="166" fontId="19" fillId="0" borderId="0" xfId="67" applyNumberFormat="1" applyFont="1" applyBorder="1" applyProtection="1"/>
    <xf numFmtId="166" fontId="6" fillId="0" borderId="0" xfId="67" applyNumberFormat="1" applyFont="1" applyFill="1" applyBorder="1" applyProtection="1"/>
    <xf numFmtId="186" fontId="6" fillId="27" borderId="0" xfId="35" applyNumberFormat="1" applyFont="1" applyFill="1" applyBorder="1" applyProtection="1"/>
    <xf numFmtId="171" fontId="6" fillId="0" borderId="2" xfId="67" applyNumberFormat="1" applyFont="1" applyBorder="1" applyAlignment="1">
      <alignment horizontal="right"/>
    </xf>
    <xf numFmtId="182" fontId="19" fillId="0" borderId="0" xfId="67" applyFont="1" applyAlignment="1">
      <alignment horizontal="right"/>
    </xf>
    <xf numFmtId="182" fontId="6" fillId="0" borderId="0" xfId="62" applyFont="1" applyFill="1" applyBorder="1"/>
    <xf numFmtId="182" fontId="6" fillId="0" borderId="0" xfId="62" applyFont="1" applyFill="1" applyBorder="1" applyAlignment="1">
      <alignment horizontal="center"/>
    </xf>
    <xf numFmtId="182" fontId="14" fillId="0" borderId="0" xfId="62" applyFont="1" applyFill="1" applyBorder="1"/>
    <xf numFmtId="186" fontId="6" fillId="0" borderId="0" xfId="67" applyNumberFormat="1" applyFont="1" applyBorder="1" applyAlignment="1">
      <alignment horizontal="right"/>
    </xf>
    <xf numFmtId="166" fontId="19" fillId="0" borderId="0" xfId="67" applyNumberFormat="1" applyFont="1" applyFill="1" applyBorder="1" applyProtection="1"/>
    <xf numFmtId="186" fontId="6" fillId="0" borderId="2" xfId="67" applyNumberFormat="1" applyFont="1" applyBorder="1"/>
    <xf numFmtId="38" fontId="13" fillId="0" borderId="2" xfId="67" applyNumberFormat="1" applyFont="1" applyBorder="1" applyAlignment="1"/>
    <xf numFmtId="9" fontId="14" fillId="0" borderId="0" xfId="76" applyFont="1" applyFill="1" applyBorder="1"/>
    <xf numFmtId="186" fontId="6" fillId="0" borderId="0" xfId="67" applyNumberFormat="1" applyFont="1" applyProtection="1"/>
    <xf numFmtId="38" fontId="13" fillId="0" borderId="0" xfId="67" applyNumberFormat="1" applyFont="1" applyBorder="1" applyAlignment="1"/>
    <xf numFmtId="38" fontId="13" fillId="0" borderId="0" xfId="67" applyNumberFormat="1" applyFont="1" applyBorder="1" applyAlignment="1">
      <alignment horizontal="right"/>
    </xf>
    <xf numFmtId="37" fontId="19" fillId="0" borderId="2" xfId="67" applyNumberFormat="1" applyFont="1" applyBorder="1" applyAlignment="1">
      <alignment horizontal="right"/>
    </xf>
    <xf numFmtId="171" fontId="127" fillId="0" borderId="0" xfId="67" applyNumberFormat="1" applyFont="1" applyBorder="1" applyAlignment="1">
      <alignment horizontal="right"/>
    </xf>
    <xf numFmtId="38" fontId="6" fillId="0" borderId="0" xfId="67" applyNumberFormat="1" applyFont="1" applyBorder="1" applyAlignment="1"/>
    <xf numFmtId="37" fontId="19" fillId="0" borderId="0" xfId="67" applyNumberFormat="1" applyFont="1" applyBorder="1" applyAlignment="1" applyProtection="1">
      <alignment horizontal="right"/>
    </xf>
    <xf numFmtId="186" fontId="6" fillId="0" borderId="2" xfId="67" applyNumberFormat="1" applyFont="1" applyBorder="1" applyAlignment="1">
      <alignment horizontal="right"/>
    </xf>
    <xf numFmtId="9" fontId="6" fillId="0" borderId="0" xfId="0" applyNumberFormat="1" applyFont="1"/>
    <xf numFmtId="0" fontId="6" fillId="0" borderId="0" xfId="53" applyFont="1" applyFill="1" applyBorder="1"/>
    <xf numFmtId="230" fontId="6" fillId="0" borderId="0" xfId="53" applyNumberFormat="1" applyFont="1" applyFill="1" applyBorder="1"/>
    <xf numFmtId="165" fontId="6" fillId="0" borderId="2" xfId="53" applyNumberFormat="1" applyFont="1" applyFill="1" applyBorder="1"/>
    <xf numFmtId="0" fontId="6" fillId="0" borderId="2" xfId="53" applyFont="1" applyFill="1" applyBorder="1"/>
    <xf numFmtId="182" fontId="6" fillId="0" borderId="2" xfId="70" applyFont="1" applyBorder="1"/>
    <xf numFmtId="10" fontId="6" fillId="0" borderId="0" xfId="53" applyNumberFormat="1" applyFont="1" applyFill="1" applyBorder="1"/>
    <xf numFmtId="177" fontId="6" fillId="0" borderId="0" xfId="76" applyNumberFormat="1" applyFont="1" applyFill="1" applyBorder="1"/>
    <xf numFmtId="182" fontId="6" fillId="0" borderId="0" xfId="70" applyFont="1" applyBorder="1"/>
    <xf numFmtId="0" fontId="27" fillId="0" borderId="20" xfId="53" applyFont="1" applyFill="1" applyBorder="1" applyAlignment="1">
      <alignment horizontal="center"/>
    </xf>
    <xf numFmtId="0" fontId="6" fillId="0" borderId="27" xfId="53" applyFont="1" applyFill="1" applyBorder="1"/>
    <xf numFmtId="166" fontId="6" fillId="0" borderId="0" xfId="53" applyNumberFormat="1" applyFont="1" applyFill="1" applyBorder="1"/>
    <xf numFmtId="166" fontId="6" fillId="0" borderId="1" xfId="53" applyNumberFormat="1" applyFont="1" applyFill="1" applyBorder="1"/>
    <xf numFmtId="165" fontId="6" fillId="0" borderId="0" xfId="70" applyNumberFormat="1" applyFont="1" applyBorder="1" applyProtection="1"/>
    <xf numFmtId="182" fontId="6" fillId="0" borderId="0" xfId="70" applyFont="1" applyBorder="1" applyAlignment="1" applyProtection="1">
      <alignment horizontal="center"/>
    </xf>
    <xf numFmtId="182" fontId="6" fillId="0" borderId="27" xfId="70" applyFont="1" applyBorder="1" applyAlignment="1" applyProtection="1">
      <alignment horizontal="center"/>
    </xf>
    <xf numFmtId="165" fontId="6" fillId="0" borderId="1" xfId="53" applyNumberFormat="1" applyFont="1" applyFill="1" applyBorder="1"/>
    <xf numFmtId="182" fontId="6" fillId="0" borderId="0" xfId="70" applyFont="1" applyBorder="1" applyAlignment="1">
      <alignment horizontal="center"/>
    </xf>
    <xf numFmtId="182" fontId="6" fillId="0" borderId="27" xfId="70" applyFont="1" applyBorder="1"/>
    <xf numFmtId="189" fontId="6" fillId="0" borderId="0" xfId="53" applyNumberFormat="1" applyFont="1" applyFill="1" applyBorder="1"/>
    <xf numFmtId="5" fontId="6" fillId="0" borderId="0" xfId="53" applyNumberFormat="1" applyFont="1" applyFill="1" applyBorder="1"/>
    <xf numFmtId="182" fontId="6" fillId="0" borderId="27" xfId="70" applyFont="1" applyBorder="1" applyAlignment="1">
      <alignment horizontal="center"/>
    </xf>
    <xf numFmtId="177" fontId="6" fillId="0" borderId="0" xfId="76" applyNumberFormat="1" applyFont="1" applyBorder="1" applyProtection="1"/>
    <xf numFmtId="0" fontId="6" fillId="0" borderId="0" xfId="53" applyFont="1" applyFill="1" applyBorder="1" applyAlignment="1">
      <alignment horizontal="left" indent="1"/>
    </xf>
    <xf numFmtId="167" fontId="6" fillId="0" borderId="0" xfId="53" applyNumberFormat="1" applyFont="1" applyFill="1" applyBorder="1"/>
    <xf numFmtId="177" fontId="6" fillId="0" borderId="0" xfId="53" applyNumberFormat="1" applyFont="1" applyFill="1" applyBorder="1"/>
    <xf numFmtId="37" fontId="6" fillId="0" borderId="27" xfId="70" applyNumberFormat="1" applyFont="1" applyBorder="1" applyAlignment="1" applyProtection="1">
      <alignment horizontal="center"/>
    </xf>
    <xf numFmtId="40" fontId="6" fillId="0" borderId="0" xfId="35" applyNumberFormat="1" applyFont="1" applyFill="1" applyBorder="1"/>
    <xf numFmtId="182" fontId="6" fillId="0" borderId="0" xfId="70" applyFont="1" applyBorder="1" applyAlignment="1" applyProtection="1">
      <alignment horizontal="right"/>
    </xf>
    <xf numFmtId="191" fontId="6" fillId="0" borderId="0" xfId="76" applyNumberFormat="1" applyFont="1" applyFill="1" applyBorder="1"/>
    <xf numFmtId="37" fontId="6" fillId="0" borderId="0" xfId="70" applyNumberFormat="1" applyFont="1" applyBorder="1" applyAlignment="1" applyProtection="1">
      <alignment horizontal="center"/>
    </xf>
    <xf numFmtId="10" fontId="6" fillId="0" borderId="0" xfId="53" applyNumberFormat="1" applyFont="1"/>
    <xf numFmtId="39" fontId="6" fillId="0" borderId="0" xfId="53" applyNumberFormat="1" applyFont="1" applyFill="1" applyBorder="1"/>
    <xf numFmtId="7" fontId="6" fillId="0" borderId="0" xfId="53" applyNumberFormat="1" applyFont="1" applyFill="1" applyBorder="1"/>
    <xf numFmtId="7" fontId="6" fillId="0" borderId="1" xfId="53" applyNumberFormat="1" applyFont="1" applyFill="1" applyBorder="1"/>
    <xf numFmtId="8" fontId="68" fillId="0" borderId="0" xfId="35" applyNumberFormat="1" applyFont="1" applyFill="1" applyBorder="1"/>
    <xf numFmtId="39" fontId="123" fillId="0" borderId="0" xfId="0" applyNumberFormat="1" applyFont="1" applyFill="1" applyAlignment="1">
      <alignment horizontal="right"/>
    </xf>
    <xf numFmtId="0" fontId="6" fillId="0" borderId="0" xfId="53" applyFont="1" applyFill="1" applyBorder="1" applyAlignment="1">
      <alignment horizontal="center"/>
    </xf>
    <xf numFmtId="0" fontId="6" fillId="0" borderId="27" xfId="53" applyFont="1" applyFill="1" applyBorder="1" applyAlignment="1">
      <alignment horizontal="center"/>
    </xf>
    <xf numFmtId="0" fontId="6" fillId="0" borderId="25" xfId="53" applyFont="1" applyFill="1" applyBorder="1"/>
    <xf numFmtId="165" fontId="6" fillId="0" borderId="2" xfId="70" applyNumberFormat="1" applyFont="1" applyBorder="1" applyProtection="1"/>
    <xf numFmtId="182" fontId="6" fillId="0" borderId="2" xfId="70" applyFont="1" applyBorder="1" applyAlignment="1" applyProtection="1">
      <alignment horizontal="center"/>
    </xf>
    <xf numFmtId="0" fontId="6" fillId="0" borderId="30" xfId="53" applyFont="1" applyFill="1" applyBorder="1" applyAlignment="1">
      <alignment horizontal="center"/>
    </xf>
    <xf numFmtId="37" fontId="4" fillId="0" borderId="2" xfId="0" applyFont="1" applyBorder="1"/>
    <xf numFmtId="37" fontId="4" fillId="0" borderId="0" xfId="0" applyFont="1" applyBorder="1"/>
    <xf numFmtId="7" fontId="4" fillId="0" borderId="0" xfId="0" applyNumberFormat="1" applyFont="1" applyAlignment="1">
      <alignment horizontal="right"/>
    </xf>
    <xf numFmtId="177" fontId="32" fillId="0" borderId="0" xfId="0" applyNumberFormat="1" applyFont="1"/>
    <xf numFmtId="165" fontId="4" fillId="0" borderId="0" xfId="0" applyNumberFormat="1" applyFont="1"/>
    <xf numFmtId="43" fontId="4" fillId="0" borderId="0" xfId="0" applyNumberFormat="1" applyFont="1"/>
    <xf numFmtId="0" fontId="57" fillId="0" borderId="0" xfId="53" applyFont="1" applyFill="1" applyBorder="1" applyAlignment="1">
      <alignment horizontal="right"/>
    </xf>
    <xf numFmtId="6" fontId="4" fillId="0" borderId="0" xfId="39" applyNumberFormat="1" applyFont="1"/>
    <xf numFmtId="177" fontId="4" fillId="0" borderId="0" xfId="76" applyNumberFormat="1" applyFont="1"/>
    <xf numFmtId="40" fontId="6" fillId="0" borderId="0" xfId="0" applyNumberFormat="1" applyFont="1" applyFill="1" applyProtection="1"/>
    <xf numFmtId="165" fontId="11" fillId="0" borderId="0" xfId="0" applyNumberFormat="1" applyFont="1" applyFill="1" applyAlignment="1">
      <alignment horizontal="right"/>
    </xf>
    <xf numFmtId="197" fontId="6" fillId="0" borderId="0" xfId="67" applyNumberFormat="1" applyFont="1" applyFill="1" applyBorder="1"/>
    <xf numFmtId="1" fontId="50" fillId="0" borderId="0" xfId="70" applyNumberFormat="1" applyFont="1" applyFill="1" applyAlignment="1" applyProtection="1">
      <alignment horizontal="right"/>
    </xf>
    <xf numFmtId="44" fontId="6" fillId="0" borderId="0" xfId="52" applyNumberFormat="1"/>
    <xf numFmtId="37" fontId="0" fillId="0" borderId="0" xfId="0"/>
    <xf numFmtId="191" fontId="15" fillId="0" borderId="37" xfId="0" applyNumberFormat="1" applyFont="1" applyFill="1" applyBorder="1" applyAlignment="1" applyProtection="1">
      <alignment horizontal="center"/>
    </xf>
    <xf numFmtId="179" fontId="19" fillId="0" borderId="0" xfId="0" quotePrefix="1" applyNumberFormat="1" applyFont="1" applyFill="1" applyAlignment="1" applyProtection="1">
      <alignment horizontal="left"/>
    </xf>
    <xf numFmtId="179" fontId="6" fillId="0" borderId="0" xfId="0" quotePrefix="1" applyNumberFormat="1" applyFont="1" applyFill="1" applyAlignment="1" applyProtection="1">
      <alignment horizontal="left"/>
    </xf>
    <xf numFmtId="37" fontId="115" fillId="0" borderId="0" xfId="52" applyNumberFormat="1" applyFont="1" applyBorder="1" applyAlignment="1">
      <alignment horizontal="center"/>
    </xf>
    <xf numFmtId="179" fontId="146" fillId="0" borderId="0" xfId="0" quotePrefix="1" applyNumberFormat="1" applyFont="1" applyFill="1" applyAlignment="1" applyProtection="1">
      <alignment horizontal="left"/>
    </xf>
    <xf numFmtId="206" fontId="49" fillId="0" borderId="2" xfId="70" applyNumberFormat="1" applyFont="1" applyFill="1" applyBorder="1" applyAlignment="1" applyProtection="1">
      <alignment horizontal="center"/>
    </xf>
    <xf numFmtId="206" fontId="25" fillId="0" borderId="2" xfId="70" applyNumberFormat="1" applyFont="1" applyFill="1" applyBorder="1" applyAlignment="1" applyProtection="1">
      <alignment horizontal="center"/>
    </xf>
    <xf numFmtId="37" fontId="25" fillId="0" borderId="2" xfId="0" quotePrefix="1" applyFont="1" applyFill="1" applyBorder="1" applyAlignment="1" applyProtection="1">
      <alignment horizontal="center"/>
    </xf>
    <xf numFmtId="37" fontId="31" fillId="0" borderId="0" xfId="0" applyFont="1" applyFill="1" applyAlignment="1" applyProtection="1">
      <alignment horizontal="left"/>
    </xf>
    <xf numFmtId="193" fontId="11" fillId="0" borderId="0" xfId="0" quotePrefix="1" applyNumberFormat="1" applyFont="1" applyFill="1" applyAlignment="1" applyProtection="1">
      <alignment horizontal="left"/>
    </xf>
    <xf numFmtId="39" fontId="0" fillId="0" borderId="0" xfId="0" applyNumberFormat="1"/>
    <xf numFmtId="9" fontId="134" fillId="0" borderId="0" xfId="76" applyNumberFormat="1" applyFont="1" applyFill="1" applyBorder="1"/>
    <xf numFmtId="9" fontId="134" fillId="0" borderId="0" xfId="76" applyNumberFormat="1" applyFont="1" applyFill="1"/>
    <xf numFmtId="174" fontId="15" fillId="0" borderId="0" xfId="76" applyNumberFormat="1" applyFont="1" applyFill="1"/>
    <xf numFmtId="199" fontId="15" fillId="0" borderId="0" xfId="58" applyNumberFormat="1" applyFont="1" applyFill="1" applyAlignment="1">
      <alignment horizontal="left"/>
    </xf>
    <xf numFmtId="37" fontId="0" fillId="0" borderId="0" xfId="0" applyFill="1"/>
    <xf numFmtId="186" fontId="18" fillId="0" borderId="0" xfId="58" applyNumberFormat="1" applyFont="1" applyFill="1"/>
    <xf numFmtId="185" fontId="6" fillId="0" borderId="0" xfId="39" applyNumberFormat="1" applyFont="1" applyFill="1" applyAlignment="1" applyProtection="1">
      <alignment horizontal="right"/>
    </xf>
    <xf numFmtId="228" fontId="6" fillId="0" borderId="0" xfId="0" applyNumberFormat="1" applyFont="1" applyFill="1" applyAlignment="1" applyProtection="1">
      <alignment horizontal="left"/>
    </xf>
    <xf numFmtId="165" fontId="6" fillId="0" borderId="0" xfId="0" applyNumberFormat="1" applyFont="1" applyFill="1" applyBorder="1" applyProtection="1"/>
    <xf numFmtId="40" fontId="6" fillId="0" borderId="0" xfId="0" applyNumberFormat="1" applyFont="1" applyFill="1" applyBorder="1"/>
    <xf numFmtId="37" fontId="6" fillId="0" borderId="7" xfId="0" applyFont="1" applyBorder="1"/>
    <xf numFmtId="0" fontId="11" fillId="0" borderId="20" xfId="76" applyNumberFormat="1" applyFont="1" applyBorder="1" applyAlignment="1">
      <alignment horizontal="center"/>
    </xf>
    <xf numFmtId="0" fontId="119" fillId="0" borderId="0" xfId="59" applyFont="1" applyBorder="1" applyAlignment="1">
      <alignment horizontal="center"/>
    </xf>
    <xf numFmtId="177" fontId="6" fillId="0" borderId="0" xfId="35" applyNumberFormat="1" applyFont="1" applyBorder="1" applyAlignment="1">
      <alignment horizontal="right"/>
    </xf>
    <xf numFmtId="0" fontId="10" fillId="0" borderId="20" xfId="76" quotePrefix="1" applyNumberFormat="1" applyFont="1" applyBorder="1" applyAlignment="1">
      <alignment horizontal="centerContinuous"/>
    </xf>
    <xf numFmtId="0" fontId="25" fillId="0" borderId="7" xfId="76" applyNumberFormat="1" applyFont="1" applyBorder="1" applyAlignment="1">
      <alignment horizontal="centerContinuous"/>
    </xf>
    <xf numFmtId="0" fontId="10" fillId="0" borderId="7" xfId="76" applyNumberFormat="1" applyFont="1" applyBorder="1" applyAlignment="1">
      <alignment horizontal="centerContinuous"/>
    </xf>
    <xf numFmtId="0" fontId="10" fillId="0" borderId="20" xfId="76" applyNumberFormat="1" applyFont="1" applyBorder="1" applyAlignment="1">
      <alignment horizontal="centerContinuous"/>
    </xf>
    <xf numFmtId="0" fontId="11" fillId="0" borderId="7" xfId="76" applyNumberFormat="1" applyFont="1" applyBorder="1" applyAlignment="1">
      <alignment horizontal="centerContinuous"/>
    </xf>
    <xf numFmtId="208" fontId="11" fillId="0" borderId="7" xfId="76" applyNumberFormat="1" applyFont="1" applyBorder="1" applyAlignment="1">
      <alignment horizontal="centerContinuous"/>
    </xf>
    <xf numFmtId="0" fontId="19" fillId="0" borderId="7" xfId="76" applyNumberFormat="1" applyFont="1" applyBorder="1" applyAlignment="1">
      <alignment horizontal="centerContinuous"/>
    </xf>
    <xf numFmtId="0" fontId="10" fillId="0" borderId="7" xfId="59" applyNumberFormat="1" applyFont="1" applyBorder="1"/>
    <xf numFmtId="0" fontId="14" fillId="0" borderId="0" xfId="59" applyFont="1" applyBorder="1" applyAlignment="1">
      <alignment horizontal="center"/>
    </xf>
    <xf numFmtId="7" fontId="10" fillId="0" borderId="0" xfId="59" applyNumberFormat="1" applyFont="1" applyBorder="1"/>
    <xf numFmtId="191" fontId="10" fillId="0" borderId="0" xfId="0" applyNumberFormat="1" applyFont="1" applyBorder="1" applyAlignment="1">
      <alignment horizontal="right"/>
    </xf>
    <xf numFmtId="186" fontId="10" fillId="0" borderId="0" xfId="35" applyNumberFormat="1" applyFont="1" applyBorder="1" applyAlignment="1">
      <alignment horizontal="right"/>
    </xf>
    <xf numFmtId="5" fontId="10" fillId="0" borderId="2" xfId="59" applyNumberFormat="1" applyFont="1" applyBorder="1"/>
    <xf numFmtId="186" fontId="148" fillId="0" borderId="0" xfId="0" applyNumberFormat="1" applyFont="1" applyFill="1" applyProtection="1"/>
    <xf numFmtId="190" fontId="15" fillId="0" borderId="0" xfId="0" applyNumberFormat="1" applyFont="1" applyFill="1"/>
    <xf numFmtId="5" fontId="96" fillId="0" borderId="0" xfId="70" applyNumberFormat="1" applyFont="1" applyBorder="1" applyProtection="1"/>
    <xf numFmtId="182" fontId="149" fillId="0" borderId="0" xfId="67" applyFont="1" applyAlignment="1">
      <alignment horizontal="right"/>
    </xf>
    <xf numFmtId="197" fontId="150" fillId="0" borderId="0" xfId="67" applyNumberFormat="1" applyFont="1" applyFill="1" applyBorder="1"/>
    <xf numFmtId="197" fontId="150" fillId="0" borderId="2" xfId="67" applyNumberFormat="1" applyFont="1" applyFill="1" applyBorder="1"/>
    <xf numFmtId="237" fontId="6" fillId="0" borderId="0" xfId="67" applyNumberFormat="1" applyFont="1"/>
    <xf numFmtId="171" fontId="150" fillId="0" borderId="0" xfId="67" applyNumberFormat="1" applyFont="1" applyFill="1" applyAlignment="1">
      <alignment horizontal="right" vertical="center"/>
    </xf>
    <xf numFmtId="171" fontId="150" fillId="0" borderId="2" xfId="67" applyNumberFormat="1" applyFont="1" applyFill="1" applyBorder="1" applyAlignment="1">
      <alignment horizontal="right" vertical="center"/>
    </xf>
    <xf numFmtId="9" fontId="134" fillId="0" borderId="2" xfId="76" applyNumberFormat="1" applyFont="1" applyFill="1" applyBorder="1"/>
    <xf numFmtId="186" fontId="15" fillId="0" borderId="0" xfId="0" applyNumberFormat="1" applyFont="1" applyFill="1" applyBorder="1"/>
    <xf numFmtId="39" fontId="54" fillId="0" borderId="0" xfId="0" applyNumberFormat="1" applyFont="1" applyFill="1" applyBorder="1" applyProtection="1"/>
    <xf numFmtId="39" fontId="54" fillId="0" borderId="28" xfId="0" applyNumberFormat="1" applyFont="1" applyFill="1" applyBorder="1" applyProtection="1"/>
    <xf numFmtId="177" fontId="6" fillId="0" borderId="0" xfId="76" applyNumberFormat="1" applyFont="1" applyFill="1" applyProtection="1"/>
    <xf numFmtId="165" fontId="10" fillId="0" borderId="7" xfId="59" applyNumberFormat="1" applyFont="1" applyBorder="1" applyAlignment="1">
      <alignment horizontal="centerContinuous"/>
    </xf>
    <xf numFmtId="0" fontId="15" fillId="23" borderId="0" xfId="72" applyNumberFormat="1" applyFont="1" applyFill="1" applyAlignment="1">
      <alignment horizontal="right"/>
    </xf>
    <xf numFmtId="191" fontId="16" fillId="0" borderId="39" xfId="0" applyNumberFormat="1" applyFont="1" applyFill="1" applyBorder="1" applyAlignment="1" applyProtection="1">
      <alignment horizontal="center"/>
    </xf>
    <xf numFmtId="165" fontId="15" fillId="0" borderId="37" xfId="72" applyNumberFormat="1" applyFont="1" applyFill="1" applyBorder="1" applyAlignment="1">
      <alignment horizontal="center"/>
    </xf>
    <xf numFmtId="165" fontId="15" fillId="0" borderId="37" xfId="0" applyNumberFormat="1" applyFont="1" applyFill="1" applyBorder="1" applyAlignment="1">
      <alignment horizontal="center"/>
    </xf>
    <xf numFmtId="37" fontId="15" fillId="0" borderId="37" xfId="0" applyNumberFormat="1" applyFont="1" applyFill="1" applyBorder="1" applyAlignment="1" applyProtection="1">
      <alignment horizontal="center"/>
    </xf>
    <xf numFmtId="165" fontId="15" fillId="0" borderId="37" xfId="54" applyNumberFormat="1" applyFont="1" applyFill="1" applyBorder="1" applyAlignment="1" applyProtection="1">
      <alignment horizontal="center"/>
    </xf>
    <xf numFmtId="37" fontId="15" fillId="0" borderId="37" xfId="72" applyNumberFormat="1" applyFont="1" applyFill="1" applyBorder="1" applyAlignment="1">
      <alignment horizontal="center"/>
    </xf>
    <xf numFmtId="165" fontId="16" fillId="0" borderId="37" xfId="0" applyNumberFormat="1" applyFont="1" applyFill="1" applyBorder="1" applyAlignment="1" applyProtection="1">
      <alignment horizontal="center"/>
    </xf>
    <xf numFmtId="7" fontId="16" fillId="0" borderId="37" xfId="54" applyNumberFormat="1" applyFont="1" applyFill="1" applyBorder="1" applyAlignment="1" applyProtection="1">
      <alignment horizontal="center"/>
    </xf>
    <xf numFmtId="166" fontId="151" fillId="0" borderId="37" xfId="0" applyNumberFormat="1" applyFont="1" applyFill="1" applyBorder="1" applyAlignment="1" applyProtection="1">
      <alignment horizontal="center"/>
    </xf>
    <xf numFmtId="191" fontId="152" fillId="0" borderId="37" xfId="0" applyNumberFormat="1" applyFont="1" applyFill="1" applyBorder="1" applyAlignment="1" applyProtection="1">
      <alignment horizontal="center"/>
    </xf>
    <xf numFmtId="165" fontId="152" fillId="0" borderId="37" xfId="0" applyNumberFormat="1" applyFont="1" applyFill="1" applyBorder="1" applyAlignment="1" applyProtection="1">
      <alignment horizontal="center"/>
    </xf>
    <xf numFmtId="165" fontId="152" fillId="0" borderId="37" xfId="0" applyNumberFormat="1" applyFont="1" applyFill="1" applyBorder="1" applyAlignment="1">
      <alignment horizontal="center"/>
    </xf>
    <xf numFmtId="248" fontId="151" fillId="0" borderId="37" xfId="0" applyNumberFormat="1" applyFont="1" applyFill="1" applyBorder="1" applyAlignment="1" applyProtection="1">
      <alignment horizontal="center"/>
    </xf>
    <xf numFmtId="37" fontId="152" fillId="0" borderId="37" xfId="0" applyFont="1" applyFill="1" applyBorder="1" applyAlignment="1" applyProtection="1">
      <alignment horizontal="center"/>
    </xf>
    <xf numFmtId="7" fontId="151" fillId="0" borderId="37" xfId="0" applyNumberFormat="1" applyFont="1" applyFill="1" applyBorder="1" applyAlignment="1" applyProtection="1">
      <alignment horizontal="center"/>
    </xf>
    <xf numFmtId="248" fontId="152" fillId="0" borderId="37" xfId="0" applyNumberFormat="1" applyFont="1" applyFill="1" applyBorder="1" applyAlignment="1" applyProtection="1">
      <alignment horizontal="center"/>
    </xf>
    <xf numFmtId="191" fontId="151" fillId="0" borderId="37" xfId="0" applyNumberFormat="1" applyFont="1" applyFill="1" applyBorder="1" applyAlignment="1" applyProtection="1">
      <alignment horizontal="center"/>
    </xf>
    <xf numFmtId="182" fontId="30" fillId="0" borderId="0" xfId="70" applyNumberFormat="1" applyFont="1" applyFill="1" applyProtection="1"/>
    <xf numFmtId="238" fontId="6" fillId="0" borderId="0" xfId="68" applyNumberFormat="1" applyFont="1" applyFill="1" applyBorder="1" applyAlignment="1">
      <alignment horizontal="right"/>
    </xf>
    <xf numFmtId="0" fontId="15" fillId="0" borderId="22" xfId="68" applyFont="1" applyBorder="1" applyAlignment="1">
      <alignment wrapText="1"/>
    </xf>
    <xf numFmtId="0" fontId="28" fillId="0" borderId="10" xfId="68" applyFont="1" applyBorder="1"/>
    <xf numFmtId="0" fontId="82" fillId="23" borderId="10" xfId="64" applyFont="1" applyFill="1" applyBorder="1" applyAlignment="1">
      <alignment vertical="center"/>
    </xf>
    <xf numFmtId="0" fontId="15" fillId="0" borderId="10" xfId="68" applyFont="1" applyBorder="1"/>
    <xf numFmtId="0" fontId="15" fillId="0" borderId="10" xfId="68" applyFont="1" applyBorder="1" applyAlignment="1">
      <alignment horizontal="right"/>
    </xf>
    <xf numFmtId="0" fontId="28" fillId="0" borderId="10" xfId="68" applyFont="1" applyBorder="1" applyAlignment="1">
      <alignment horizontal="right"/>
    </xf>
    <xf numFmtId="0" fontId="15" fillId="0" borderId="46" xfId="68" applyFont="1" applyBorder="1"/>
    <xf numFmtId="0" fontId="15" fillId="0" borderId="0" xfId="68" applyFont="1"/>
    <xf numFmtId="0" fontId="84" fillId="0" borderId="6" xfId="68" applyFont="1" applyBorder="1"/>
    <xf numFmtId="0" fontId="67" fillId="26" borderId="0" xfId="68" applyFont="1" applyFill="1"/>
    <xf numFmtId="0" fontId="85" fillId="0" borderId="6" xfId="68" applyFont="1" applyBorder="1"/>
    <xf numFmtId="0" fontId="67" fillId="0" borderId="0" xfId="68" applyFont="1" applyFill="1"/>
    <xf numFmtId="0" fontId="139" fillId="28" borderId="32" xfId="68" applyFont="1" applyFill="1" applyBorder="1" applyAlignment="1">
      <alignment horizontal="center"/>
    </xf>
    <xf numFmtId="0" fontId="19" fillId="22" borderId="32" xfId="61" applyFont="1" applyFill="1" applyBorder="1" applyAlignment="1">
      <alignment horizontal="center"/>
    </xf>
    <xf numFmtId="0" fontId="42" fillId="23" borderId="0" xfId="68" applyFont="1" applyFill="1" applyBorder="1" applyAlignment="1">
      <alignment horizontal="right"/>
    </xf>
    <xf numFmtId="0" fontId="42" fillId="0" borderId="0" xfId="68" applyFont="1" applyFill="1" applyAlignment="1">
      <alignment horizontal="right"/>
    </xf>
    <xf numFmtId="0" fontId="85" fillId="0" borderId="0" xfId="68" applyFont="1" applyFill="1" applyAlignment="1">
      <alignment horizontal="right"/>
    </xf>
    <xf numFmtId="0" fontId="85" fillId="0" borderId="6" xfId="68" applyFont="1" applyFill="1" applyBorder="1"/>
    <xf numFmtId="0" fontId="67" fillId="0" borderId="0" xfId="68" applyFont="1"/>
    <xf numFmtId="0" fontId="35" fillId="0" borderId="0" xfId="64" applyFont="1" applyFill="1" applyBorder="1"/>
    <xf numFmtId="0" fontId="25" fillId="0" borderId="0" xfId="61" applyFont="1" applyFill="1" applyBorder="1"/>
    <xf numFmtId="0" fontId="11" fillId="0" borderId="0" xfId="83" applyNumberFormat="1" applyFont="1" applyFill="1" applyBorder="1" applyAlignment="1">
      <alignment horizontal="center" wrapText="1"/>
    </xf>
    <xf numFmtId="0" fontId="67" fillId="0" borderId="0" xfId="68" applyFont="1" applyFill="1" applyBorder="1"/>
    <xf numFmtId="14" fontId="28" fillId="0" borderId="0" xfId="61" applyNumberFormat="1" applyFont="1" applyFill="1" applyAlignment="1">
      <alignment horizontal="right"/>
    </xf>
    <xf numFmtId="0" fontId="35" fillId="0" borderId="0" xfId="64" applyFont="1" applyBorder="1"/>
    <xf numFmtId="0" fontId="25" fillId="0" borderId="0" xfId="61" applyFont="1" applyBorder="1"/>
    <xf numFmtId="1" fontId="88" fillId="0" borderId="0" xfId="83" applyNumberFormat="1" applyFont="1" applyFill="1" applyBorder="1" applyAlignment="1">
      <alignment horizontal="center" wrapText="1"/>
    </xf>
    <xf numFmtId="0" fontId="67" fillId="0" borderId="0" xfId="68" applyFont="1" applyAlignment="1">
      <alignment horizontal="right"/>
    </xf>
    <xf numFmtId="0" fontId="84" fillId="23" borderId="6" xfId="64" applyFont="1" applyFill="1" applyBorder="1"/>
    <xf numFmtId="0" fontId="65" fillId="0" borderId="0" xfId="61" applyFont="1" applyBorder="1"/>
    <xf numFmtId="0" fontId="67" fillId="23" borderId="0" xfId="68" applyFont="1" applyFill="1" applyAlignment="1">
      <alignment horizontal="right"/>
    </xf>
    <xf numFmtId="0" fontId="67" fillId="0" borderId="0" xfId="68" applyFont="1" applyAlignment="1">
      <alignment wrapText="1"/>
    </xf>
    <xf numFmtId="1" fontId="6" fillId="0" borderId="0" xfId="61" applyNumberFormat="1" applyFont="1" applyBorder="1" applyAlignment="1">
      <alignment horizontal="right"/>
    </xf>
    <xf numFmtId="37" fontId="35" fillId="0" borderId="0" xfId="64" applyNumberFormat="1" applyFont="1" applyFill="1" applyBorder="1"/>
    <xf numFmtId="196" fontId="11" fillId="0" borderId="0" xfId="63" applyNumberFormat="1" applyFont="1" applyFill="1" applyBorder="1"/>
    <xf numFmtId="254" fontId="11" fillId="0" borderId="7" xfId="61" applyNumberFormat="1" applyFont="1" applyBorder="1" applyAlignment="1">
      <alignment horizontal="right"/>
    </xf>
    <xf numFmtId="37" fontId="11" fillId="0" borderId="0" xfId="64" applyNumberFormat="1" applyFont="1" applyFill="1" applyBorder="1"/>
    <xf numFmtId="196" fontId="6" fillId="0" borderId="0" xfId="63" applyNumberFormat="1" applyFont="1" applyFill="1" applyBorder="1"/>
    <xf numFmtId="0" fontId="6" fillId="0" borderId="0" xfId="63" applyFont="1" applyFill="1" applyBorder="1"/>
    <xf numFmtId="196" fontId="6" fillId="0" borderId="0" xfId="63" applyNumberFormat="1" applyFont="1" applyFill="1" applyBorder="1" applyAlignment="1" applyProtection="1">
      <alignment horizontal="left"/>
    </xf>
    <xf numFmtId="0" fontId="11" fillId="0" borderId="0" xfId="63" applyFont="1" applyFill="1" applyBorder="1"/>
    <xf numFmtId="243" fontId="11" fillId="0" borderId="0" xfId="55" applyNumberFormat="1" applyFont="1" applyFill="1" applyBorder="1" applyAlignment="1">
      <alignment horizontal="right"/>
    </xf>
    <xf numFmtId="239" fontId="25" fillId="0" borderId="0" xfId="61" applyNumberFormat="1" applyFont="1" applyFill="1" applyBorder="1" applyAlignment="1">
      <alignment horizontal="right"/>
    </xf>
    <xf numFmtId="0" fontId="67" fillId="0" borderId="0" xfId="68" applyFont="1" applyBorder="1"/>
    <xf numFmtId="0" fontId="6" fillId="0" borderId="0" xfId="63" applyFont="1" applyFill="1" applyBorder="1" applyAlignment="1">
      <alignment horizontal="left"/>
    </xf>
    <xf numFmtId="238" fontId="67" fillId="0" borderId="0" xfId="68" applyNumberFormat="1" applyFont="1"/>
    <xf numFmtId="243" fontId="11" fillId="0" borderId="0" xfId="55" applyNumberFormat="1" applyFont="1" applyBorder="1" applyAlignment="1">
      <alignment horizontal="right"/>
    </xf>
    <xf numFmtId="239" fontId="25" fillId="0" borderId="0" xfId="61" applyNumberFormat="1" applyFont="1" applyBorder="1" applyAlignment="1">
      <alignment horizontal="right"/>
    </xf>
    <xf numFmtId="0" fontId="6" fillId="0" borderId="0" xfId="63" applyFont="1" applyFill="1" applyBorder="1" applyAlignment="1">
      <alignment horizontal="left" indent="1"/>
    </xf>
    <xf numFmtId="0" fontId="6" fillId="0" borderId="0" xfId="63" applyFont="1" applyFill="1" applyBorder="1" applyAlignment="1">
      <alignment horizontal="left" indent="2"/>
    </xf>
    <xf numFmtId="0" fontId="11" fillId="0" borderId="0" xfId="63" applyFont="1" applyFill="1" applyBorder="1" applyAlignment="1">
      <alignment horizontal="left" indent="1"/>
    </xf>
    <xf numFmtId="0" fontId="67" fillId="23" borderId="0" xfId="68" applyFont="1" applyFill="1"/>
    <xf numFmtId="0" fontId="11" fillId="23" borderId="0" xfId="68" applyFont="1" applyFill="1" applyBorder="1"/>
    <xf numFmtId="9" fontId="25" fillId="23" borderId="16" xfId="77" applyFont="1" applyFill="1" applyBorder="1" applyAlignment="1">
      <alignment horizontal="right"/>
    </xf>
    <xf numFmtId="9" fontId="6" fillId="23" borderId="0" xfId="77" applyFont="1" applyFill="1" applyAlignment="1">
      <alignment horizontal="right"/>
    </xf>
    <xf numFmtId="9" fontId="6" fillId="23" borderId="0" xfId="77" applyFont="1" applyFill="1"/>
    <xf numFmtId="0" fontId="85" fillId="23" borderId="6" xfId="68" applyFont="1" applyFill="1" applyBorder="1"/>
    <xf numFmtId="0" fontId="11" fillId="0" borderId="0" xfId="63" applyFont="1" applyBorder="1"/>
    <xf numFmtId="0" fontId="35" fillId="0" borderId="0" xfId="68" applyFont="1" applyBorder="1"/>
    <xf numFmtId="0" fontId="27" fillId="0" borderId="0" xfId="68" applyFont="1" applyAlignment="1">
      <alignment wrapText="1"/>
    </xf>
    <xf numFmtId="0" fontId="66" fillId="0" borderId="0" xfId="68" applyFont="1"/>
    <xf numFmtId="0" fontId="27" fillId="0" borderId="0" xfId="68" applyFont="1"/>
    <xf numFmtId="177" fontId="67" fillId="23" borderId="0" xfId="68" applyNumberFormat="1" applyFont="1" applyFill="1" applyAlignment="1">
      <alignment wrapText="1"/>
    </xf>
    <xf numFmtId="177" fontId="19" fillId="0" borderId="0" xfId="77" applyNumberFormat="1" applyFont="1" applyFill="1" applyBorder="1"/>
    <xf numFmtId="238" fontId="19" fillId="0" borderId="0" xfId="38" applyNumberFormat="1" applyFont="1" applyFill="1" applyAlignment="1">
      <alignment horizontal="right"/>
    </xf>
    <xf numFmtId="177" fontId="6" fillId="0" borderId="0" xfId="77" applyNumberFormat="1" applyFont="1" applyBorder="1" applyAlignment="1">
      <alignment horizontal="right"/>
    </xf>
    <xf numFmtId="177" fontId="19" fillId="0" borderId="0" xfId="77" applyNumberFormat="1" applyFont="1" applyFill="1" applyBorder="1" applyAlignment="1">
      <alignment horizontal="right"/>
    </xf>
    <xf numFmtId="239" fontId="19" fillId="0" borderId="0" xfId="61" applyNumberFormat="1" applyFont="1" applyBorder="1" applyAlignment="1">
      <alignment horizontal="right"/>
    </xf>
    <xf numFmtId="238" fontId="6" fillId="0" borderId="0" xfId="61" applyNumberFormat="1" applyFont="1" applyBorder="1" applyAlignment="1">
      <alignment horizontal="right"/>
    </xf>
    <xf numFmtId="191" fontId="6" fillId="0" borderId="0" xfId="77" applyNumberFormat="1" applyFont="1" applyBorder="1" applyAlignment="1">
      <alignment horizontal="right"/>
    </xf>
    <xf numFmtId="238" fontId="6" fillId="0" borderId="0" xfId="61" applyNumberFormat="1" applyFont="1" applyFill="1" applyBorder="1" applyAlignment="1">
      <alignment horizontal="right"/>
    </xf>
    <xf numFmtId="177" fontId="6" fillId="0" borderId="0" xfId="77" applyNumberFormat="1" applyFont="1" applyFill="1" applyBorder="1" applyAlignment="1">
      <alignment horizontal="right"/>
    </xf>
    <xf numFmtId="177" fontId="25" fillId="26" borderId="16" xfId="77" applyNumberFormat="1" applyFont="1" applyFill="1" applyBorder="1" applyAlignment="1">
      <alignment horizontal="right"/>
    </xf>
    <xf numFmtId="0" fontId="6" fillId="0" borderId="0" xfId="64" applyNumberFormat="1" applyFont="1"/>
    <xf numFmtId="177" fontId="6" fillId="23" borderId="0" xfId="77" applyNumberFormat="1" applyFont="1" applyFill="1" applyBorder="1" applyAlignment="1">
      <alignment horizontal="right"/>
    </xf>
    <xf numFmtId="9" fontId="19" fillId="23" borderId="0" xfId="77" applyNumberFormat="1" applyFont="1" applyFill="1" applyBorder="1" applyAlignment="1">
      <alignment horizontal="right"/>
    </xf>
    <xf numFmtId="0" fontId="65" fillId="0" borderId="0" xfId="68" applyFont="1" applyBorder="1"/>
    <xf numFmtId="9" fontId="93" fillId="0" borderId="0" xfId="77" applyFont="1" applyFill="1" applyBorder="1" applyAlignment="1">
      <alignment horizontal="right"/>
    </xf>
    <xf numFmtId="177" fontId="11" fillId="0" borderId="0" xfId="77" applyNumberFormat="1" applyFont="1" applyFill="1" applyBorder="1" applyAlignment="1">
      <alignment horizontal="right"/>
    </xf>
    <xf numFmtId="190" fontId="19" fillId="0" borderId="0" xfId="61" applyNumberFormat="1" applyFont="1" applyFill="1" applyBorder="1" applyAlignment="1">
      <alignment horizontal="right"/>
    </xf>
    <xf numFmtId="239" fontId="19" fillId="0" borderId="0" xfId="61" applyNumberFormat="1" applyFont="1" applyFill="1" applyBorder="1" applyAlignment="1">
      <alignment horizontal="right"/>
    </xf>
    <xf numFmtId="9" fontId="19" fillId="0" borderId="0" xfId="77" applyFont="1" applyFill="1" applyBorder="1" applyAlignment="1">
      <alignment horizontal="right"/>
    </xf>
    <xf numFmtId="238" fontId="91" fillId="0" borderId="0" xfId="61" applyNumberFormat="1" applyFont="1" applyFill="1" applyBorder="1" applyAlignment="1">
      <alignment horizontal="right"/>
    </xf>
    <xf numFmtId="0" fontId="27" fillId="0" borderId="0" xfId="68" applyFont="1" applyBorder="1" applyAlignment="1">
      <alignment horizontal="left" indent="2"/>
    </xf>
    <xf numFmtId="9" fontId="6" fillId="0" borderId="0" xfId="77" applyNumberFormat="1" applyFont="1" applyAlignment="1">
      <alignment horizontal="right"/>
    </xf>
    <xf numFmtId="232" fontId="19" fillId="0" borderId="0" xfId="37" applyNumberFormat="1" applyFont="1" applyFill="1" applyBorder="1"/>
    <xf numFmtId="9" fontId="6" fillId="0" borderId="0" xfId="77" applyFont="1" applyAlignment="1">
      <alignment horizontal="right"/>
    </xf>
    <xf numFmtId="177" fontId="6" fillId="0" borderId="0" xfId="77" applyNumberFormat="1" applyFont="1" applyAlignment="1">
      <alignment horizontal="right"/>
    </xf>
    <xf numFmtId="9" fontId="6" fillId="0" borderId="0" xfId="77" applyFont="1" applyFill="1" applyBorder="1" applyAlignment="1">
      <alignment horizontal="right"/>
    </xf>
    <xf numFmtId="238" fontId="19" fillId="0" borderId="0" xfId="61" applyNumberFormat="1" applyFont="1" applyBorder="1" applyAlignment="1">
      <alignment horizontal="right"/>
    </xf>
    <xf numFmtId="3" fontId="19" fillId="0" borderId="0" xfId="77" applyNumberFormat="1" applyFont="1" applyFill="1" applyBorder="1" applyAlignment="1">
      <alignment horizontal="right"/>
    </xf>
    <xf numFmtId="246" fontId="11" fillId="0" borderId="7" xfId="61" applyNumberFormat="1" applyFont="1" applyBorder="1" applyAlignment="1">
      <alignment horizontal="right"/>
    </xf>
    <xf numFmtId="238" fontId="19" fillId="0" borderId="0" xfId="38" applyNumberFormat="1" applyFont="1" applyBorder="1" applyAlignment="1">
      <alignment horizontal="right"/>
    </xf>
    <xf numFmtId="196" fontId="6" fillId="0" borderId="0" xfId="63" applyNumberFormat="1" applyFont="1" applyBorder="1" applyAlignment="1" applyProtection="1">
      <alignment horizontal="left"/>
    </xf>
    <xf numFmtId="238" fontId="19" fillId="0" borderId="8" xfId="38" applyNumberFormat="1" applyFont="1" applyFill="1" applyBorder="1" applyAlignment="1">
      <alignment horizontal="right"/>
    </xf>
    <xf numFmtId="238" fontId="19" fillId="0" borderId="20" xfId="38" applyNumberFormat="1" applyFont="1" applyFill="1" applyBorder="1" applyAlignment="1">
      <alignment horizontal="right"/>
    </xf>
    <xf numFmtId="238" fontId="19" fillId="0" borderId="26" xfId="38" applyNumberFormat="1" applyFont="1" applyFill="1" applyBorder="1" applyAlignment="1">
      <alignment horizontal="right"/>
    </xf>
    <xf numFmtId="195" fontId="85" fillId="0" borderId="6" xfId="68" applyNumberFormat="1" applyFont="1" applyBorder="1"/>
    <xf numFmtId="238" fontId="19" fillId="0" borderId="1" xfId="38" applyNumberFormat="1" applyFont="1" applyFill="1" applyBorder="1" applyAlignment="1">
      <alignment horizontal="right"/>
    </xf>
    <xf numFmtId="238" fontId="19" fillId="0" borderId="27" xfId="38" applyNumberFormat="1" applyFont="1" applyFill="1" applyBorder="1" applyAlignment="1">
      <alignment horizontal="right"/>
    </xf>
    <xf numFmtId="238" fontId="19" fillId="0" borderId="25" xfId="38" applyNumberFormat="1" applyFont="1" applyFill="1" applyBorder="1" applyAlignment="1">
      <alignment horizontal="right"/>
    </xf>
    <xf numFmtId="238" fontId="19" fillId="0" borderId="2" xfId="38" applyNumberFormat="1" applyFont="1" applyFill="1" applyBorder="1" applyAlignment="1">
      <alignment horizontal="right"/>
    </xf>
    <xf numFmtId="238" fontId="19" fillId="0" borderId="30" xfId="38" applyNumberFormat="1" applyFont="1" applyFill="1" applyBorder="1" applyAlignment="1">
      <alignment horizontal="right"/>
    </xf>
    <xf numFmtId="0" fontId="67" fillId="0" borderId="0" xfId="68" applyFont="1" applyFill="1" applyAlignment="1">
      <alignment vertical="justify" textRotation="90" readingOrder="2"/>
    </xf>
    <xf numFmtId="232" fontId="71" fillId="0" borderId="0" xfId="38" applyNumberFormat="1" applyFont="1" applyFill="1" applyBorder="1"/>
    <xf numFmtId="0" fontId="67" fillId="0" borderId="0" xfId="68" applyFont="1" applyFill="1" applyBorder="1" applyAlignment="1">
      <alignment vertical="justify" textRotation="90" readingOrder="2"/>
    </xf>
    <xf numFmtId="238" fontId="12" fillId="0" borderId="0" xfId="38" applyNumberFormat="1" applyFont="1" applyFill="1" applyBorder="1" applyAlignment="1">
      <alignment horizontal="left" indent="1"/>
    </xf>
    <xf numFmtId="0" fontId="67" fillId="0" borderId="0" xfId="68" applyFont="1" applyBorder="1" applyAlignment="1">
      <alignment vertical="center" textRotation="90" readingOrder="2"/>
    </xf>
    <xf numFmtId="243" fontId="6" fillId="0" borderId="0" xfId="55" applyNumberFormat="1" applyFont="1" applyBorder="1" applyAlignment="1">
      <alignment horizontal="right"/>
    </xf>
    <xf numFmtId="239" fontId="6" fillId="0" borderId="0" xfId="61" applyNumberFormat="1" applyFont="1" applyBorder="1" applyAlignment="1">
      <alignment horizontal="right"/>
    </xf>
    <xf numFmtId="237" fontId="67" fillId="0" borderId="0" xfId="68" applyNumberFormat="1" applyFont="1" applyFill="1"/>
    <xf numFmtId="195" fontId="85" fillId="0" borderId="6" xfId="68" applyNumberFormat="1" applyFont="1" applyFill="1" applyBorder="1"/>
    <xf numFmtId="195" fontId="67" fillId="0" borderId="0" xfId="68" applyNumberFormat="1" applyFont="1"/>
    <xf numFmtId="0" fontId="6" fillId="0" borderId="0" xfId="64" applyNumberFormat="1" applyFont="1" applyFill="1"/>
    <xf numFmtId="244" fontId="25" fillId="0" borderId="16" xfId="55" applyNumberFormat="1" applyFont="1" applyFill="1" applyBorder="1" applyAlignment="1">
      <alignment horizontal="right"/>
    </xf>
    <xf numFmtId="245" fontId="6" fillId="0" borderId="0" xfId="55" applyNumberFormat="1" applyFont="1" applyFill="1" applyBorder="1" applyAlignment="1">
      <alignment horizontal="right"/>
    </xf>
    <xf numFmtId="238" fontId="6" fillId="0" borderId="0" xfId="68" applyNumberFormat="1" applyFont="1" applyFill="1" applyBorder="1"/>
    <xf numFmtId="0" fontId="6" fillId="0" borderId="0" xfId="63" applyNumberFormat="1" applyFont="1" applyFill="1" applyBorder="1" applyAlignment="1" applyProtection="1">
      <alignment horizontal="left"/>
    </xf>
    <xf numFmtId="238" fontId="67" fillId="0" borderId="0" xfId="68" applyNumberFormat="1" applyFont="1" applyFill="1"/>
    <xf numFmtId="238" fontId="67" fillId="0" borderId="0" xfId="68" applyNumberFormat="1" applyFont="1" applyFill="1" applyBorder="1"/>
    <xf numFmtId="196" fontId="71" fillId="0" borderId="0" xfId="63" applyNumberFormat="1" applyFont="1" applyFill="1" applyBorder="1" applyAlignment="1" applyProtection="1">
      <alignment horizontal="left"/>
    </xf>
    <xf numFmtId="232" fontId="32" fillId="0" borderId="0" xfId="38" applyNumberFormat="1" applyFont="1" applyFill="1" applyBorder="1"/>
    <xf numFmtId="196" fontId="11" fillId="0" borderId="0" xfId="63" applyNumberFormat="1" applyFont="1" applyFill="1" applyBorder="1" applyAlignment="1" applyProtection="1">
      <alignment horizontal="left"/>
    </xf>
    <xf numFmtId="0" fontId="32" fillId="0" borderId="0" xfId="68" applyFont="1" applyFill="1" applyBorder="1"/>
    <xf numFmtId="0" fontId="67" fillId="0" borderId="0" xfId="68" applyFont="1" applyFill="1" applyAlignment="1">
      <alignment horizontal="center"/>
    </xf>
    <xf numFmtId="0" fontId="85" fillId="0" borderId="6" xfId="68" applyFont="1" applyFill="1" applyBorder="1" applyAlignment="1">
      <alignment horizontal="center"/>
    </xf>
    <xf numFmtId="254" fontId="11" fillId="23" borderId="7" xfId="68" applyNumberFormat="1" applyFont="1" applyFill="1" applyBorder="1" applyAlignment="1">
      <alignment horizontal="right"/>
    </xf>
    <xf numFmtId="254" fontId="6" fillId="0" borderId="7" xfId="68" applyNumberFormat="1" applyFont="1" applyFill="1" applyBorder="1" applyAlignment="1">
      <alignment horizontal="right"/>
    </xf>
    <xf numFmtId="254" fontId="6" fillId="0" borderId="7" xfId="68" applyNumberFormat="1" applyFont="1" applyFill="1" applyBorder="1"/>
    <xf numFmtId="0" fontId="6" fillId="23" borderId="0" xfId="64" applyFont="1" applyFill="1" applyBorder="1"/>
    <xf numFmtId="0" fontId="6" fillId="23" borderId="0" xfId="64" applyFont="1" applyFill="1" applyBorder="1" applyAlignment="1">
      <alignment horizontal="center"/>
    </xf>
    <xf numFmtId="177" fontId="6" fillId="23" borderId="0" xfId="64" applyNumberFormat="1" applyFont="1" applyFill="1" applyBorder="1" applyAlignment="1">
      <alignment horizontal="right"/>
    </xf>
    <xf numFmtId="0" fontId="6" fillId="23" borderId="0" xfId="64" applyFont="1" applyFill="1"/>
    <xf numFmtId="0" fontId="85" fillId="23" borderId="0" xfId="64" applyFont="1" applyFill="1"/>
    <xf numFmtId="0" fontId="15" fillId="23" borderId="0" xfId="64" applyFill="1" applyBorder="1"/>
    <xf numFmtId="0" fontId="15" fillId="23" borderId="0" xfId="64" applyFill="1" applyBorder="1" applyAlignment="1">
      <alignment horizontal="center"/>
    </xf>
    <xf numFmtId="0" fontId="15" fillId="23" borderId="0" xfId="64" applyFill="1" applyBorder="1" applyAlignment="1">
      <alignment horizontal="right"/>
    </xf>
    <xf numFmtId="0" fontId="15" fillId="23" borderId="0" xfId="64" applyFill="1"/>
    <xf numFmtId="232" fontId="6" fillId="23" borderId="0" xfId="37" applyNumberFormat="1" applyFont="1" applyFill="1" applyBorder="1" applyAlignment="1">
      <alignment horizontal="right"/>
    </xf>
    <xf numFmtId="0" fontId="84" fillId="23" borderId="0" xfId="64" applyFont="1" applyFill="1"/>
    <xf numFmtId="0" fontId="6" fillId="23" borderId="0" xfId="64" applyFont="1" applyFill="1" applyBorder="1" applyAlignment="1">
      <alignment horizontal="right"/>
    </xf>
    <xf numFmtId="177" fontId="6" fillId="23" borderId="0" xfId="64" applyNumberFormat="1" applyFont="1" applyFill="1" applyBorder="1" applyAlignment="1">
      <alignment horizontal="center"/>
    </xf>
    <xf numFmtId="0" fontId="71" fillId="23" borderId="0" xfId="64" applyFont="1" applyFill="1" applyBorder="1" applyAlignment="1">
      <alignment horizontal="center"/>
    </xf>
    <xf numFmtId="190" fontId="71" fillId="23" borderId="0" xfId="64" applyNumberFormat="1" applyFont="1" applyFill="1" applyBorder="1" applyAlignment="1">
      <alignment horizontal="center"/>
    </xf>
    <xf numFmtId="190" fontId="6" fillId="23" borderId="0" xfId="64" applyNumberFormat="1" applyFont="1" applyFill="1" applyBorder="1" applyAlignment="1">
      <alignment horizontal="center"/>
    </xf>
    <xf numFmtId="185" fontId="146" fillId="0" borderId="0" xfId="39" applyNumberFormat="1" applyFont="1" applyFill="1"/>
    <xf numFmtId="166" fontId="146" fillId="0" borderId="0" xfId="39" applyNumberFormat="1" applyFont="1" applyFill="1"/>
    <xf numFmtId="194" fontId="146" fillId="0" borderId="0" xfId="66" applyNumberFormat="1" applyFont="1" applyFill="1" applyBorder="1"/>
    <xf numFmtId="194" fontId="146" fillId="0" borderId="2" xfId="66" applyNumberFormat="1" applyFont="1" applyFill="1" applyBorder="1"/>
    <xf numFmtId="9" fontId="11" fillId="0" borderId="0" xfId="76" applyFont="1" applyAlignment="1">
      <alignment horizontal="right"/>
    </xf>
    <xf numFmtId="177" fontId="11" fillId="0" borderId="0" xfId="76" applyNumberFormat="1" applyFont="1" applyFill="1" applyAlignment="1">
      <alignment horizontal="left"/>
    </xf>
    <xf numFmtId="0" fontId="10" fillId="0" borderId="0" xfId="52" applyFont="1"/>
    <xf numFmtId="252" fontId="25" fillId="33" borderId="2" xfId="53" applyNumberFormat="1" applyFont="1" applyFill="1" applyBorder="1" applyAlignment="1">
      <alignment horizontal="center"/>
    </xf>
    <xf numFmtId="17" fontId="11" fillId="33" borderId="0" xfId="52" applyNumberFormat="1" applyFont="1" applyFill="1"/>
    <xf numFmtId="232" fontId="6" fillId="33" borderId="0" xfId="37" applyNumberFormat="1" applyFont="1" applyFill="1"/>
    <xf numFmtId="177" fontId="140" fillId="33" borderId="0" xfId="78" applyNumberFormat="1" applyFont="1" applyFill="1"/>
    <xf numFmtId="9" fontId="140" fillId="33" borderId="0" xfId="78" applyNumberFormat="1" applyFont="1" applyFill="1"/>
    <xf numFmtId="232" fontId="6" fillId="33" borderId="2" xfId="37" applyNumberFormat="1" applyFont="1" applyFill="1" applyBorder="1"/>
    <xf numFmtId="232" fontId="6" fillId="33" borderId="0" xfId="52" applyNumberFormat="1" applyFont="1" applyFill="1"/>
    <xf numFmtId="177" fontId="143" fillId="33" borderId="0" xfId="78" applyNumberFormat="1" applyFont="1" applyFill="1"/>
    <xf numFmtId="0" fontId="142" fillId="0" borderId="0" xfId="52" applyFont="1"/>
    <xf numFmtId="0" fontId="6" fillId="33" borderId="0" xfId="52" applyFont="1" applyFill="1"/>
    <xf numFmtId="177" fontId="6" fillId="33" borderId="0" xfId="78" applyNumberFormat="1" applyFont="1" applyFill="1"/>
    <xf numFmtId="232" fontId="6" fillId="33" borderId="0" xfId="37" quotePrefix="1" applyNumberFormat="1" applyFont="1" applyFill="1"/>
    <xf numFmtId="9" fontId="143" fillId="33" borderId="0" xfId="78" applyFont="1" applyFill="1"/>
    <xf numFmtId="0" fontId="6" fillId="33" borderId="2" xfId="52" applyFont="1" applyFill="1" applyBorder="1"/>
    <xf numFmtId="232" fontId="11" fillId="33" borderId="0" xfId="52" applyNumberFormat="1" applyFont="1" applyFill="1"/>
    <xf numFmtId="0" fontId="66" fillId="0" borderId="0" xfId="52" applyFont="1"/>
    <xf numFmtId="0" fontId="144" fillId="0" borderId="0" xfId="52" applyFont="1" applyAlignment="1">
      <alignment horizontal="center"/>
    </xf>
    <xf numFmtId="232" fontId="10" fillId="0" borderId="0" xfId="37" applyNumberFormat="1" applyFont="1"/>
    <xf numFmtId="232" fontId="117" fillId="31" borderId="28" xfId="37" applyNumberFormat="1" applyFont="1" applyFill="1" applyBorder="1"/>
    <xf numFmtId="232" fontId="6" fillId="31" borderId="7" xfId="37" applyNumberFormat="1" applyFont="1" applyFill="1" applyBorder="1"/>
    <xf numFmtId="232" fontId="6" fillId="31" borderId="29" xfId="37" applyNumberFormat="1" applyFont="1" applyFill="1" applyBorder="1"/>
    <xf numFmtId="232" fontId="10" fillId="31" borderId="28" xfId="37" applyNumberFormat="1" applyFont="1" applyFill="1" applyBorder="1"/>
    <xf numFmtId="0" fontId="6" fillId="31" borderId="7" xfId="52" applyFont="1" applyFill="1" applyBorder="1"/>
    <xf numFmtId="232" fontId="117" fillId="31" borderId="7" xfId="37" applyNumberFormat="1" applyFont="1" applyFill="1" applyBorder="1" applyAlignment="1">
      <alignment horizontal="center"/>
    </xf>
    <xf numFmtId="177" fontId="117" fillId="31" borderId="29" xfId="78" applyNumberFormat="1" applyFont="1" applyFill="1" applyBorder="1"/>
    <xf numFmtId="232" fontId="117" fillId="34" borderId="28" xfId="37" applyNumberFormat="1" applyFont="1" applyFill="1" applyBorder="1"/>
    <xf numFmtId="44" fontId="117" fillId="34" borderId="29" xfId="40" applyFont="1" applyFill="1" applyBorder="1"/>
    <xf numFmtId="0" fontId="6" fillId="35" borderId="0" xfId="52" applyFont="1" applyFill="1"/>
    <xf numFmtId="0" fontId="10" fillId="35" borderId="0" xfId="52" applyFont="1" applyFill="1"/>
    <xf numFmtId="0" fontId="11" fillId="35" borderId="0" xfId="52" applyFont="1" applyFill="1"/>
    <xf numFmtId="0" fontId="117" fillId="35" borderId="2" xfId="52" applyFont="1" applyFill="1" applyBorder="1"/>
    <xf numFmtId="252" fontId="25" fillId="35" borderId="2" xfId="53" applyNumberFormat="1" applyFont="1" applyFill="1" applyBorder="1" applyAlignment="1">
      <alignment horizontal="center"/>
    </xf>
    <xf numFmtId="17" fontId="11" fillId="35" borderId="0" xfId="52" applyNumberFormat="1" applyFont="1" applyFill="1"/>
    <xf numFmtId="0" fontId="117" fillId="35" borderId="0" xfId="52" applyFont="1" applyFill="1"/>
    <xf numFmtId="232" fontId="6" fillId="35" borderId="0" xfId="37" applyNumberFormat="1" applyFont="1" applyFill="1"/>
    <xf numFmtId="177" fontId="6" fillId="35" borderId="0" xfId="78" applyNumberFormat="1" applyFont="1" applyFill="1"/>
    <xf numFmtId="0" fontId="27" fillId="35" borderId="0" xfId="52" applyFont="1" applyFill="1"/>
    <xf numFmtId="0" fontId="141" fillId="35" borderId="0" xfId="52" applyFont="1" applyFill="1"/>
    <xf numFmtId="9" fontId="27" fillId="35" borderId="0" xfId="52" applyNumberFormat="1" applyFont="1" applyFill="1"/>
    <xf numFmtId="232" fontId="6" fillId="35" borderId="2" xfId="37" applyNumberFormat="1" applyFont="1" applyFill="1" applyBorder="1"/>
    <xf numFmtId="232" fontId="6" fillId="35" borderId="0" xfId="52" applyNumberFormat="1" applyFont="1" applyFill="1"/>
    <xf numFmtId="0" fontId="142" fillId="35" borderId="0" xfId="52" applyFont="1" applyFill="1"/>
    <xf numFmtId="9" fontId="142" fillId="35" borderId="0" xfId="78" applyFont="1" applyFill="1"/>
    <xf numFmtId="177" fontId="142" fillId="35" borderId="0" xfId="78" applyNumberFormat="1" applyFont="1" applyFill="1"/>
    <xf numFmtId="232" fontId="10" fillId="35" borderId="0" xfId="37" quotePrefix="1" applyNumberFormat="1" applyFont="1" applyFill="1"/>
    <xf numFmtId="9" fontId="6" fillId="35" borderId="0" xfId="78" applyFont="1" applyFill="1"/>
    <xf numFmtId="9" fontId="66" fillId="35" borderId="0" xfId="78" applyFont="1" applyFill="1"/>
    <xf numFmtId="9" fontId="143" fillId="35" borderId="0" xfId="78" applyFont="1" applyFill="1"/>
    <xf numFmtId="0" fontId="6" fillId="35" borderId="2" xfId="52" applyFont="1" applyFill="1" applyBorder="1"/>
    <xf numFmtId="232" fontId="11" fillId="35" borderId="0" xfId="52" applyNumberFormat="1" applyFont="1" applyFill="1"/>
    <xf numFmtId="0" fontId="66" fillId="35" borderId="0" xfId="52" applyFont="1" applyFill="1"/>
    <xf numFmtId="0" fontId="144" fillId="35" borderId="0" xfId="52" applyFont="1" applyFill="1" applyAlignment="1">
      <alignment horizontal="center"/>
    </xf>
    <xf numFmtId="232" fontId="144" fillId="35" borderId="0" xfId="37" applyNumberFormat="1" applyFont="1" applyFill="1" applyAlignment="1">
      <alignment horizontal="center"/>
    </xf>
    <xf numFmtId="0" fontId="145" fillId="35" borderId="0" xfId="52" applyFont="1" applyFill="1" applyAlignment="1">
      <alignment horizontal="center"/>
    </xf>
    <xf numFmtId="232" fontId="10" fillId="35" borderId="0" xfId="37" applyNumberFormat="1" applyFont="1" applyFill="1"/>
    <xf numFmtId="43" fontId="8" fillId="35" borderId="0" xfId="37" applyNumberFormat="1" applyFont="1" applyFill="1"/>
    <xf numFmtId="177" fontId="153" fillId="35" borderId="0" xfId="52" applyNumberFormat="1" applyFont="1" applyFill="1"/>
    <xf numFmtId="177" fontId="153" fillId="35" borderId="0" xfId="78" applyNumberFormat="1" applyFont="1" applyFill="1" applyAlignment="1">
      <alignment horizontal="right"/>
    </xf>
    <xf numFmtId="232" fontId="10" fillId="35" borderId="2" xfId="37" applyNumberFormat="1" applyFont="1" applyFill="1" applyBorder="1"/>
    <xf numFmtId="232" fontId="117" fillId="35" borderId="0" xfId="37" applyNumberFormat="1" applyFont="1" applyFill="1"/>
    <xf numFmtId="232" fontId="141" fillId="35" borderId="0" xfId="37" applyNumberFormat="1" applyFont="1" applyFill="1"/>
    <xf numFmtId="177" fontId="154" fillId="35" borderId="0" xfId="78" applyNumberFormat="1" applyFont="1" applyFill="1"/>
    <xf numFmtId="177" fontId="141" fillId="35" borderId="0" xfId="78" applyNumberFormat="1" applyFont="1" applyFill="1"/>
    <xf numFmtId="44" fontId="153" fillId="35" borderId="0" xfId="40" applyFont="1" applyFill="1"/>
    <xf numFmtId="9" fontId="10" fillId="35" borderId="0" xfId="78" applyFont="1" applyFill="1"/>
    <xf numFmtId="232" fontId="10" fillId="35" borderId="0" xfId="37" applyNumberFormat="1" applyFont="1" applyFill="1" applyBorder="1"/>
    <xf numFmtId="232" fontId="10" fillId="35" borderId="2" xfId="37" applyNumberFormat="1" applyFont="1" applyFill="1" applyBorder="1" applyAlignment="1">
      <alignment horizontal="center"/>
    </xf>
    <xf numFmtId="232" fontId="141" fillId="35" borderId="0" xfId="37" applyNumberFormat="1" applyFont="1" applyFill="1" applyAlignment="1">
      <alignment horizontal="center"/>
    </xf>
    <xf numFmtId="177" fontId="10" fillId="35" borderId="0" xfId="78" applyNumberFormat="1" applyFont="1" applyFill="1"/>
    <xf numFmtId="9" fontId="141" fillId="35" borderId="0" xfId="78" applyFont="1" applyFill="1" applyAlignment="1">
      <alignment horizontal="center"/>
    </xf>
    <xf numFmtId="177" fontId="6" fillId="35" borderId="0" xfId="78" applyNumberFormat="1" applyFont="1" applyFill="1" applyAlignment="1">
      <alignment horizontal="right"/>
    </xf>
    <xf numFmtId="178" fontId="153" fillId="0" borderId="0" xfId="52" applyNumberFormat="1" applyFont="1" applyFill="1" applyAlignment="1">
      <alignment horizontal="right"/>
    </xf>
    <xf numFmtId="177" fontId="6" fillId="0" borderId="0" xfId="0" applyNumberFormat="1" applyFont="1"/>
    <xf numFmtId="0" fontId="25" fillId="0" borderId="20" xfId="76" applyNumberFormat="1" applyFont="1" applyBorder="1" applyAlignment="1">
      <alignment horizontal="center"/>
    </xf>
    <xf numFmtId="37" fontId="6" fillId="32" borderId="0" xfId="0" applyFont="1" applyFill="1"/>
    <xf numFmtId="37" fontId="11" fillId="32" borderId="0" xfId="0" applyFont="1" applyFill="1" applyAlignment="1">
      <alignment horizontal="centerContinuous"/>
    </xf>
    <xf numFmtId="165" fontId="6" fillId="32" borderId="2" xfId="0" applyNumberFormat="1" applyFont="1" applyFill="1" applyBorder="1"/>
    <xf numFmtId="166" fontId="6" fillId="32" borderId="0" xfId="0" applyNumberFormat="1" applyFont="1" applyFill="1" applyProtection="1"/>
    <xf numFmtId="165" fontId="6" fillId="32" borderId="0" xfId="0" applyNumberFormat="1" applyFont="1" applyFill="1"/>
    <xf numFmtId="173" fontId="6" fillId="32" borderId="0" xfId="0" applyNumberFormat="1" applyFont="1" applyFill="1" applyAlignment="1" applyProtection="1">
      <alignment horizontal="left"/>
    </xf>
    <xf numFmtId="174" fontId="6" fillId="32" borderId="0" xfId="0" applyNumberFormat="1" applyFont="1" applyFill="1" applyAlignment="1" applyProtection="1">
      <alignment horizontal="left"/>
    </xf>
    <xf numFmtId="166" fontId="6" fillId="32" borderId="0" xfId="0" applyNumberFormat="1" applyFont="1" applyFill="1" applyBorder="1" applyProtection="1"/>
    <xf numFmtId="37" fontId="4" fillId="32" borderId="0" xfId="0" applyFont="1" applyFill="1"/>
    <xf numFmtId="165" fontId="19" fillId="32" borderId="0" xfId="0" applyNumberFormat="1" applyFont="1" applyFill="1"/>
    <xf numFmtId="4" fontId="9" fillId="0" borderId="20" xfId="66" applyNumberFormat="1" applyFont="1" applyFill="1" applyBorder="1" applyProtection="1"/>
    <xf numFmtId="4" fontId="9" fillId="0" borderId="2" xfId="66" applyNumberFormat="1" applyFont="1" applyFill="1" applyBorder="1" applyProtection="1"/>
    <xf numFmtId="194" fontId="9" fillId="0" borderId="20" xfId="66" applyNumberFormat="1" applyFont="1" applyFill="1" applyBorder="1"/>
    <xf numFmtId="166" fontId="9" fillId="0" borderId="20" xfId="0" applyNumberFormat="1" applyFont="1" applyBorder="1" applyProtection="1"/>
    <xf numFmtId="166" fontId="9" fillId="0" borderId="20" xfId="0" applyNumberFormat="1" applyFont="1" applyBorder="1" applyAlignment="1" applyProtection="1">
      <alignment horizontal="right"/>
    </xf>
    <xf numFmtId="40" fontId="9" fillId="0" borderId="20" xfId="35" applyFont="1" applyBorder="1"/>
    <xf numFmtId="196" fontId="16" fillId="0" borderId="0" xfId="0" quotePrefix="1" applyNumberFormat="1" applyFont="1" applyBorder="1" applyAlignment="1">
      <alignment horizontal="center"/>
    </xf>
    <xf numFmtId="203" fontId="155" fillId="0" borderId="2" xfId="58" applyNumberFormat="1" applyFont="1" applyBorder="1" applyAlignment="1">
      <alignment horizontal="centerContinuous"/>
    </xf>
    <xf numFmtId="182" fontId="21" fillId="0" borderId="2" xfId="66" applyFont="1" applyFill="1" applyBorder="1" applyAlignment="1">
      <alignment horizontal="center"/>
    </xf>
    <xf numFmtId="182" fontId="120" fillId="0" borderId="0" xfId="67" applyFont="1" applyFill="1" applyBorder="1" applyAlignment="1" applyProtection="1">
      <alignment horizontal="left"/>
    </xf>
    <xf numFmtId="182" fontId="14" fillId="0" borderId="0" xfId="67" applyFont="1" applyFill="1" applyBorder="1" applyAlignment="1">
      <alignment horizontal="centerContinuous"/>
    </xf>
    <xf numFmtId="171" fontId="6" fillId="0" borderId="0" xfId="67" applyNumberFormat="1" applyFont="1" applyFill="1" applyProtection="1"/>
    <xf numFmtId="171" fontId="6" fillId="0" borderId="2" xfId="67" applyNumberFormat="1" applyFont="1" applyFill="1" applyBorder="1"/>
    <xf numFmtId="182" fontId="149" fillId="0" borderId="0" xfId="67" applyFont="1" applyFill="1" applyAlignment="1">
      <alignment horizontal="right"/>
    </xf>
    <xf numFmtId="37" fontId="6" fillId="0" borderId="2" xfId="67" applyNumberFormat="1" applyFont="1" applyFill="1" applyBorder="1" applyProtection="1"/>
    <xf numFmtId="37" fontId="6" fillId="0" borderId="2" xfId="67" applyNumberFormat="1" applyFont="1" applyFill="1" applyBorder="1" applyAlignment="1" applyProtection="1"/>
    <xf numFmtId="166" fontId="6" fillId="0" borderId="0" xfId="67" applyNumberFormat="1" applyFont="1" applyFill="1" applyProtection="1"/>
    <xf numFmtId="7" fontId="6" fillId="0" borderId="0" xfId="62" applyNumberFormat="1" applyFont="1" applyFill="1"/>
    <xf numFmtId="40" fontId="6" fillId="0" borderId="2" xfId="35" applyFont="1" applyFill="1" applyBorder="1"/>
    <xf numFmtId="178" fontId="6" fillId="0" borderId="0" xfId="67" applyNumberFormat="1" applyFont="1" applyFill="1" applyBorder="1" applyAlignment="1" applyProtection="1">
      <alignment horizontal="right"/>
    </xf>
    <xf numFmtId="178" fontId="10" fillId="0" borderId="2" xfId="0" applyNumberFormat="1" applyFont="1" applyFill="1" applyBorder="1"/>
    <xf numFmtId="165" fontId="6" fillId="0" borderId="2" xfId="67" applyNumberFormat="1" applyFont="1" applyFill="1" applyBorder="1" applyProtection="1"/>
    <xf numFmtId="5" fontId="6" fillId="0" borderId="0" xfId="62" applyNumberFormat="1" applyFont="1" applyFill="1"/>
    <xf numFmtId="9" fontId="6" fillId="0" borderId="2" xfId="76" applyNumberFormat="1" applyFont="1" applyFill="1" applyBorder="1"/>
    <xf numFmtId="177" fontId="6" fillId="0" borderId="2" xfId="76" applyNumberFormat="1" applyFont="1" applyFill="1" applyBorder="1"/>
    <xf numFmtId="182" fontId="11" fillId="0" borderId="0" xfId="62" applyFont="1" applyFill="1" applyBorder="1" applyAlignment="1">
      <alignment horizontal="center"/>
    </xf>
    <xf numFmtId="37" fontId="4" fillId="0" borderId="0" xfId="0" applyFont="1" applyFill="1"/>
    <xf numFmtId="255" fontId="6" fillId="0" borderId="0" xfId="0" applyNumberFormat="1" applyFont="1" applyFill="1" applyAlignment="1" applyProtection="1">
      <alignment horizontal="left"/>
    </xf>
    <xf numFmtId="165" fontId="10" fillId="32" borderId="0" xfId="59" applyNumberFormat="1" applyFont="1" applyFill="1" applyBorder="1"/>
    <xf numFmtId="252" fontId="114" fillId="0" borderId="0" xfId="52" applyNumberFormat="1" applyFont="1" applyBorder="1" applyAlignment="1">
      <alignment horizontal="center"/>
    </xf>
    <xf numFmtId="165" fontId="10" fillId="0" borderId="0" xfId="59" applyNumberFormat="1" applyFont="1" applyFill="1" applyBorder="1"/>
    <xf numFmtId="166" fontId="10" fillId="0" borderId="27" xfId="59" applyNumberFormat="1" applyFont="1" applyFill="1" applyBorder="1" applyAlignment="1">
      <alignment horizontal="right"/>
    </xf>
    <xf numFmtId="191" fontId="68" fillId="0" borderId="27" xfId="76" applyNumberFormat="1" applyFont="1" applyFill="1" applyBorder="1" applyAlignment="1">
      <alignment horizontal="right"/>
    </xf>
    <xf numFmtId="6" fontId="10" fillId="0" borderId="27" xfId="39" applyNumberFormat="1" applyFont="1" applyFill="1" applyBorder="1" applyAlignment="1">
      <alignment horizontal="right"/>
    </xf>
    <xf numFmtId="6" fontId="10" fillId="0" borderId="34" xfId="39" applyNumberFormat="1" applyFont="1" applyBorder="1" applyAlignment="1">
      <alignment horizontal="right"/>
    </xf>
    <xf numFmtId="177" fontId="18" fillId="0" borderId="0" xfId="76" applyNumberFormat="1" applyFont="1" applyFill="1"/>
    <xf numFmtId="182" fontId="6" fillId="0" borderId="0" xfId="67" applyFont="1" applyFill="1" applyBorder="1" applyAlignment="1">
      <alignment horizontal="centerContinuous"/>
    </xf>
    <xf numFmtId="197" fontId="6" fillId="0" borderId="0" xfId="67" applyNumberFormat="1" applyFont="1" applyFill="1" applyProtection="1"/>
    <xf numFmtId="237" fontId="6" fillId="0" borderId="0" xfId="67" applyNumberFormat="1" applyFont="1" applyFill="1"/>
    <xf numFmtId="185" fontId="6" fillId="0" borderId="0" xfId="39" applyNumberFormat="1" applyFont="1" applyFill="1" applyBorder="1"/>
    <xf numFmtId="5" fontId="96" fillId="0" borderId="1" xfId="70" applyNumberFormat="1" applyFont="1" applyBorder="1" applyProtection="1"/>
    <xf numFmtId="177" fontId="27" fillId="33" borderId="0" xfId="78" applyNumberFormat="1" applyFont="1" applyFill="1"/>
    <xf numFmtId="9" fontId="27" fillId="33" borderId="0" xfId="78" applyNumberFormat="1" applyFont="1" applyFill="1"/>
    <xf numFmtId="40" fontId="146" fillId="0" borderId="0" xfId="0" applyNumberFormat="1" applyFont="1" applyFill="1" applyBorder="1"/>
    <xf numFmtId="1" fontId="25" fillId="0" borderId="0" xfId="67" applyNumberFormat="1" applyFont="1" applyFill="1" applyBorder="1" applyAlignment="1" applyProtection="1">
      <alignment horizontal="right"/>
    </xf>
    <xf numFmtId="9" fontId="19" fillId="0" borderId="0" xfId="76" applyFont="1" applyFill="1" applyAlignment="1">
      <alignment horizontal="center"/>
    </xf>
    <xf numFmtId="10" fontId="6" fillId="0" borderId="0" xfId="76" applyNumberFormat="1" applyFont="1"/>
    <xf numFmtId="9" fontId="128" fillId="0" borderId="0" xfId="76" applyFont="1" applyFill="1" applyAlignment="1">
      <alignment horizontal="left"/>
    </xf>
    <xf numFmtId="9" fontId="0" fillId="0" borderId="0" xfId="76" applyFont="1"/>
    <xf numFmtId="9" fontId="4" fillId="0" borderId="0" xfId="76" applyFont="1"/>
    <xf numFmtId="177" fontId="11" fillId="0" borderId="0" xfId="76" applyNumberFormat="1" applyFont="1" applyFill="1" applyBorder="1"/>
    <xf numFmtId="9" fontId="25" fillId="0" borderId="0" xfId="76" applyFont="1" applyFill="1" applyAlignment="1">
      <alignment horizontal="center"/>
    </xf>
    <xf numFmtId="177" fontId="0" fillId="0" borderId="0" xfId="76" applyNumberFormat="1" applyFont="1"/>
    <xf numFmtId="165" fontId="6" fillId="35" borderId="0" xfId="0" applyNumberFormat="1" applyFont="1" applyFill="1"/>
    <xf numFmtId="173" fontId="6" fillId="35" borderId="0" xfId="0" applyNumberFormat="1" applyFont="1" applyFill="1" applyAlignment="1" applyProtection="1">
      <alignment horizontal="left"/>
    </xf>
    <xf numFmtId="174" fontId="6" fillId="35" borderId="0" xfId="0" applyNumberFormat="1" applyFont="1" applyFill="1" applyAlignment="1" applyProtection="1">
      <alignment horizontal="left"/>
    </xf>
    <xf numFmtId="37" fontId="6" fillId="35" borderId="0" xfId="0" applyFont="1" applyFill="1"/>
    <xf numFmtId="37" fontId="11" fillId="35" borderId="0" xfId="0" applyFont="1" applyFill="1" applyAlignment="1">
      <alignment horizontal="centerContinuous"/>
    </xf>
    <xf numFmtId="166" fontId="42" fillId="35" borderId="0" xfId="0" applyNumberFormat="1" applyFont="1" applyFill="1" applyProtection="1"/>
    <xf numFmtId="165" fontId="42" fillId="35" borderId="0" xfId="0" applyNumberFormat="1" applyFont="1" applyFill="1" applyProtection="1"/>
    <xf numFmtId="165" fontId="42" fillId="35" borderId="2" xfId="0" applyNumberFormat="1" applyFont="1" applyFill="1" applyBorder="1" applyProtection="1"/>
    <xf numFmtId="166" fontId="6" fillId="35" borderId="0" xfId="0" applyNumberFormat="1" applyFont="1" applyFill="1" applyProtection="1"/>
    <xf numFmtId="177" fontId="6" fillId="0" borderId="0" xfId="76" applyNumberFormat="1" applyFont="1" applyFill="1" applyAlignment="1" applyProtection="1">
      <alignment horizontal="left"/>
    </xf>
    <xf numFmtId="177" fontId="10" fillId="0" borderId="0" xfId="59" applyNumberFormat="1" applyFont="1" applyFill="1" applyBorder="1" applyAlignment="1">
      <alignment horizontal="right"/>
    </xf>
    <xf numFmtId="177" fontId="10" fillId="0" borderId="1" xfId="59" applyNumberFormat="1" applyFont="1" applyFill="1" applyBorder="1" applyAlignment="1">
      <alignment horizontal="right"/>
    </xf>
    <xf numFmtId="191" fontId="10" fillId="0" borderId="0" xfId="76" applyNumberFormat="1" applyFont="1" applyFill="1" applyBorder="1" applyAlignment="1">
      <alignment horizontal="right"/>
    </xf>
    <xf numFmtId="191" fontId="10" fillId="0" borderId="1" xfId="76" applyNumberFormat="1" applyFont="1" applyFill="1" applyBorder="1" applyAlignment="1">
      <alignment horizontal="right"/>
    </xf>
    <xf numFmtId="191" fontId="10" fillId="0" borderId="27" xfId="76" applyNumberFormat="1" applyFont="1" applyFill="1" applyBorder="1" applyAlignment="1">
      <alignment horizontal="right"/>
    </xf>
    <xf numFmtId="177" fontId="10" fillId="0" borderId="0" xfId="59" applyNumberFormat="1" applyFont="1" applyFill="1" applyAlignment="1">
      <alignment horizontal="right"/>
    </xf>
    <xf numFmtId="0" fontId="11" fillId="35" borderId="0" xfId="52" applyFont="1" applyFill="1" applyAlignment="1">
      <alignment horizontal="center"/>
    </xf>
    <xf numFmtId="0" fontId="11" fillId="33" borderId="0" xfId="52" applyFont="1" applyFill="1" applyAlignment="1">
      <alignment horizontal="center"/>
    </xf>
    <xf numFmtId="0" fontId="25" fillId="0" borderId="7" xfId="76" applyNumberFormat="1" applyFont="1" applyBorder="1" applyAlignment="1">
      <alignment horizontal="center"/>
    </xf>
    <xf numFmtId="0" fontId="11" fillId="0" borderId="7" xfId="76" applyNumberFormat="1" applyFont="1" applyBorder="1" applyAlignment="1">
      <alignment horizontal="center"/>
    </xf>
    <xf numFmtId="0" fontId="11" fillId="0" borderId="28" xfId="76" applyNumberFormat="1" applyFont="1" applyBorder="1" applyAlignment="1">
      <alignment horizontal="center"/>
    </xf>
    <xf numFmtId="37" fontId="25" fillId="0" borderId="2" xfId="0" applyFont="1" applyFill="1" applyBorder="1" applyAlignment="1">
      <alignment horizontal="center"/>
    </xf>
    <xf numFmtId="37" fontId="25" fillId="0" borderId="2" xfId="0" quotePrefix="1" applyFont="1" applyFill="1" applyBorder="1" applyAlignment="1">
      <alignment horizontal="center"/>
    </xf>
    <xf numFmtId="37" fontId="11" fillId="0" borderId="2" xfId="0" applyFont="1" applyFill="1" applyBorder="1" applyAlignment="1">
      <alignment horizontal="center"/>
    </xf>
    <xf numFmtId="37" fontId="11" fillId="0" borderId="2" xfId="0" quotePrefix="1" applyFont="1" applyFill="1" applyBorder="1" applyAlignment="1">
      <alignment horizontal="center"/>
    </xf>
    <xf numFmtId="37" fontId="17" fillId="0" borderId="0" xfId="0" applyFont="1" applyFill="1" applyAlignment="1" applyProtection="1">
      <alignment horizontal="left"/>
    </xf>
    <xf numFmtId="9" fontId="119" fillId="0" borderId="8" xfId="76" applyFont="1" applyBorder="1" applyAlignment="1">
      <alignment horizontal="right"/>
    </xf>
    <xf numFmtId="225" fontId="6" fillId="0" borderId="1" xfId="59" applyNumberFormat="1" applyFont="1" applyBorder="1" applyAlignment="1">
      <alignment horizontal="right"/>
    </xf>
    <xf numFmtId="1" fontId="6" fillId="0" borderId="1" xfId="59" applyNumberFormat="1" applyFont="1" applyBorder="1" applyAlignment="1">
      <alignment horizontal="right"/>
    </xf>
    <xf numFmtId="1" fontId="6" fillId="0" borderId="25" xfId="59" applyNumberFormat="1" applyFont="1" applyBorder="1" applyAlignment="1">
      <alignment horizontal="right"/>
    </xf>
    <xf numFmtId="165" fontId="146" fillId="0" borderId="2" xfId="0" applyNumberFormat="1" applyFont="1" applyFill="1" applyBorder="1" applyProtection="1"/>
    <xf numFmtId="165" fontId="146" fillId="0" borderId="0" xfId="0" applyNumberFormat="1" applyFont="1" applyFill="1" applyProtection="1"/>
    <xf numFmtId="40" fontId="146" fillId="0" borderId="2" xfId="0" applyNumberFormat="1" applyFont="1" applyFill="1" applyBorder="1"/>
    <xf numFmtId="1" fontId="146" fillId="0" borderId="0" xfId="67" applyNumberFormat="1" applyFont="1" applyFill="1" applyBorder="1" applyAlignment="1" applyProtection="1">
      <alignment horizontal="right"/>
    </xf>
    <xf numFmtId="191" fontId="30" fillId="0" borderId="0" xfId="71" applyNumberFormat="1" applyFont="1" applyFill="1" applyProtection="1"/>
    <xf numFmtId="197" fontId="6" fillId="0" borderId="20" xfId="67" applyNumberFormat="1" applyFont="1" applyFill="1" applyBorder="1"/>
    <xf numFmtId="7" fontId="146" fillId="0" borderId="0" xfId="0" applyNumberFormat="1" applyFont="1" applyFill="1" applyBorder="1" applyProtection="1"/>
    <xf numFmtId="186" fontId="156" fillId="0" borderId="0" xfId="58" applyNumberFormat="1" applyFont="1"/>
    <xf numFmtId="165" fontId="146" fillId="0" borderId="0" xfId="0" applyNumberFormat="1" applyFont="1" applyFill="1" applyAlignment="1" applyProtection="1">
      <alignment horizontal="right"/>
    </xf>
    <xf numFmtId="165" fontId="146" fillId="0" borderId="0" xfId="0" applyNumberFormat="1" applyFont="1" applyAlignment="1" applyProtection="1">
      <alignment horizontal="right"/>
    </xf>
    <xf numFmtId="165" fontId="146" fillId="0" borderId="0" xfId="0" quotePrefix="1" applyNumberFormat="1" applyFont="1" applyAlignment="1" applyProtection="1">
      <alignment horizontal="right"/>
    </xf>
    <xf numFmtId="165" fontId="146" fillId="0" borderId="2" xfId="0" applyNumberFormat="1" applyFont="1" applyBorder="1" applyAlignment="1" applyProtection="1">
      <alignment horizontal="right"/>
    </xf>
    <xf numFmtId="165" fontId="146" fillId="0" borderId="0" xfId="0" applyNumberFormat="1" applyFont="1" applyFill="1" applyBorder="1" applyAlignment="1" applyProtection="1">
      <alignment horizontal="right"/>
    </xf>
    <xf numFmtId="165" fontId="146" fillId="0" borderId="0" xfId="0" applyNumberFormat="1" applyFont="1" applyBorder="1" applyAlignment="1" applyProtection="1">
      <alignment horizontal="right"/>
    </xf>
    <xf numFmtId="8" fontId="6" fillId="0" borderId="0" xfId="39" applyFont="1" applyFill="1" applyProtection="1"/>
    <xf numFmtId="8" fontId="14" fillId="0" borderId="0" xfId="39" applyFont="1" applyFill="1" applyAlignment="1">
      <alignment horizontal="centerContinuous"/>
    </xf>
    <xf numFmtId="173" fontId="146" fillId="0" borderId="0" xfId="0" applyNumberFormat="1" applyFont="1" applyFill="1" applyAlignment="1" applyProtection="1">
      <alignment horizontal="left"/>
    </xf>
    <xf numFmtId="0" fontId="6" fillId="36" borderId="0" xfId="88" applyFont="1" applyFill="1" applyAlignment="1">
      <alignment vertical="top"/>
    </xf>
    <xf numFmtId="0" fontId="157" fillId="36" borderId="0" xfId="89" applyFill="1" applyAlignment="1">
      <alignment vertical="top"/>
    </xf>
    <xf numFmtId="0" fontId="157" fillId="36" borderId="0" xfId="89" applyFill="1"/>
    <xf numFmtId="0" fontId="113" fillId="36" borderId="0" xfId="88" applyFont="1" applyFill="1" applyAlignment="1">
      <alignment horizontal="left" vertical="top"/>
    </xf>
    <xf numFmtId="0" fontId="6" fillId="36" borderId="0" xfId="89" applyFont="1" applyFill="1" applyAlignment="1">
      <alignment vertical="top"/>
    </xf>
    <xf numFmtId="0" fontId="27" fillId="36" borderId="0" xfId="88" applyFont="1" applyFill="1" applyAlignment="1">
      <alignment vertical="top"/>
    </xf>
    <xf numFmtId="37" fontId="0" fillId="36" borderId="0" xfId="0" applyFill="1" applyAlignment="1">
      <alignment vertical="top"/>
    </xf>
    <xf numFmtId="37" fontId="158" fillId="36" borderId="0" xfId="0" applyFont="1" applyFill="1" applyAlignment="1">
      <alignment vertical="top"/>
    </xf>
    <xf numFmtId="37" fontId="159" fillId="36" borderId="0" xfId="0" applyFont="1" applyFill="1" applyAlignment="1">
      <alignment vertical="top"/>
    </xf>
    <xf numFmtId="37" fontId="159" fillId="36" borderId="0" xfId="0" applyFont="1" applyFill="1" applyAlignment="1">
      <alignment vertical="top"/>
    </xf>
    <xf numFmtId="37" fontId="158" fillId="36" borderId="0" xfId="0" applyFont="1" applyFill="1" applyAlignment="1">
      <alignment vertical="top"/>
    </xf>
    <xf numFmtId="37" fontId="0" fillId="36" borderId="0" xfId="0" applyFill="1" applyAlignment="1">
      <alignment vertical="top"/>
    </xf>
    <xf numFmtId="37" fontId="0" fillId="36" borderId="51" xfId="0" applyFill="1" applyBorder="1" applyAlignment="1">
      <alignment vertical="top"/>
    </xf>
    <xf numFmtId="37" fontId="158" fillId="36" borderId="47" xfId="0" applyFont="1" applyFill="1" applyBorder="1" applyAlignment="1">
      <alignment vertical="top"/>
    </xf>
    <xf numFmtId="37" fontId="158" fillId="36" borderId="48" xfId="0" applyFont="1" applyFill="1" applyBorder="1" applyAlignment="1">
      <alignment vertical="top"/>
    </xf>
    <xf numFmtId="37" fontId="158" fillId="36" borderId="49" xfId="0" applyFont="1" applyFill="1" applyBorder="1" applyAlignment="1">
      <alignment vertical="top"/>
    </xf>
    <xf numFmtId="37" fontId="158" fillId="36" borderId="50" xfId="0" applyFont="1" applyFill="1" applyBorder="1" applyAlignment="1">
      <alignment vertical="top"/>
    </xf>
    <xf numFmtId="37" fontId="0" fillId="36" borderId="52" xfId="0" applyFill="1" applyBorder="1" applyAlignment="1">
      <alignment vertical="top"/>
    </xf>
    <xf numFmtId="2" fontId="6" fillId="0" borderId="0" xfId="52" applyNumberFormat="1" applyAlignment="1">
      <alignment horizontal="left"/>
    </xf>
    <xf numFmtId="0" fontId="6" fillId="0" borderId="0" xfId="52" applyNumberFormat="1" applyAlignment="1">
      <alignment horizontal="left"/>
    </xf>
    <xf numFmtId="1" fontId="6" fillId="0" borderId="0" xfId="52" applyNumberFormat="1" applyAlignment="1">
      <alignment horizontal="left"/>
    </xf>
    <xf numFmtId="264" fontId="6" fillId="0" borderId="0" xfId="52" applyNumberFormat="1" applyAlignment="1">
      <alignment horizontal="left"/>
    </xf>
    <xf numFmtId="49" fontId="6" fillId="0" borderId="0" xfId="52" applyNumberFormat="1"/>
  </cellXfs>
  <cellStyles count="90">
    <cellStyle name=" 1" xfId="1"/>
    <cellStyle name="******************************************" xfId="3"/>
    <cellStyle name="_SUMMARY " xfId="4"/>
    <cellStyle name="0_Capex &amp; Depreciation " xfId="5"/>
    <cellStyle name="0_Valuing BP " xfId="6"/>
    <cellStyle name="20% - Accent1" xfId="7" builtinId="30" customBuiltin="1"/>
    <cellStyle name="20% - Accent2" xfId="8" builtinId="34" customBuiltin="1"/>
    <cellStyle name="20% - Accent3" xfId="9" builtinId="38" customBuiltin="1"/>
    <cellStyle name="20% - Accent4" xfId="10" builtinId="42" customBuiltin="1"/>
    <cellStyle name="20% - Accent5" xfId="11" builtinId="46" customBuiltin="1"/>
    <cellStyle name="20% - Accent6" xfId="12" builtinId="50" customBuiltin="1"/>
    <cellStyle name="40% - Accent1" xfId="13" builtinId="31" customBuiltin="1"/>
    <cellStyle name="40% - Accent2" xfId="14" builtinId="35" customBuiltin="1"/>
    <cellStyle name="40% - Accent3" xfId="15" builtinId="39" customBuiltin="1"/>
    <cellStyle name="40% - Accent4" xfId="16" builtinId="43" customBuiltin="1"/>
    <cellStyle name="40% - Accent5" xfId="17" builtinId="47" customBuiltin="1"/>
    <cellStyle name="40% - Accent6" xfId="18" builtinId="51" customBuiltin="1"/>
    <cellStyle name="60% - Accent1" xfId="19" builtinId="32" customBuiltin="1"/>
    <cellStyle name="60% - Accent2" xfId="20" builtinId="36" customBuiltin="1"/>
    <cellStyle name="60% - Accent3" xfId="21" builtinId="40" customBuiltin="1"/>
    <cellStyle name="60% - Accent4" xfId="22" builtinId="44" customBuiltin="1"/>
    <cellStyle name="60% - Accent5" xfId="23" builtinId="48" customBuiltin="1"/>
    <cellStyle name="60% - Accent6" xfId="24" builtinId="52" customBuiltin="1"/>
    <cellStyle name="Accent1" xfId="25" builtinId="29" customBuiltin="1"/>
    <cellStyle name="Accent2" xfId="26" builtinId="33" customBuiltin="1"/>
    <cellStyle name="Accent3" xfId="27" builtinId="37" customBuiltin="1"/>
    <cellStyle name="Accent4" xfId="28" builtinId="41" customBuiltin="1"/>
    <cellStyle name="Accent5" xfId="29" builtinId="45" customBuiltin="1"/>
    <cellStyle name="Accent6" xfId="30" builtinId="49" customBuiltin="1"/>
    <cellStyle name="Bad" xfId="31" builtinId="27" customBuiltin="1"/>
    <cellStyle name="c_HardInc " xfId="32"/>
    <cellStyle name="Calculation" xfId="33" builtinId="22" customBuiltin="1"/>
    <cellStyle name="Check Cell" xfId="34" builtinId="23" customBuiltin="1"/>
    <cellStyle name="Comma" xfId="35" builtinId="3"/>
    <cellStyle name="Comma 2" xfId="36"/>
    <cellStyle name="Comma 3" xfId="37"/>
    <cellStyle name="Comma_Lease Module TPG example 30062004 capex" xfId="38"/>
    <cellStyle name="Currency" xfId="39" builtinId="4"/>
    <cellStyle name="Currency 2" xfId="40"/>
    <cellStyle name="Explanatory Text" xfId="41" builtinId="53" customBuiltin="1"/>
    <cellStyle name="f‰H_x0010_‹Ëf‰h,ÿt$_x0018_è¸Wÿÿé&gt;Ëÿÿ÷Ç_x0001_" xfId="42"/>
    <cellStyle name="Good" xfId="43" builtinId="26" customBuiltin="1"/>
    <cellStyle name="Heading 1" xfId="44" builtinId="16" customBuiltin="1"/>
    <cellStyle name="Heading 2" xfId="45" builtinId="17" customBuiltin="1"/>
    <cellStyle name="Heading 3" xfId="46" builtinId="18" customBuiltin="1"/>
    <cellStyle name="Heading 4" xfId="47" builtinId="19" customBuiltin="1"/>
    <cellStyle name="Hyperlink 2" xfId="48"/>
    <cellStyle name="Input" xfId="49" builtinId="20" customBuiltin="1"/>
    <cellStyle name="Linked Cell" xfId="50" builtinId="24" customBuiltin="1"/>
    <cellStyle name="Neutral" xfId="51" builtinId="28" customBuiltin="1"/>
    <cellStyle name="Normal" xfId="0" builtinId="0"/>
    <cellStyle name="Normal 2" xfId="52"/>
    <cellStyle name="Normal 3" xfId="89"/>
    <cellStyle name="Normal_ABSANUAL" xfId="53"/>
    <cellStyle name="Normal_AEO" xfId="54"/>
    <cellStyle name="Normal_Analysis V5" xfId="55"/>
    <cellStyle name="Normal_AXP_interactive_final" xfId="56"/>
    <cellStyle name="Normal_BALSHEET" xfId="57"/>
    <cellStyle name="Normal_CHS" xfId="58"/>
    <cellStyle name="Normal_DHQTR" xfId="59"/>
    <cellStyle name="Normal_DisclaimerSheet Samples" xfId="88"/>
    <cellStyle name="Normal_GAPQOR1" xfId="60"/>
    <cellStyle name="Normal_GM Demo 2" xfId="61"/>
    <cellStyle name="Normal_GPSDIFF" xfId="62"/>
    <cellStyle name="Normal_hd roic 2" xfId="63"/>
    <cellStyle name="Normal_LeaseT_Testing_Original (version 1) 2" xfId="64"/>
    <cellStyle name="Normal_MONTHSAL" xfId="65"/>
    <cellStyle name="Normal_NEWFLOW" xfId="66"/>
    <cellStyle name="Normal_NEWSPACE" xfId="67"/>
    <cellStyle name="Normal_RSH" xfId="68"/>
    <cellStyle name="Normal_Sheet1_1" xfId="69"/>
    <cellStyle name="Normal_STORESUM" xfId="70"/>
    <cellStyle name="Normal_Total" xfId="71"/>
    <cellStyle name="Normal_UA Model" xfId="72"/>
    <cellStyle name="Note" xfId="73" builtinId="10" customBuiltin="1"/>
    <cellStyle name="Output" xfId="74" builtinId="21" customBuiltin="1"/>
    <cellStyle name="p " xfId="75"/>
    <cellStyle name="Percent" xfId="76" builtinId="5"/>
    <cellStyle name="Percent 2" xfId="77"/>
    <cellStyle name="Percent 3" xfId="78"/>
    <cellStyle name="RRSInstruction" xfId="2"/>
    <cellStyle name="RRSInstruction 2" xfId="79"/>
    <cellStyle name="s_HardInc " xfId="80"/>
    <cellStyle name="s_Valuation " xfId="81"/>
    <cellStyle name="ssp " xfId="82"/>
    <cellStyle name="Style 32 2" xfId="83"/>
    <cellStyle name="Title" xfId="84" builtinId="15" customBuiltin="1"/>
    <cellStyle name="Total" xfId="85" builtinId="25" customBuiltin="1"/>
    <cellStyle name="Underline" xfId="86"/>
    <cellStyle name="Warning Text" xfId="87" builtinId="11" customBuiltin="1"/>
  </cellStyles>
  <dxfs count="1">
    <dxf>
      <fill>
        <patternFill>
          <bgColor indexed="22"/>
        </patternFill>
      </fill>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74BE74"/>
      <rgbColor rgb="002270AB"/>
      <rgbColor rgb="00F8CD14"/>
      <rgbColor rgb="00F26163"/>
      <rgbColor rgb="00A8D7E2"/>
      <rgbColor rgb="00B2122B"/>
      <rgbColor rgb="00238B45"/>
      <rgbColor rgb="001B4694"/>
      <rgbColor rgb="0041A95C"/>
      <rgbColor rgb="00800080"/>
      <rgbColor rgb="00238B45"/>
      <rgbColor rgb="00C0C0C0"/>
      <rgbColor rgb="00808080"/>
      <rgbColor rgb="00137CB1"/>
      <rgbColor rgb="00EACC80"/>
      <rgbColor rgb="004AAC6B"/>
      <rgbColor rgb="00A8D7E2"/>
      <rgbColor rgb="00E58061"/>
      <rgbColor rgb="00BCE3A1"/>
      <rgbColor rgb="008E466A"/>
      <rgbColor rgb="00F3A7A9"/>
      <rgbColor rgb="001275A6"/>
      <rgbColor rgb="00E5BF61"/>
      <rgbColor rgb="004AAC6B"/>
      <rgbColor rgb="0097D0DD"/>
      <rgbColor rgb="00763A58"/>
      <rgbColor rgb="00EF8D8F"/>
      <rgbColor rgb="00E2704C"/>
      <rgbColor rgb="00A5D981"/>
      <rgbColor rgb="0069ADCA"/>
      <rgbColor rgb="00C6D9E2"/>
      <rgbColor rgb="00E3EEDE"/>
      <rgbColor rgb="00F3EEA1"/>
      <rgbColor rgb="009DC9DC"/>
      <rgbColor rgb="00EFC1D2"/>
      <rgbColor rgb="009DC9DC"/>
      <rgbColor rgb="00EFC49F"/>
      <rgbColor rgb="004091BF"/>
      <rgbColor rgb="0097D0DD"/>
      <rgbColor rgb="00A5D981"/>
      <rgbColor rgb="00F8CD14"/>
      <rgbColor rgb="00EACC80"/>
      <rgbColor rgb="00FC7114"/>
      <rgbColor rgb="004091BF"/>
      <rgbColor rgb="00969696"/>
      <rgbColor rgb="00003366"/>
      <rgbColor rgb="0041A95C"/>
      <rgbColor rgb="00125A31"/>
      <rgbColor rgb="00125A31"/>
      <rgbColor rgb="00DDDDDD"/>
      <rgbColor rgb="008E466A"/>
      <rgbColor rgb="001B4694"/>
      <rgbColor rgb="00333333"/>
    </indexedColors>
  </colors>
  <extLst>
    <ext xmlns:x14="http://schemas.microsoft.com/office/spreadsheetml/2009/9/main" uri="{EB79DEF2-80B8-43e5-95BD-54CBDDF9020C}">
      <x14:slicerStyles defaultSlicerStyle="SlicerStyleLight1"/>
    </ext>
  </extLst>
</styleSheet>
</file>

<file path=xl/volatileDependencies.xml><?xml version="1.0" encoding="utf-8"?>
<volTypes xmlns="http://schemas.openxmlformats.org/spreadsheetml/2006/main">
  <volType type="realTimeData">
    <main first="thomsononeaddinshim.rtdformula">
      <tp t="s">
        <v xml:space="preserve">                           -                 </v>
        <stp/>
        <stp>ec0c7eb1-6152-4ed9-af1f-4ea6ca1c042b</stp>
        <tr r="H196" s="72"/>
      </tp>
      <tp>
        <v>0</v>
        <stp/>
        <stp>ac83d7b5-f01e-4e47-a390-4ad82d7171a2</stp>
        <tr r="I191" s="72"/>
      </tp>
      <tp>
        <v>0</v>
        <stp/>
        <stp>47fa956a-6a5f-4f96-859c-7a479d0fb5f0</stp>
        <tr r="H190" s="72"/>
      </tp>
      <tp>
        <v>0</v>
        <stp/>
        <stp>5fae0ce9-3110-4726-9601-ef1009934cb5</stp>
        <tr r="P190" s="72"/>
      </tp>
      <tp t="s">
        <v xml:space="preserve">                           -                 </v>
        <stp/>
        <stp>e153b08a-d86a-40d4-a60a-8287d9cc8f0b</stp>
        <tr r="H194" s="72"/>
      </tp>
      <tp>
        <v>178</v>
        <stp/>
        <stp>092ca859-26be-4a53-b2ff-aa8da8e121cb</stp>
        <tr r="H81" s="72"/>
      </tp>
      <tp>
        <v>195</v>
        <stp/>
        <stp>ad360b9d-8de7-4355-8907-44fbc1ea203b</stp>
        <tr r="H80" s="72"/>
      </tp>
      <tp>
        <v>228</v>
        <stp/>
        <stp>117a57cc-8814-4895-8353-3d736e50a1bc</stp>
        <tr r="H76" s="72"/>
      </tp>
      <tp>
        <v>0</v>
        <stp/>
        <stp>139de316-5719-4e1d-b880-2fb4e945e620</stp>
        <tr r="N190" s="72"/>
      </tp>
      <tp t="s">
        <v>#NAME?</v>
        <stp/>
        <stp>db381f5c-1ef3-4c11-88d6-106d7b1a3328</stp>
        <tr r="F16" s="59"/>
      </tp>
      <tp>
        <v>213</v>
        <stp/>
        <stp>c74a8ce8-34b7-41ff-a1a7-ef7bfb543f24</stp>
        <tr r="H79" s="72"/>
      </tp>
      <tp>
        <v>0</v>
        <stp/>
        <stp>decab5cc-6175-4e44-abbb-01ab2bf37a22</stp>
        <tr r="O190" s="72"/>
      </tp>
      <tp>
        <v>75</v>
        <stp/>
        <stp>c620bd70-8bf5-41c0-9a9f-6eb38ac16cca</stp>
        <tr r="H195" s="72"/>
      </tp>
      <tp>
        <v>234</v>
        <stp/>
        <stp>207858ef-8b1a-4c93-817d-3fbced98821a</stp>
        <tr r="H77" s="72"/>
      </tp>
      <tp>
        <v>42763</v>
        <stp/>
        <stp>64201ce4-bf35-4fdf-a820-8e6b910180b0</stp>
        <tr r="I4" s="72"/>
      </tp>
      <tp t="s">
        <v>#NAME?</v>
        <stp/>
        <stp>7ae753ab-eb2b-4b3b-93a3-bbd25ca4839a</stp>
        <tr r="F8" s="59"/>
      </tp>
      <tp t="s">
        <v>#NAME?</v>
        <stp/>
        <stp>5f72d45f-2cb6-4a79-be31-970f1ba908a9</stp>
        <tr r="F13" s="59"/>
      </tp>
      <tp>
        <v>230</v>
        <stp/>
        <stp>937b38e8-6898-4237-a2e7-a8601365ec42</stp>
        <tr r="H78" s="72"/>
      </tp>
      <tp>
        <v>2.8698717106</v>
        <stp/>
        <stp>21744592-ffc7-440e-a446-34c59fa06f3b</stp>
        <tr r="N25" s="66"/>
      </tp>
      <tp>
        <v>0</v>
        <stp/>
        <stp>26e74b58-6d44-40ed-b1e3-304167e22cbb</stp>
        <tr r="K190" s="72"/>
      </tp>
      <tp>
        <v>9.6202634152000002</v>
        <stp/>
        <stp>9daf4afe-02ee-49b1-8da4-41ce428eeae4</stp>
        <tr r="N26" s="66"/>
      </tp>
      <tp>
        <v>0</v>
        <stp/>
        <stp>58542259-e518-4e25-86d9-31beffcf67e9</stp>
        <tr r="I190" s="72"/>
      </tp>
      <tp t="s">
        <v>#NAME?</v>
        <stp/>
        <stp>4de0c7ec-97d2-41c2-85ce-1e22480e58cd</stp>
        <tr r="F4" s="59"/>
      </tp>
      <tp>
        <v>0</v>
        <stp/>
        <stp>ce3fcfd3-6c3a-4a00-9b8c-9a12ce18ef11</stp>
        <tr r="L190" s="72"/>
      </tp>
      <tp>
        <v>0</v>
        <stp/>
        <stp>c6ae2fa0-f80b-496e-ae76-ecb56a4e446e</stp>
        <tr r="J190" s="72"/>
      </tp>
      <tp>
        <v>0</v>
        <stp/>
        <stp>0aa4e6e8-0482-4dcb-83a7-0a8095ed5b7a</stp>
        <tr r="G56" s="72"/>
      </tp>
      <tp>
        <v>720</v>
        <stp/>
        <stp>73d02404-f489-4d8b-b203-62b81e7c57d4</stp>
        <tr r="H68" s="72"/>
      </tp>
      <tp t="s">
        <v>#NAME?</v>
        <stp/>
        <stp>f420326a-1fad-494f-abe8-444711b53b3b</stp>
        <tr r="F22" s="59"/>
      </tp>
      <tp t="s">
        <v>#NAME?</v>
        <stp/>
        <stp>28dea924-2150-45f2-ac6a-b17917914d87</stp>
        <tr r="F20" s="59"/>
      </tp>
      <tp>
        <v>0</v>
        <stp/>
        <stp>b10681e1-2991-4585-aaee-14896e1f3f4e</stp>
        <tr r="M190" s="72"/>
      </tp>
      <tp t="s">
        <v>American Eagle Outfitters Inc</v>
        <stp/>
        <stp>567cc0f7-dfd9-467e-916a-fa5ad7a0e181</stp>
        <tr r="C4" s="72"/>
      </tp>
    </main>
  </volType>
</volTypes>
</file>

<file path=xl/_rels/workbook.xml.rels><?xml version="1.0" encoding="UTF-8" standalone="yes"?>
<Relationships xmlns="http://schemas.openxmlformats.org/package/2006/relationships">
<Relationship Id="rId1" Target="worksheets/sheet1.xml" Type="http://schemas.openxmlformats.org/officeDocument/2006/relationships/worksheet"/>
<Relationship Id="rId10" Target="worksheets/sheet10.xml" Type="http://schemas.openxmlformats.org/officeDocument/2006/relationships/worksheet"/>
<Relationship Id="rId11" Target="worksheets/sheet11.xml" Type="http://schemas.openxmlformats.org/officeDocument/2006/relationships/worksheet"/>
<Relationship Id="rId12" Target="worksheets/sheet12.xml" Type="http://schemas.openxmlformats.org/officeDocument/2006/relationships/worksheet"/>
<Relationship Id="rId13" Target="worksheets/sheet13.xml" Type="http://schemas.openxmlformats.org/officeDocument/2006/relationships/worksheet"/>
<Relationship Id="rId14" Target="worksheets/sheet14.xml" Type="http://schemas.openxmlformats.org/officeDocument/2006/relationships/worksheet"/>
<Relationship Id="rId15" Target="worksheets/sheet15.xml" Type="http://schemas.openxmlformats.org/officeDocument/2006/relationships/worksheet"/>
<Relationship Id="rId16" Target="worksheets/sheet16.xml" Type="http://schemas.openxmlformats.org/officeDocument/2006/relationships/worksheet"/>
<Relationship Id="rId17" Target="worksheets/sheet17.xml" Type="http://schemas.openxmlformats.org/officeDocument/2006/relationships/worksheet"/>
<Relationship Id="rId18" Target="worksheets/sheet18.xml" Type="http://schemas.openxmlformats.org/officeDocument/2006/relationships/worksheet"/>
<Relationship Id="rId19" Target="worksheets/sheet19.xml" Type="http://schemas.openxmlformats.org/officeDocument/2006/relationships/worksheet"/>
<Relationship Id="rId2" Target="worksheets/sheet2.xml" Type="http://schemas.openxmlformats.org/officeDocument/2006/relationships/worksheet"/>
<Relationship Id="rId20" Target="worksheets/sheet20.xml" Type="http://schemas.openxmlformats.org/officeDocument/2006/relationships/worksheet"/>
<Relationship Id="rId21" Target="worksheets/sheet21.xml" Type="http://schemas.openxmlformats.org/officeDocument/2006/relationships/worksheet"/>
<Relationship Id="rId22" Target="externalLinks/externalLink1.xml" Type="http://schemas.openxmlformats.org/officeDocument/2006/relationships/externalLink"/>
<Relationship Id="rId23" Target="externalLinks/externalLink2.xml" Type="http://schemas.openxmlformats.org/officeDocument/2006/relationships/externalLink"/>
<Relationship Id="rId24" Target="externalLinks/externalLink3.xml" Type="http://schemas.openxmlformats.org/officeDocument/2006/relationships/externalLink"/>
<Relationship Id="rId25" Target="theme/theme1.xml" Type="http://schemas.openxmlformats.org/officeDocument/2006/relationships/theme"/>
<Relationship Id="rId26" Target="styles.xml" Type="http://schemas.openxmlformats.org/officeDocument/2006/relationships/styles"/>
<Relationship Id="rId27" Target="sharedStrings.xml" Type="http://schemas.openxmlformats.org/officeDocument/2006/relationships/sharedStrings"/>
<Relationship Id="rId28" Target="calcChain.xml" Type="http://schemas.openxmlformats.org/officeDocument/2006/relationships/calcChain"/>
<Relationship Id="rId29" Target="../customXml/item1.xml" Type="http://schemas.openxmlformats.org/officeDocument/2006/relationships/customXml"/>
<Relationship Id="rId3" Target="worksheets/sheet3.xml" Type="http://schemas.openxmlformats.org/officeDocument/2006/relationships/worksheet"/>
<Relationship Id="rId30" Target="../customXml/item2.xml" Type="http://schemas.openxmlformats.org/officeDocument/2006/relationships/customXml"/>
<Relationship Id="rId31" Target="volatileDependencies.xml" Type="http://schemas.openxmlformats.org/officeDocument/2006/relationships/volatileDependencies"/>
<Relationship Id="rId32" Target="vbaProject.bin" Type="http://schemas.microsoft.com/office/2006/relationships/vbaProject"/>
<Relationship Id="rId4" Target="worksheets/sheet4.xml" Type="http://schemas.openxmlformats.org/officeDocument/2006/relationships/worksheet"/>
<Relationship Id="rId5" Target="worksheets/sheet5.xml" Type="http://schemas.openxmlformats.org/officeDocument/2006/relationships/worksheet"/>
<Relationship Id="rId6" Target="worksheets/sheet6.xml" Type="http://schemas.openxmlformats.org/officeDocument/2006/relationships/worksheet"/>
<Relationship Id="rId7" Target="worksheets/sheet7.xml" Type="http://schemas.openxmlformats.org/officeDocument/2006/relationships/worksheet"/>
<Relationship Id="rId8" Target="worksheets/sheet8.xml" Type="http://schemas.openxmlformats.org/officeDocument/2006/relationships/worksheet"/>
<Relationship Id="rId9" Target="worksheets/sheet9.xml" Type="http://schemas.openxmlformats.org/officeDocument/2006/relationships/worksheet"/>
</Relationships>

</file>

<file path=xl/activeX/_rels/activeX1.xml.rels><?xml version="1.0" encoding="UTF-8" standalone="yes"?>
<Relationships xmlns="http://schemas.openxmlformats.org/package/2006/relationships">
<Relationship Id="rId1" Target="activeX1.bin" Type="http://schemas.microsoft.com/office/2006/relationships/activeXControlBinary"/>
</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vert="horz"/>
          <a:lstStyle/>
          <a:p>
            <a:pPr algn="l">
              <a:defRPr sz="1400" b="0" i="0">
                <a:solidFill>
                  <a:srgbClr val="333333"/>
                </a:solidFill>
                <a:latin typeface="Arial"/>
                <a:ea typeface="Arial"/>
                <a:cs typeface="Arial"/>
              </a:defRPr>
            </a:pPr>
            <a:r>
              <a:rPr lang="en-US"/>
              <a:t>Inventory vs. Forward Sales</a:t>
            </a:r>
          </a:p>
        </c:rich>
      </c:tx>
      <c:layout>
        <c:manualLayout>
          <c:xMode val="edge"/>
          <c:yMode val="edge"/>
          <c:x val="0"/>
          <c:y val="0"/>
        </c:manualLayout>
      </c:layout>
      <c:overlay val="0"/>
      <c:spPr>
        <a:noFill/>
        <a:ln w="25400">
          <a:noFill/>
        </a:ln>
        <a:extLst>
          <a:ext uri="{909E8E84-426E-40DD-AFC4-6F175D3DCCD1}">
            <a14:hiddenFill xmlns:a14="http://schemas.microsoft.com/office/drawing/2010/main">
              <a:noFill/>
            </a14:hiddenFill>
          </a:ext>
        </a:extLst>
      </c:spPr>
    </c:title>
    <c:autoTitleDeleted val="0"/>
    <c:plotArea>
      <c:layout>
        <c:manualLayout>
          <c:layoutTarget val="inner"/>
          <c:xMode val="edge"/>
          <c:yMode val="edge"/>
          <c:x val="0.10629378074429438"/>
          <c:y val="0.11880670628700828"/>
          <c:w val="0.88220879467881086"/>
          <c:h val="0.71807020730970561"/>
        </c:manualLayout>
      </c:layout>
      <c:barChart>
        <c:barDir val="col"/>
        <c:grouping val="clustered"/>
        <c:varyColors val="0"/>
        <c:ser>
          <c:idx val="0"/>
          <c:order val="0"/>
          <c:tx>
            <c:strRef>
              <c:f>'Inv to Sales'!$B$4</c:f>
              <c:strCache>
                <c:ptCount val="1"/>
                <c:pt idx="0">
                  <c:v>Inventory Growth</c:v>
                </c:pt>
              </c:strCache>
            </c:strRef>
          </c:tx>
          <c:spPr>
            <a:solidFill>
              <a:srgbClr val="137CB1"/>
            </a:solidFill>
            <a:ln w="25400">
              <a:noFill/>
            </a:ln>
          </c:spPr>
          <c:invertIfNegative val="0"/>
          <c:cat>
            <c:strRef>
              <c:f>'Inv to Sales'!$C$3:$N$3</c:f>
              <c:strCache>
                <c:ptCount val="12"/>
                <c:pt idx="0">
                  <c:v>1Q15</c:v>
                </c:pt>
                <c:pt idx="1">
                  <c:v>2Q15</c:v>
                </c:pt>
                <c:pt idx="2">
                  <c:v>3Q15</c:v>
                </c:pt>
                <c:pt idx="3">
                  <c:v>4Q15</c:v>
                </c:pt>
                <c:pt idx="4">
                  <c:v>1Q16</c:v>
                </c:pt>
                <c:pt idx="5">
                  <c:v>2Q16</c:v>
                </c:pt>
                <c:pt idx="6">
                  <c:v>3Q16</c:v>
                </c:pt>
                <c:pt idx="7">
                  <c:v>4Q16</c:v>
                </c:pt>
                <c:pt idx="8">
                  <c:v>1Q17</c:v>
                </c:pt>
                <c:pt idx="9">
                  <c:v>2Q17</c:v>
                </c:pt>
                <c:pt idx="10">
                  <c:v>3Q17</c:v>
                </c:pt>
                <c:pt idx="11">
                  <c:v>4Q17</c:v>
                </c:pt>
              </c:strCache>
            </c:strRef>
          </c:cat>
          <c:val>
            <c:numRef>
              <c:f>'Inv to Sales'!$C$4:$N$4</c:f>
              <c:numCache>
                <c:formatCode>0.0%</c:formatCode>
                <c:ptCount val="12"/>
                <c:pt idx="0">
                  <c:v>1.0314382124167354E-2</c:v>
                </c:pt>
                <c:pt idx="1">
                  <c:v>3.870933295365564E-2</c:v>
                </c:pt>
                <c:pt idx="2">
                  <c:v>2.3688298607851044E-2</c:v>
                </c:pt>
                <c:pt idx="3">
                  <c:v>9.3937742855913844E-2</c:v>
                </c:pt>
                <c:pt idx="4">
                  <c:v>4.978280148506764E-3</c:v>
                </c:pt>
                <c:pt idx="5">
                  <c:v>3.3313669864224238E-2</c:v>
                </c:pt>
                <c:pt idx="6">
                  <c:v>2.6833899972692921E-2</c:v>
                </c:pt>
                <c:pt idx="7">
                  <c:v>0.17454731337121299</c:v>
                </c:pt>
                <c:pt idx="8">
                  <c:v>8.9658720733710062E-2</c:v>
                </c:pt>
                <c:pt idx="9">
                  <c:v>2.6784254923001516E-2</c:v>
                </c:pt>
                <c:pt idx="10">
                  <c:v>8.4078018359649467E-2</c:v>
                </c:pt>
                <c:pt idx="11">
                  <c:v>0.11094279194076663</c:v>
                </c:pt>
              </c:numCache>
            </c:numRef>
          </c:val>
        </c:ser>
        <c:ser>
          <c:idx val="1"/>
          <c:order val="1"/>
          <c:tx>
            <c:strRef>
              <c:f>'Inv to Sales'!$B$5</c:f>
              <c:strCache>
                <c:ptCount val="1"/>
                <c:pt idx="0">
                  <c:v>Forward Sales Growth</c:v>
                </c:pt>
              </c:strCache>
            </c:strRef>
          </c:tx>
          <c:spPr>
            <a:solidFill>
              <a:srgbClr val="EACC80"/>
            </a:solidFill>
            <a:ln w="25400">
              <a:noFill/>
            </a:ln>
          </c:spPr>
          <c:invertIfNegative val="0"/>
          <c:cat>
            <c:strRef>
              <c:f>'Inv to Sales'!$C$3:$N$3</c:f>
              <c:strCache>
                <c:ptCount val="12"/>
                <c:pt idx="0">
                  <c:v>1Q15</c:v>
                </c:pt>
                <c:pt idx="1">
                  <c:v>2Q15</c:v>
                </c:pt>
                <c:pt idx="2">
                  <c:v>3Q15</c:v>
                </c:pt>
                <c:pt idx="3">
                  <c:v>4Q15</c:v>
                </c:pt>
                <c:pt idx="4">
                  <c:v>1Q16</c:v>
                </c:pt>
                <c:pt idx="5">
                  <c:v>2Q16</c:v>
                </c:pt>
                <c:pt idx="6">
                  <c:v>3Q16</c:v>
                </c:pt>
                <c:pt idx="7">
                  <c:v>4Q16</c:v>
                </c:pt>
                <c:pt idx="8">
                  <c:v>1Q17</c:v>
                </c:pt>
                <c:pt idx="9">
                  <c:v>2Q17</c:v>
                </c:pt>
                <c:pt idx="10">
                  <c:v>3Q17</c:v>
                </c:pt>
                <c:pt idx="11">
                  <c:v>4Q17</c:v>
                </c:pt>
              </c:strCache>
            </c:strRef>
          </c:cat>
          <c:val>
            <c:numRef>
              <c:f>'Inv to Sales'!$C$5:$N$5</c:f>
              <c:numCache>
                <c:formatCode>0.0%</c:formatCode>
                <c:ptCount val="12"/>
                <c:pt idx="0">
                  <c:v>0.12219759497322658</c:v>
                </c:pt>
                <c:pt idx="1">
                  <c:v>7.5831392150206733E-2</c:v>
                </c:pt>
                <c:pt idx="2">
                  <c:v>3.1697443586014007E-2</c:v>
                </c:pt>
                <c:pt idx="3">
                  <c:v>7.1328911253430993E-2</c:v>
                </c:pt>
                <c:pt idx="4">
                  <c:v>3.1558962063032769E-2</c:v>
                </c:pt>
                <c:pt idx="5">
                  <c:v>2.343341979736091E-2</c:v>
                </c:pt>
                <c:pt idx="6">
                  <c:v>-7.7607005791134887E-3</c:v>
                </c:pt>
                <c:pt idx="7">
                  <c:v>1.657290476851303E-2</c:v>
                </c:pt>
                <c:pt idx="8">
                  <c:v>2.6699684169833482E-2</c:v>
                </c:pt>
                <c:pt idx="9">
                  <c:v>2.1075707334290872E-2</c:v>
                </c:pt>
                <c:pt idx="10">
                  <c:v>7.9824542536495902E-2</c:v>
                </c:pt>
                <c:pt idx="11">
                  <c:v>6.0980366250628748E-2</c:v>
                </c:pt>
              </c:numCache>
            </c:numRef>
          </c:val>
        </c:ser>
        <c:dLbls>
          <c:showLegendKey val="0"/>
          <c:showVal val="0"/>
          <c:showCatName val="0"/>
          <c:showSerName val="0"/>
          <c:showPercent val="0"/>
          <c:showBubbleSize val="0"/>
        </c:dLbls>
        <c:gapWidth val="60"/>
        <c:axId val="618631936"/>
        <c:axId val="618633472"/>
      </c:barChart>
      <c:lineChart>
        <c:grouping val="standard"/>
        <c:varyColors val="0"/>
        <c:ser>
          <c:idx val="2"/>
          <c:order val="2"/>
          <c:tx>
            <c:strRef>
              <c:f>'Inv to Sales'!$B$6</c:f>
              <c:strCache>
                <c:ptCount val="1"/>
                <c:pt idx="0">
                  <c:v>Spread</c:v>
                </c:pt>
              </c:strCache>
            </c:strRef>
          </c:tx>
          <c:spPr>
            <a:effectLst/>
          </c:spPr>
          <c:marker>
            <c:symbol val="none"/>
          </c:marker>
          <c:cat>
            <c:strRef>
              <c:f>'Inv to Sales'!$C$3:$N$3</c:f>
              <c:strCache>
                <c:ptCount val="12"/>
                <c:pt idx="0">
                  <c:v>1Q15</c:v>
                </c:pt>
                <c:pt idx="1">
                  <c:v>2Q15</c:v>
                </c:pt>
                <c:pt idx="2">
                  <c:v>3Q15</c:v>
                </c:pt>
                <c:pt idx="3">
                  <c:v>4Q15</c:v>
                </c:pt>
                <c:pt idx="4">
                  <c:v>1Q16</c:v>
                </c:pt>
                <c:pt idx="5">
                  <c:v>2Q16</c:v>
                </c:pt>
                <c:pt idx="6">
                  <c:v>3Q16</c:v>
                </c:pt>
                <c:pt idx="7">
                  <c:v>4Q16</c:v>
                </c:pt>
                <c:pt idx="8">
                  <c:v>1Q17</c:v>
                </c:pt>
                <c:pt idx="9">
                  <c:v>2Q17</c:v>
                </c:pt>
                <c:pt idx="10">
                  <c:v>3Q17</c:v>
                </c:pt>
                <c:pt idx="11">
                  <c:v>4Q17</c:v>
                </c:pt>
              </c:strCache>
            </c:strRef>
          </c:cat>
          <c:val>
            <c:numRef>
              <c:f>'Inv to Sales'!$C$6:$N$6</c:f>
              <c:numCache>
                <c:formatCode>0.0%</c:formatCode>
                <c:ptCount val="12"/>
                <c:pt idx="0">
                  <c:v>0.11188321284905922</c:v>
                </c:pt>
                <c:pt idx="1">
                  <c:v>3.7122059196551094E-2</c:v>
                </c:pt>
                <c:pt idx="2">
                  <c:v>8.0091449781629631E-3</c:v>
                </c:pt>
                <c:pt idx="3">
                  <c:v>-2.2608831602482851E-2</c:v>
                </c:pt>
                <c:pt idx="4">
                  <c:v>2.6580681914526005E-2</c:v>
                </c:pt>
                <c:pt idx="5">
                  <c:v>-9.8802500668633275E-3</c:v>
                </c:pt>
                <c:pt idx="6">
                  <c:v>-3.4594600551806409E-2</c:v>
                </c:pt>
                <c:pt idx="7">
                  <c:v>-0.15797440860269996</c:v>
                </c:pt>
                <c:pt idx="8">
                  <c:v>-6.295903656387658E-2</c:v>
                </c:pt>
                <c:pt idx="9">
                  <c:v>-5.708547588710644E-3</c:v>
                </c:pt>
                <c:pt idx="10">
                  <c:v>-4.2534758231535658E-3</c:v>
                </c:pt>
                <c:pt idx="11">
                  <c:v>-4.9962425690137882E-2</c:v>
                </c:pt>
              </c:numCache>
            </c:numRef>
          </c:val>
          <c:smooth val="0"/>
        </c:ser>
        <c:dLbls>
          <c:showLegendKey val="0"/>
          <c:showVal val="0"/>
          <c:showCatName val="0"/>
          <c:showSerName val="0"/>
          <c:showPercent val="0"/>
          <c:showBubbleSize val="0"/>
        </c:dLbls>
        <c:marker val="1"/>
        <c:smooth val="0"/>
        <c:axId val="618631936"/>
        <c:axId val="618633472"/>
      </c:lineChart>
      <c:catAx>
        <c:axId val="618631936"/>
        <c:scaling>
          <c:orientation val="minMax"/>
        </c:scaling>
        <c:delete val="0"/>
        <c:axPos val="b"/>
        <c:numFmt formatCode="#,##0_);\(#,##0\)" sourceLinked="1"/>
        <c:majorTickMark val="none"/>
        <c:minorTickMark val="none"/>
        <c:tickLblPos val="low"/>
        <c:spPr>
          <a:ln w="12700">
            <a:solidFill>
              <a:srgbClr val="808080"/>
            </a:solidFill>
            <a:prstDash val="solid"/>
          </a:ln>
        </c:spPr>
        <c:txPr>
          <a:bodyPr rot="0" vert="horz"/>
          <a:lstStyle/>
          <a:p>
            <a:pPr>
              <a:defRPr sz="1200" b="0" i="0">
                <a:solidFill>
                  <a:srgbClr val="808080"/>
                </a:solidFill>
                <a:latin typeface="Arial"/>
                <a:ea typeface="Arial"/>
                <a:cs typeface="Arial"/>
              </a:defRPr>
            </a:pPr>
            <a:endParaRPr lang="en-US"/>
          </a:p>
        </c:txPr>
        <c:crossAx val="618633472"/>
        <c:crosses val="autoZero"/>
        <c:auto val="1"/>
        <c:lblAlgn val="ctr"/>
        <c:lblOffset val="100"/>
        <c:tickLblSkip val="1"/>
        <c:tickMarkSkip val="1"/>
        <c:noMultiLvlLbl val="0"/>
      </c:catAx>
      <c:valAx>
        <c:axId val="618633472"/>
        <c:scaling>
          <c:orientation val="minMax"/>
        </c:scaling>
        <c:delete val="0"/>
        <c:axPos val="l"/>
        <c:majorGridlines>
          <c:spPr>
            <a:ln w="12700">
              <a:solidFill>
                <a:srgbClr val="C0C0C0"/>
              </a:solidFill>
              <a:prstDash val="solid"/>
            </a:ln>
          </c:spPr>
        </c:majorGridlines>
        <c:numFmt formatCode="0%" sourceLinked="0"/>
        <c:majorTickMark val="none"/>
        <c:minorTickMark val="none"/>
        <c:tickLblPos val="nextTo"/>
        <c:spPr>
          <a:ln w="9525">
            <a:noFill/>
          </a:ln>
        </c:spPr>
        <c:txPr>
          <a:bodyPr rot="0" vert="horz"/>
          <a:lstStyle/>
          <a:p>
            <a:pPr>
              <a:defRPr sz="1400" b="0" i="0">
                <a:solidFill>
                  <a:srgbClr val="808080"/>
                </a:solidFill>
                <a:latin typeface="Arial"/>
                <a:ea typeface="Arial"/>
                <a:cs typeface="Arial"/>
              </a:defRPr>
            </a:pPr>
            <a:endParaRPr lang="en-US"/>
          </a:p>
        </c:txPr>
        <c:crossAx val="618631936"/>
        <c:crosses val="autoZero"/>
        <c:crossBetween val="between"/>
      </c:valAx>
      <c:spPr>
        <a:noFill/>
        <a:ln w="25400">
          <a:noFill/>
        </a:ln>
      </c:spPr>
    </c:plotArea>
    <c:legend>
      <c:legendPos val="b"/>
      <c:layout>
        <c:manualLayout>
          <c:xMode val="edge"/>
          <c:yMode val="edge"/>
          <c:x val="7.9893384016653093E-2"/>
          <c:y val="0.90616707394334328"/>
          <c:w val="0.89999981898814363"/>
          <c:h val="8.2549853682082897E-2"/>
        </c:manualLayout>
      </c:layout>
      <c:overlay val="0"/>
    </c:legend>
    <c:plotVisOnly val="1"/>
    <c:dispBlanksAs val="gap"/>
    <c:showDLblsOverMax val="0"/>
  </c:chart>
  <c:spPr>
    <a:solidFill>
      <a:srgbClr val="FFFFFF"/>
    </a:solidFill>
    <a:ln w="9525">
      <a:noFill/>
    </a:ln>
  </c:spPr>
  <c:txPr>
    <a:bodyPr/>
    <a:lstStyle/>
    <a:p>
      <a:pPr>
        <a:defRPr sz="1400" b="0" i="0">
          <a:solidFill>
            <a:srgbClr val="808080"/>
          </a:solidFill>
          <a:latin typeface="Arial"/>
          <a:ea typeface="Arial"/>
          <a:cs typeface="Arial"/>
        </a:defRPr>
      </a:pPr>
      <a:endParaRPr lang="en-US"/>
    </a:p>
  </c:txPr>
  <c:printSettings>
    <c:headerFooter/>
    <c:pageMargins b="0.75" l="0.7" r="0.7" t="0.75" header="0.3" footer="0.3"/>
    <c:pageSetup orientation="landscape"/>
  </c:printSettings>
</c:chartSpace>
</file>

<file path=xl/drawings/_rels/drawing1.xml.rels><?xml version="1.0" encoding="UTF-8" standalone="yes"?>
<Relationships xmlns="http://schemas.openxmlformats.org/package/2006/relationships">
<Relationship Id="rId1" Target="../media/image1.png" Type="http://schemas.openxmlformats.org/officeDocument/2006/relationships/image"/>
<Relationship Id="rId2" Target="../media/image2.jpeg" Type="http://schemas.openxmlformats.org/officeDocument/2006/relationships/image"/>
<Relationship Id="rId3" Target="../media/image3.gif" Type="http://schemas.openxmlformats.org/officeDocument/2006/relationships/image"/>
</Relationships>

</file>

<file path=xl/drawings/_rels/drawing3.xml.rels><?xml version="1.0" encoding="UTF-8" standalone="yes"?>
<Relationships xmlns="http://schemas.openxmlformats.org/package/2006/relationships">
<Relationship Id="rId1" Target="../charts/chart1.xml" Type="http://schemas.openxmlformats.org/officeDocument/2006/relationships/chart"/>
</Relationships>

</file>

<file path=xl/drawings/_rels/drawing4.xml.rels><?xml version="1.0" encoding="UTF-8" standalone="yes"?>
<Relationships xmlns="http://schemas.openxmlformats.org/package/2006/relationships">
<Relationship Id="rId1" Target="../media/image5.png" Type="http://schemas.openxmlformats.org/officeDocument/2006/relationships/image"/>
</Relationships>

</file>

<file path=xl/drawings/_rels/vmlDrawing13.vml.rels><?xml version="1.0" encoding="UTF-8" standalone="yes"?>
<Relationships xmlns="http://schemas.openxmlformats.org/package/2006/relationships">
<Relationship Id="rId1" Target="../media/image4.emf" Type="http://schemas.openxmlformats.org/officeDocument/2006/relationships/image"/>
</Relationships>

</file>

<file path=xl/drawings/drawing1.xml><?xml version="1.0" encoding="utf-8"?>
<xdr:wsDr xmlns:xdr="http://schemas.openxmlformats.org/drawingml/2006/spreadsheetDrawing" xmlns:a="http://schemas.openxmlformats.org/drawingml/2006/main">
  <xdr:twoCellAnchor editAs="oneCell">
    <xdr:from>
      <xdr:col>0</xdr:col>
      <xdr:colOff>19050</xdr:colOff>
      <xdr:row>0</xdr:row>
      <xdr:rowOff>28575</xdr:rowOff>
    </xdr:from>
    <xdr:to>
      <xdr:col>0</xdr:col>
      <xdr:colOff>1581150</xdr:colOff>
      <xdr:row>0</xdr:row>
      <xdr:rowOff>323850</xdr:rowOff>
    </xdr:to>
    <xdr:pic>
      <xdr:nvPicPr>
        <xdr:cNvPr id="2" name="Picture 4"/>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050" y="28575"/>
          <a:ext cx="1562100" cy="2952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19050</xdr:colOff>
      <xdr:row>0</xdr:row>
      <xdr:rowOff>95250</xdr:rowOff>
    </xdr:from>
    <xdr:to>
      <xdr:col>1</xdr:col>
      <xdr:colOff>285750</xdr:colOff>
      <xdr:row>0</xdr:row>
      <xdr:rowOff>314325</xdr:rowOff>
    </xdr:to>
    <xdr:pic>
      <xdr:nvPicPr>
        <xdr:cNvPr id="3" name="Picture 6" descr="MSMS_logo_3" hidden="1"/>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9050" y="95250"/>
          <a:ext cx="2219325" cy="2190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161</xdr:row>
      <xdr:rowOff>0</xdr:rowOff>
    </xdr:from>
    <xdr:to>
      <xdr:col>6</xdr:col>
      <xdr:colOff>285750</xdr:colOff>
      <xdr:row>184</xdr:row>
      <xdr:rowOff>104775</xdr:rowOff>
    </xdr:to>
    <xdr:pic>
      <xdr:nvPicPr>
        <xdr:cNvPr id="6691841" name="Picture 1" descr="C:\Users\casselau\AppData\Local\Temp\MercuryPriceRatingHistoryChart\AEO.N_2018_03_08_20_20_25.gif"/>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0" y="24536400"/>
          <a:ext cx="6400800" cy="38290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29</xdr:col>
      <xdr:colOff>0</xdr:colOff>
      <xdr:row>10</xdr:row>
      <xdr:rowOff>114300</xdr:rowOff>
    </xdr:from>
    <xdr:to>
      <xdr:col>29</xdr:col>
      <xdr:colOff>9525</xdr:colOff>
      <xdr:row>10</xdr:row>
      <xdr:rowOff>142875</xdr:rowOff>
    </xdr:to>
    <xdr:sp macro="" textlink="">
      <xdr:nvSpPr>
        <xdr:cNvPr id="6237894" name="Oval 52"/>
        <xdr:cNvSpPr>
          <a:spLocks noChangeArrowheads="1"/>
        </xdr:cNvSpPr>
      </xdr:nvSpPr>
      <xdr:spPr bwMode="auto">
        <a:xfrm>
          <a:off x="8629650" y="1714500"/>
          <a:ext cx="9525" cy="28575"/>
        </a:xfrm>
        <a:prstGeom prst="ellips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Lst>
      </xdr:spPr>
    </xdr:sp>
    <xdr:clientData/>
  </xdr:twoCellAnchor>
  <xdr:twoCellAnchor>
    <xdr:from>
      <xdr:col>29</xdr:col>
      <xdr:colOff>0</xdr:colOff>
      <xdr:row>10</xdr:row>
      <xdr:rowOff>114300</xdr:rowOff>
    </xdr:from>
    <xdr:to>
      <xdr:col>29</xdr:col>
      <xdr:colOff>9525</xdr:colOff>
      <xdr:row>10</xdr:row>
      <xdr:rowOff>142875</xdr:rowOff>
    </xdr:to>
    <xdr:sp macro="" textlink="">
      <xdr:nvSpPr>
        <xdr:cNvPr id="6237895" name="Oval 53"/>
        <xdr:cNvSpPr>
          <a:spLocks noChangeArrowheads="1"/>
        </xdr:cNvSpPr>
      </xdr:nvSpPr>
      <xdr:spPr bwMode="auto">
        <a:xfrm>
          <a:off x="8629650" y="1714500"/>
          <a:ext cx="9525" cy="28575"/>
        </a:xfrm>
        <a:prstGeom prst="ellipse">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Lst>
      </xdr:spPr>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114300</xdr:colOff>
      <xdr:row>11</xdr:row>
      <xdr:rowOff>47625</xdr:rowOff>
    </xdr:from>
    <xdr:to>
      <xdr:col>13</xdr:col>
      <xdr:colOff>152400</xdr:colOff>
      <xdr:row>33</xdr:row>
      <xdr:rowOff>9525</xdr:rowOff>
    </xdr:to>
    <xdr:graphicFrame macro="">
      <xdr:nvGraphicFramePr>
        <xdr:cNvPr id="7413888"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editAs="absolute">
    <xdr:from>
      <xdr:col>0</xdr:col>
      <xdr:colOff>19050</xdr:colOff>
      <xdr:row>1</xdr:row>
      <xdr:rowOff>38100</xdr:rowOff>
    </xdr:from>
    <xdr:to>
      <xdr:col>11</xdr:col>
      <xdr:colOff>285750</xdr:colOff>
      <xdr:row>2</xdr:row>
      <xdr:rowOff>0</xdr:rowOff>
    </xdr:to>
    <xdr:sp macro="" textlink="">
      <xdr:nvSpPr>
        <xdr:cNvPr id="2" name="Text Box 7"/>
        <xdr:cNvSpPr txBox="1">
          <a:spLocks noChangeArrowheads="1"/>
        </xdr:cNvSpPr>
      </xdr:nvSpPr>
      <xdr:spPr bwMode="auto">
        <a:xfrm>
          <a:off x="19050" y="609600"/>
          <a:ext cx="7258050" cy="3714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en-US" sz="1000" b="0" i="0" u="none" strike="noStrike" baseline="0">
              <a:solidFill>
                <a:srgbClr val="000000"/>
              </a:solidFill>
              <a:latin typeface="Arial"/>
              <a:cs typeface="Arial"/>
            </a:rPr>
            <a:t>1. Enter Ticker in I3 and press refresh button.</a:t>
          </a:r>
        </a:p>
        <a:p>
          <a:pPr algn="l" rtl="0">
            <a:defRPr sz="1000"/>
          </a:pPr>
          <a:r>
            <a:rPr lang="en-US" sz="1000" b="0" i="0" u="none" strike="noStrike" baseline="0">
              <a:solidFill>
                <a:srgbClr val="000000"/>
              </a:solidFill>
              <a:latin typeface="Arial"/>
              <a:cs typeface="Arial"/>
            </a:rPr>
            <a:t>2. Check all data in </a:t>
          </a:r>
          <a:r>
            <a:rPr lang="en-US" sz="1000" b="1" i="0" u="none" strike="noStrike" baseline="0">
              <a:solidFill>
                <a:srgbClr val="137CB1"/>
              </a:solidFill>
              <a:latin typeface="Arial"/>
              <a:cs typeface="Arial"/>
            </a:rPr>
            <a:t>blue</a:t>
          </a:r>
          <a:r>
            <a:rPr lang="en-US" sz="1000" b="0" i="0" u="none" strike="noStrike" baseline="0">
              <a:solidFill>
                <a:srgbClr val="000000"/>
              </a:solidFill>
              <a:latin typeface="Arial"/>
              <a:cs typeface="Arial"/>
            </a:rPr>
            <a:t> for accuracy.</a:t>
          </a:r>
          <a:endParaRPr lang="en-US" sz="1000" b="1" i="0" u="none" strike="noStrike" baseline="0">
            <a:solidFill>
              <a:srgbClr val="000000"/>
            </a:solidFill>
            <a:latin typeface="Arial"/>
            <a:cs typeface="Arial"/>
          </a:endParaRPr>
        </a:p>
        <a:p>
          <a:pPr algn="l" rtl="0">
            <a:defRPr sz="1000"/>
          </a:pPr>
          <a:endParaRPr lang="en-US" sz="1000" b="1" i="0" u="none" strike="noStrike" baseline="0">
            <a:solidFill>
              <a:srgbClr val="000000"/>
            </a:solidFill>
            <a:latin typeface="Arial"/>
            <a:cs typeface="Arial"/>
          </a:endParaRPr>
        </a:p>
      </xdr:txBody>
    </xdr:sp>
    <xdr:clientData/>
  </xdr:twoCellAnchor>
  <xdr:twoCellAnchor>
    <xdr:from>
      <xdr:col>2</xdr:col>
      <xdr:colOff>66675</xdr:colOff>
      <xdr:row>0</xdr:row>
      <xdr:rowOff>19050</xdr:rowOff>
    </xdr:from>
    <xdr:to>
      <xdr:col>4</xdr:col>
      <xdr:colOff>57150</xdr:colOff>
      <xdr:row>0</xdr:row>
      <xdr:rowOff>447675</xdr:rowOff>
    </xdr:to>
    <xdr:pic>
      <xdr:nvPicPr>
        <xdr:cNvPr id="6660666" name="Picture 8" descr="MS ModelWare"/>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9550" y="19050"/>
          <a:ext cx="1781175" cy="428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14</xdr:col>
          <xdr:colOff>485775</xdr:colOff>
          <xdr:row>1</xdr:row>
          <xdr:rowOff>57150</xdr:rowOff>
        </xdr:from>
        <xdr:to>
          <xdr:col>17</xdr:col>
          <xdr:colOff>95250</xdr:colOff>
          <xdr:row>2</xdr:row>
          <xdr:rowOff>76200</xdr:rowOff>
        </xdr:to>
        <xdr:sp macro="" textlink="">
          <xdr:nvSpPr>
            <xdr:cNvPr id="6660097" name="CommandButton2" hidden="1">
              <a:extLst>
                <a:ext uri="{63B3BB69-23CF-44E3-9099-C40C66FF867C}">
                  <a14:compatExt spid="_x0000_s6660097"/>
                </a:ext>
              </a:extLst>
            </xdr:cNvPr>
            <xdr:cNvSpPr/>
          </xdr:nvSpPr>
          <xdr:spPr>
            <a:xfrm>
              <a:off x="0" y="0"/>
              <a:ext cx="0" cy="0"/>
            </a:xfrm>
            <a:prstGeom prst="rect">
              <a:avLst/>
            </a:prstGeom>
          </xdr:spPr>
        </xdr:sp>
        <xdr:clientData/>
      </xdr:twoCellAnchor>
    </mc:Choice>
    <mc:Fallback/>
  </mc:AlternateContent>
</xdr:wsDr>
</file>

<file path=xl/externalLinks/_rels/externalLink1.xml.rels><?xml version="1.0" encoding="UTF-8" standalone="yes"?>
<Relationships xmlns="http://schemas.openxmlformats.org/package/2006/relationships">
<Relationship Id="rId1" Target="TEMP/data/excel/P.XLS" TargetMode="External" Type="http://schemas.microsoft.com/office/2006/relationships/xlExternalLinkPath/xlStartup"/>
</Relationships>

</file>

<file path=xl/externalLinks/_rels/externalLink2.xml.rels><?xml version="1.0" encoding="UTF-8" standalone="yes"?>
<Relationships xmlns="http://schemas.openxmlformats.org/package/2006/relationships">
<Relationship Id="rId1" Target="file://///Sony/c/business/&#38750;&#37444;/&#38750;&#37444;&#20250;~1/&#21516;&#21644;&#37489;&#26989;/5714work.wk4" TargetMode="External" Type="http://schemas.openxmlformats.org/officeDocument/2006/relationships/externalLinkPath"/>
</Relationships>

</file>

<file path=xl/externalLinks/_rels/externalLink3.xml.rels><?xml version="1.0" encoding="UTF-8" standalone="yes"?>
<Relationships xmlns="http://schemas.openxmlformats.org/package/2006/relationships">
<Relationship Id="rId1" Target="TEMPLATE/Excel/LINKTAB.XLS" TargetMode="External" Type="http://schemas.microsoft.com/office/2006/relationships/xlExternalLinkPath/xlStartup"/>
</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isclaimer"/>
      <sheetName val="P"/>
      <sheetName val="BS"/>
      <sheetName val="TOSCO"/>
      <sheetName val="Segment ROCE"/>
      <sheetName val="ROGIC"/>
      <sheetName val="E&amp;P"/>
      <sheetName val="NEPS"/>
      <sheetName val="RefineryMaint"/>
      <sheetName val="Hamaca"/>
      <sheetName val="Bohai"/>
      <sheetName val="Bayu Undan"/>
      <sheetName val="R&amp;M"/>
      <sheetName val="GPM"/>
      <sheetName val="Variance"/>
      <sheetName val="ARCO - Alaska"/>
      <sheetName val="Capex"/>
      <sheetName val="Reserves"/>
      <sheetName val="WACC"/>
      <sheetName val="Valuation"/>
      <sheetName val="NAV"/>
      <sheetName val="Chemical JV"/>
      <sheetName val="Chems"/>
      <sheetName val="EKOFISK"/>
      <sheetName val="PUDS"/>
      <sheetName val="GE Data"/>
      <sheetName val="IndexInformation"/>
      <sheetName val="MainCode"/>
      <sheetName val="NY UPLOAD"/>
      <sheetName val="NY UPLOAD Shadow"/>
      <sheetName val="Distribution"/>
      <sheetName val="A-Link Source"/>
      <sheetName val="Q-Link Source"/>
      <sheetName val="Income Statement"/>
      <sheetName val="Revenue&amp;EBIT"/>
      <sheetName val="Fin. Summary"/>
      <sheetName val="COP"/>
      <sheetName val="XOM"/>
      <sheetName val="New Source Charts"/>
      <sheetName val="Modelware"/>
      <sheetName val="R&amp;MIS"/>
      <sheetName val="E&amp;P Growth &amp; Returns"/>
      <sheetName val="Global Product Sum"/>
      <sheetName val="Scenario"/>
      <sheetName val="Quarter"/>
      <sheetName val="Annual"/>
      <sheetName val="AN"/>
      <sheetName val="COC"/>
      <sheetName val="Inputs"/>
      <sheetName val="ｾｸﾞﾒﾝﾄ"/>
      <sheetName val="単独"/>
      <sheetName val="Factset Profile"/>
      <sheetName val="cash"/>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単独"/>
      <sheetName val="連結"/>
      <sheetName val="期中"/>
      <sheetName val="valu"/>
      <sheetName val="増減分析"/>
      <sheetName val="新素材"/>
      <sheetName val="子会社"/>
      <sheetName val="環境"/>
      <sheetName val="製錬拠点"/>
      <sheetName val="ﾃｨｻﾊﾟ"/>
      <sheetName val="ﾚｲﾃﾞﾌﾟﾗﾀ"/>
      <sheetName val="小坂"/>
      <sheetName val="中計"/>
      <sheetName val="cash"/>
      <sheetName val="ｾｸﾞﾒﾝﾄ"/>
      <sheetName val="含み益"/>
      <sheetName val="capx"/>
      <sheetName val="dep"/>
      <sheetName val="人"/>
      <sheetName val="exp"/>
      <sheetName val="Valuation Matrix"/>
      <sheetName val="HANDOUT"/>
      <sheetName val="Interm-Euro"/>
      <sheetName val="SCATTER DATA"/>
      <sheetName val="10 Yr DCF"/>
      <sheetName val="Annual-Euro"/>
      <sheetName val="Residual Income Model"/>
      <sheetName val="P"/>
      <sheetName val="Risk-Reward_View_Chart"/>
      <sheetName val="Sheet1"/>
      <sheetName val="variables"/>
      <sheetName val="Operating Leases tagged"/>
      <sheetName val="EARNMOD"/>
      <sheetName val="WACC"/>
      <sheetName val="Fixed Line Mkt"/>
      <sheetName val="Cash Flow"/>
      <sheetName val="upside_downside"/>
      <sheetName val="Income Statement"/>
      <sheetName val="Balance Sheet"/>
      <sheetName val="Valsum"/>
      <sheetName val="Model"/>
      <sheetName val="Intrinsic Value"/>
      <sheetName val="Rev by Geo"/>
      <sheetName val="exh 11"/>
      <sheetName val="exh 14"/>
      <sheetName val="exh 12"/>
      <sheetName val="exh 10"/>
      <sheetName val="exh 1 and 5"/>
      <sheetName val="exh 15"/>
      <sheetName val="exh 3"/>
      <sheetName val="exh 9"/>
      <sheetName val="Good 12-00 (2)"/>
      <sheetName val="Good 11-36"/>
      <sheetName val="Good 11-50"/>
      <sheetName val="Sheet3 (5)"/>
      <sheetName val="DCF"/>
      <sheetName val="OP"/>
      <sheetName val="Inputs"/>
      <sheetName val="MWA RR"/>
      <sheetName val="Summary"/>
      <sheetName val="IS"/>
      <sheetName val="IS Quarterly"/>
      <sheetName val="Sheet1 (2)"/>
      <sheetName val="1Q11 Preview"/>
      <sheetName val="2Q11 Preview"/>
      <sheetName val="Total_Production"/>
      <sheetName val="RFS"/>
      <sheetName val="Corn_Uses"/>
      <sheetName val="US_Production"/>
      <sheetName val="Report template"/>
      <sheetName val="Model (WIP)"/>
      <sheetName val="Exclusion List"/>
      <sheetName val="fin"/>
      <sheetName val="sales bkd"/>
      <sheetName val="Presentation"/>
      <sheetName val="Valuation"/>
    </sheetNames>
    <sheetDataSet>
      <sheetData sheetId="0" refreshError="1">
        <row r="14">
          <cell r="AR14">
            <v>28</v>
          </cell>
        </row>
        <row r="15">
          <cell r="AR15">
            <v>5</v>
          </cell>
        </row>
        <row r="16">
          <cell r="AR16">
            <v>14</v>
          </cell>
        </row>
        <row r="17">
          <cell r="AR17">
            <v>6</v>
          </cell>
        </row>
        <row r="18">
          <cell r="AR18">
            <v>-5</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row r="164">
          <cell r="E164">
            <v>1247</v>
          </cell>
          <cell r="F164">
            <v>1807</v>
          </cell>
          <cell r="G164">
            <v>2812</v>
          </cell>
          <cell r="H164">
            <v>2828</v>
          </cell>
          <cell r="I164">
            <v>6670</v>
          </cell>
        </row>
        <row r="165">
          <cell r="E165" t="e">
            <v>#VALUE!</v>
          </cell>
          <cell r="F165" t="e">
            <v>#VALUE!</v>
          </cell>
          <cell r="G165" t="e">
            <v>#VALUE!</v>
          </cell>
          <cell r="H165" t="e">
            <v>#VALUE!</v>
          </cell>
          <cell r="I165" t="e">
            <v>#VALUE!</v>
          </cell>
        </row>
        <row r="167">
          <cell r="E167">
            <v>2721</v>
          </cell>
          <cell r="F167">
            <v>1584</v>
          </cell>
          <cell r="G167">
            <v>1802</v>
          </cell>
          <cell r="H167">
            <v>1616</v>
          </cell>
          <cell r="I167">
            <v>795</v>
          </cell>
        </row>
      </sheetData>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ining"/>
      <sheetName val="Insurance"/>
      <sheetName val="Banks"/>
      <sheetName val="Oils"/>
      <sheetName val="General Europe"/>
      <sheetName val="General UK"/>
      <sheetName val="Latest_Chart"/>
      <sheetName val="Add4Sheet"/>
      <sheetName val="Module2"/>
      <sheetName val="Module1"/>
      <sheetName val="LINKTAB"/>
      <sheetName val="Model"/>
      <sheetName val="Market_Share"/>
      <sheetName val="Assumptions"/>
      <sheetName val="P"/>
      <sheetName val="Summary"/>
      <sheetName val="Consol_Income"/>
      <sheetName val="Rate Case"/>
      <sheetName val="Balance Sheet"/>
      <sheetName val="Sheet9"/>
      <sheetName val="Leases"/>
      <sheetName val="Graph"/>
      <sheetName val="Income"/>
      <sheetName val="Financial Summary"/>
      <sheetName val="Cash flow"/>
      <sheetName val="Profit &amp; Loss"/>
      <sheetName val="Inputs, sensitivity &amp; val"/>
      <sheetName val="Exclusion List"/>
      <sheetName val="CFOld"/>
      <sheetName val="PLOld"/>
      <sheetName val="Headline"/>
      <sheetName val="MTT old"/>
      <sheetName val="BizJet Deliveries"/>
      <sheetName val="DOMNETREV1002B"/>
      <sheetName val="c1"/>
      <sheetName val="Monthly figures"/>
      <sheetName val="Consolidated"/>
      <sheetName val="CENMODEL"/>
      <sheetName val="Customize Your Statement"/>
      <sheetName val="Sainsbury"/>
      <sheetName val="KQ"/>
    </sheetNames>
    <definedNames>
      <definedName name="Download_series"/>
      <definedName name="Update_This"/>
    </definedNames>
    <sheetDataSet>
      <sheetData sheetId="0"/>
      <sheetData sheetId="1"/>
      <sheetData sheetId="2"/>
      <sheetData sheetId="3"/>
      <sheetData sheetId="4"/>
      <sheetData sheetId="5"/>
      <sheetData sheetId="6" refreshError="1"/>
      <sheetData sheetId="7"/>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
<Relationship Id="rId1" Target="../printerSettings/printerSettings1.bin" Type="http://schemas.openxmlformats.org/officeDocument/2006/relationships/printerSettings"/>
<Relationship Id="rId2" Target="../drawings/drawing1.xml" Type="http://schemas.openxmlformats.org/officeDocument/2006/relationships/drawing"/>
</Relationships>

</file>

<file path=xl/worksheets/_rels/sheet2.xml.rels><?xml version="1.0" encoding="UTF-8" standalone="yes"?>
<Relationships xmlns="http://schemas.openxmlformats.org/package/2006/relationships">
<Relationship Id="rId1" Target="../printerSettings/printerSettings2.bin" Type="http://schemas.openxmlformats.org/officeDocument/2006/relationships/printerSettings"/>
</Relationships>

</file>

<file path=xl/worksheets/_rels/sheet3.xml.rels><?xml version="1.0" encoding="UTF-8" standalone="yes"?>
<Relationships xmlns="http://schemas.openxmlformats.org/package/2006/relationships">
<Relationship Id="rId1" Target="../printerSettings/printerSettings3.bin" Type="http://schemas.openxmlformats.org/officeDocument/2006/relationships/printerSettings"/>
</Relationships>

</file>

<file path=xl/worksheets/_rels/sheet4.xml.rels><?xml version="1.0" encoding="UTF-8" standalone="yes"?>
<Relationships xmlns="http://schemas.openxmlformats.org/package/2006/relationships">
<Relationship Id="rId1" Target="../printerSettings/printerSettings4.bin" Type="http://schemas.openxmlformats.org/officeDocument/2006/relationships/printerSettings"/>
</Relationships>

</file>

<file path=xl/worksheets/_rels/sheet5.xml.rels><?xml version="1.0" encoding="UTF-8" standalone="yes"?>
<Relationships xmlns="http://schemas.openxmlformats.org/package/2006/relationships">
<Relationship Id="rId1" Target="../printerSettings/printerSettings5.bin" Type="http://schemas.openxmlformats.org/officeDocument/2006/relationships/printerSettings"/>
</Relationships>

</file>

<file path=xl/worksheets/_rels/sheet6.xml.rels><?xml version="1.0" encoding="UTF-8" standalone="yes"?>
<Relationships xmlns="http://schemas.openxmlformats.org/package/2006/relationships">
<Relationship Id="rId1" Target="../printerSettings/printerSettings6.bin" Type="http://schemas.openxmlformats.org/officeDocument/2006/relationships/printerSettings"/>
<Relationship Id="rId2" Target="../drawings/vmlDrawing1.vml" Type="http://schemas.openxmlformats.org/officeDocument/2006/relationships/vmlDrawing"/>
<Relationship Id="rId3" Target="../comments1.xml" Type="http://schemas.openxmlformats.org/officeDocument/2006/relationships/comments"/>
</Relationships>

</file>

<file path=xl/worksheets/_rels/sheet7.xml.rels><?xml version="1.0" encoding="UTF-8" standalone="yes"?>
<Relationships xmlns="http://schemas.openxmlformats.org/package/2006/relationships">
<Relationship Id="rId1" Target="../printerSettings/printerSettings7.bin" Type="http://schemas.openxmlformats.org/officeDocument/2006/relationships/printerSettings"/>
<Relationship Id="rId2" Target="../drawings/vmlDrawing2.vml" Type="http://schemas.openxmlformats.org/officeDocument/2006/relationships/vmlDrawing"/>
<Relationship Id="rId3" Target="../comments2.xml" Type="http://schemas.openxmlformats.org/officeDocument/2006/relationships/comments"/>
</Relationships>

</file>

<file path=xl/worksheets/_rels/sheet8.xml.rels><?xml version="1.0" encoding="UTF-8" standalone="yes"?>
<Relationships xmlns="http://schemas.openxmlformats.org/package/2006/relationships">
<Relationship Id="rId1" Target="../printerSettings/printerSettings8.bin" Type="http://schemas.openxmlformats.org/officeDocument/2006/relationships/printerSettings"/>
<Relationship Id="rId2" Target="../customProperty1.bin" Type="http://schemas.openxmlformats.org/officeDocument/2006/relationships/customProperty"/>
<Relationship Id="rId3" Target="../drawings/vmlDrawing3.vml" Type="http://schemas.openxmlformats.org/officeDocument/2006/relationships/vmlDrawing"/>
<Relationship Id="rId4" Target="../comments3.xml" Type="http://schemas.openxmlformats.org/officeDocument/2006/relationships/comments"/>
</Relationships>

</file>

<file path=xl/worksheets/_rels/sheet9.xml.rels><?xml version="1.0" encoding="UTF-8" standalone="yes"?>
<Relationships xmlns="http://schemas.openxmlformats.org/package/2006/relationships">
<Relationship Id="rId1" Target="../printerSettings/printerSettings9.bin" Type="http://schemas.openxmlformats.org/officeDocument/2006/relationships/printerSettings"/>
<Relationship Id="rId2" Target="../drawings/vmlDrawing4.vml" Type="http://schemas.openxmlformats.org/officeDocument/2006/relationships/vmlDrawing"/>
<Relationship Id="rId3" Target="../comments4.xml" Type="http://schemas.openxmlformats.org/officeDocument/2006/relationships/comments"/>
</Relationships>

</file>

<file path=xl/worksheets/_rels/sheet10.xml.rels><?xml version="1.0" encoding="UTF-8" standalone="yes"?>
<Relationships xmlns="http://schemas.openxmlformats.org/package/2006/relationships">
<Relationship Id="rId1" Target="../printerSettings/printerSettings10.bin" Type="http://schemas.openxmlformats.org/officeDocument/2006/relationships/printerSettings"/>
<Relationship Id="rId2" Target="../drawings/vmlDrawing5.vml" Type="http://schemas.openxmlformats.org/officeDocument/2006/relationships/vmlDrawing"/>
<Relationship Id="rId3" Target="../comments5.xml" Type="http://schemas.openxmlformats.org/officeDocument/2006/relationships/comments"/>
</Relationships>

</file>

<file path=xl/worksheets/_rels/sheet11.xml.rels><?xml version="1.0" encoding="UTF-8" standalone="yes"?>
<Relationships xmlns="http://schemas.openxmlformats.org/package/2006/relationships">
<Relationship Id="rId1" Target="../printerSettings/printerSettings11.bin" Type="http://schemas.openxmlformats.org/officeDocument/2006/relationships/printerSettings"/>
<Relationship Id="rId2" Target="../drawings/drawing2.xml" Type="http://schemas.openxmlformats.org/officeDocument/2006/relationships/drawing"/>
<Relationship Id="rId3" Target="../drawings/vmlDrawing6.vml" Type="http://schemas.openxmlformats.org/officeDocument/2006/relationships/vmlDrawing"/>
<Relationship Id="rId4" Target="../comments6.xml" Type="http://schemas.openxmlformats.org/officeDocument/2006/relationships/comments"/>
</Relationships>

</file>

<file path=xl/worksheets/_rels/sheet12.xml.rels><?xml version="1.0" encoding="UTF-8" standalone="yes"?>
<Relationships xmlns="http://schemas.openxmlformats.org/package/2006/relationships">
<Relationship Id="rId1" Target="../printerSettings/printerSettings12.bin" Type="http://schemas.openxmlformats.org/officeDocument/2006/relationships/printerSettings"/>
<Relationship Id="rId2" Target="../drawings/vmlDrawing7.vml" Type="http://schemas.openxmlformats.org/officeDocument/2006/relationships/vmlDrawing"/>
<Relationship Id="rId3" Target="../comments7.xml" Type="http://schemas.openxmlformats.org/officeDocument/2006/relationships/comments"/>
</Relationships>

</file>

<file path=xl/worksheets/_rels/sheet13.xml.rels><?xml version="1.0" encoding="UTF-8" standalone="yes"?>
<Relationships xmlns="http://schemas.openxmlformats.org/package/2006/relationships">
<Relationship Id="rId1" Target="../printerSettings/printerSettings13.bin" Type="http://schemas.openxmlformats.org/officeDocument/2006/relationships/printerSettings"/>
<Relationship Id="rId2" Target="../drawings/vmlDrawing8.vml" Type="http://schemas.openxmlformats.org/officeDocument/2006/relationships/vmlDrawing"/>
<Relationship Id="rId3" Target="../comments8.xml" Type="http://schemas.openxmlformats.org/officeDocument/2006/relationships/comments"/>
</Relationships>

</file>

<file path=xl/worksheets/_rels/sheet14.xml.rels><?xml version="1.0" encoding="UTF-8" standalone="yes"?>
<Relationships xmlns="http://schemas.openxmlformats.org/package/2006/relationships">
<Relationship Id="rId1" Target="../printerSettings/printerSettings14.bin" Type="http://schemas.openxmlformats.org/officeDocument/2006/relationships/printerSettings"/>
<Relationship Id="rId2" Target="../drawings/vmlDrawing9.vml" Type="http://schemas.openxmlformats.org/officeDocument/2006/relationships/vmlDrawing"/>
<Relationship Id="rId3" Target="../comments9.xml" Type="http://schemas.openxmlformats.org/officeDocument/2006/relationships/comments"/>
</Relationships>

</file>

<file path=xl/worksheets/_rels/sheet15.xml.rels><?xml version="1.0" encoding="UTF-8" standalone="yes"?>
<Relationships xmlns="http://schemas.openxmlformats.org/package/2006/relationships">
<Relationship Id="rId1" Target="../printerSettings/printerSettings15.bin" Type="http://schemas.openxmlformats.org/officeDocument/2006/relationships/printerSettings"/>
<Relationship Id="rId2" Target="../drawings/vmlDrawing10.vml" Type="http://schemas.openxmlformats.org/officeDocument/2006/relationships/vmlDrawing"/>
<Relationship Id="rId3" Target="../comments10.xml" Type="http://schemas.openxmlformats.org/officeDocument/2006/relationships/comments"/>
</Relationships>

</file>

<file path=xl/worksheets/_rels/sheet16.xml.rels><?xml version="1.0" encoding="UTF-8" standalone="yes"?>
<Relationships xmlns="http://schemas.openxmlformats.org/package/2006/relationships">
<Relationship Id="rId1" Target="../printerSettings/printerSettings16.bin" Type="http://schemas.openxmlformats.org/officeDocument/2006/relationships/printerSettings"/>
<Relationship Id="rId2" Target="../drawings/vmlDrawing11.vml" Type="http://schemas.openxmlformats.org/officeDocument/2006/relationships/vmlDrawing"/>
<Relationship Id="rId3" Target="../comments11.xml" Type="http://schemas.openxmlformats.org/officeDocument/2006/relationships/comments"/>
</Relationships>

</file>

<file path=xl/worksheets/_rels/sheet17.xml.rels><?xml version="1.0" encoding="UTF-8" standalone="yes"?>
<Relationships xmlns="http://schemas.openxmlformats.org/package/2006/relationships">
<Relationship Id="rId1" Target="../printerSettings/printerSettings17.bin" Type="http://schemas.openxmlformats.org/officeDocument/2006/relationships/printerSettings"/>
</Relationships>

</file>

<file path=xl/worksheets/_rels/sheet18.xml.rels><?xml version="1.0" encoding="UTF-8" standalone="yes"?>
<Relationships xmlns="http://schemas.openxmlformats.org/package/2006/relationships">
<Relationship Id="rId1" Target="../printerSettings/printerSettings18.bin" Type="http://schemas.openxmlformats.org/officeDocument/2006/relationships/printerSettings"/>
<Relationship Id="rId2" Target="../drawings/drawing3.xml" Type="http://schemas.openxmlformats.org/officeDocument/2006/relationships/drawing"/>
<Relationship Id="rId3" Target="../drawings/vmlDrawing12.vml" Type="http://schemas.openxmlformats.org/officeDocument/2006/relationships/vmlDrawing"/>
<Relationship Id="rId4" Target="../comments12.xml" Type="http://schemas.openxmlformats.org/officeDocument/2006/relationships/comments"/>
</Relationships>

</file>

<file path=xl/worksheets/_rels/sheet19.xml.rels><?xml version="1.0" encoding="UTF-8" standalone="yes"?>
<Relationships xmlns="http://schemas.openxmlformats.org/package/2006/relationships">
<Relationship Id="rId1" Target="../printerSettings/printerSettings19.bin" Type="http://schemas.openxmlformats.org/officeDocument/2006/relationships/printerSettings"/>
<Relationship Id="rId2" Target="../drawings/drawing4.xml" Type="http://schemas.openxmlformats.org/officeDocument/2006/relationships/drawing"/>
<Relationship Id="rId3" Target="../drawings/vmlDrawing13.vml" Type="http://schemas.openxmlformats.org/officeDocument/2006/relationships/vmlDrawing"/>
<Relationship Id="rId4" Target="../activeX/activeX1.xml" Type="http://schemas.openxmlformats.org/officeDocument/2006/relationships/control"/>
<Relationship Id="rId5" Target="../media/image4.emf" Type="http://schemas.openxmlformats.org/officeDocument/2006/relationships/image"/>
<Relationship Id="rId6" Target="../comments13.xml" Type="http://schemas.openxmlformats.org/officeDocument/2006/relationships/comments"/>
</Relationships>

</file>

<file path=xl/worksheets/_rels/sheet20.xml.rels><?xml version="1.0" encoding="UTF-8" standalone="yes"?>
<Relationships xmlns="http://schemas.openxmlformats.org/package/2006/relationships">
<Relationship Id="rId1" Target="../printerSettings/printerSettings20.bin" Type="http://schemas.openxmlformats.org/officeDocument/2006/relationships/printerSettings"/>
</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H375"/>
  <sheetViews>
    <sheetView showGridLines="0" tabSelected="1" workbookViewId="0">
      <selection activeCell="Z1" sqref="Z1"/>
    </sheetView>
  </sheetViews>
  <sheetFormatPr defaultRowHeight="12.75"/>
  <cols>
    <col min="1" max="1" width="25.625" style="2199" customWidth="1"/>
    <col min="2" max="5" width="9" style="2199"/>
    <col min="6" max="6" width="18.625" style="2199" customWidth="1"/>
    <col min="7" max="256" width="9" style="2199"/>
    <col min="257" max="257" width="88.125" style="2199" customWidth="1"/>
    <col min="258" max="512" width="9" style="2199"/>
    <col min="513" max="513" width="88.125" style="2199" customWidth="1"/>
    <col min="514" max="768" width="9" style="2199"/>
    <col min="769" max="769" width="88.125" style="2199" customWidth="1"/>
    <col min="770" max="1024" width="9" style="2199"/>
    <col min="1025" max="1025" width="88.125" style="2199" customWidth="1"/>
    <col min="1026" max="1280" width="9" style="2199"/>
    <col min="1281" max="1281" width="88.125" style="2199" customWidth="1"/>
    <col min="1282" max="1536" width="9" style="2199"/>
    <col min="1537" max="1537" width="88.125" style="2199" customWidth="1"/>
    <col min="1538" max="1792" width="9" style="2199"/>
    <col min="1793" max="1793" width="88.125" style="2199" customWidth="1"/>
    <col min="1794" max="2048" width="9" style="2199"/>
    <col min="2049" max="2049" width="88.125" style="2199" customWidth="1"/>
    <col min="2050" max="2304" width="9" style="2199"/>
    <col min="2305" max="2305" width="88.125" style="2199" customWidth="1"/>
    <col min="2306" max="2560" width="9" style="2199"/>
    <col min="2561" max="2561" width="88.125" style="2199" customWidth="1"/>
    <col min="2562" max="2816" width="9" style="2199"/>
    <col min="2817" max="2817" width="88.125" style="2199" customWidth="1"/>
    <col min="2818" max="3072" width="9" style="2199"/>
    <col min="3073" max="3073" width="88.125" style="2199" customWidth="1"/>
    <col min="3074" max="3328" width="9" style="2199"/>
    <col min="3329" max="3329" width="88.125" style="2199" customWidth="1"/>
    <col min="3330" max="3584" width="9" style="2199"/>
    <col min="3585" max="3585" width="88.125" style="2199" customWidth="1"/>
    <col min="3586" max="3840" width="9" style="2199"/>
    <col min="3841" max="3841" width="88.125" style="2199" customWidth="1"/>
    <col min="3842" max="4096" width="9" style="2199"/>
    <col min="4097" max="4097" width="88.125" style="2199" customWidth="1"/>
    <col min="4098" max="4352" width="9" style="2199"/>
    <col min="4353" max="4353" width="88.125" style="2199" customWidth="1"/>
    <col min="4354" max="4608" width="9" style="2199"/>
    <col min="4609" max="4609" width="88.125" style="2199" customWidth="1"/>
    <col min="4610" max="4864" width="9" style="2199"/>
    <col min="4865" max="4865" width="88.125" style="2199" customWidth="1"/>
    <col min="4866" max="5120" width="9" style="2199"/>
    <col min="5121" max="5121" width="88.125" style="2199" customWidth="1"/>
    <col min="5122" max="5376" width="9" style="2199"/>
    <col min="5377" max="5377" width="88.125" style="2199" customWidth="1"/>
    <col min="5378" max="5632" width="9" style="2199"/>
    <col min="5633" max="5633" width="88.125" style="2199" customWidth="1"/>
    <col min="5634" max="5888" width="9" style="2199"/>
    <col min="5889" max="5889" width="88.125" style="2199" customWidth="1"/>
    <col min="5890" max="6144" width="9" style="2199"/>
    <col min="6145" max="6145" width="88.125" style="2199" customWidth="1"/>
    <col min="6146" max="6400" width="9" style="2199"/>
    <col min="6401" max="6401" width="88.125" style="2199" customWidth="1"/>
    <col min="6402" max="6656" width="9" style="2199"/>
    <col min="6657" max="6657" width="88.125" style="2199" customWidth="1"/>
    <col min="6658" max="6912" width="9" style="2199"/>
    <col min="6913" max="6913" width="88.125" style="2199" customWidth="1"/>
    <col min="6914" max="7168" width="9" style="2199"/>
    <col min="7169" max="7169" width="88.125" style="2199" customWidth="1"/>
    <col min="7170" max="7424" width="9" style="2199"/>
    <col min="7425" max="7425" width="88.125" style="2199" customWidth="1"/>
    <col min="7426" max="7680" width="9" style="2199"/>
    <col min="7681" max="7681" width="88.125" style="2199" customWidth="1"/>
    <col min="7682" max="7936" width="9" style="2199"/>
    <col min="7937" max="7937" width="88.125" style="2199" customWidth="1"/>
    <col min="7938" max="8192" width="9" style="2199"/>
    <col min="8193" max="8193" width="88.125" style="2199" customWidth="1"/>
    <col min="8194" max="8448" width="9" style="2199"/>
    <col min="8449" max="8449" width="88.125" style="2199" customWidth="1"/>
    <col min="8450" max="8704" width="9" style="2199"/>
    <col min="8705" max="8705" width="88.125" style="2199" customWidth="1"/>
    <col min="8706" max="8960" width="9" style="2199"/>
    <col min="8961" max="8961" width="88.125" style="2199" customWidth="1"/>
    <col min="8962" max="9216" width="9" style="2199"/>
    <col min="9217" max="9217" width="88.125" style="2199" customWidth="1"/>
    <col min="9218" max="9472" width="9" style="2199"/>
    <col min="9473" max="9473" width="88.125" style="2199" customWidth="1"/>
    <col min="9474" max="9728" width="9" style="2199"/>
    <col min="9729" max="9729" width="88.125" style="2199" customWidth="1"/>
    <col min="9730" max="9984" width="9" style="2199"/>
    <col min="9985" max="9985" width="88.125" style="2199" customWidth="1"/>
    <col min="9986" max="10240" width="9" style="2199"/>
    <col min="10241" max="10241" width="88.125" style="2199" customWidth="1"/>
    <col min="10242" max="10496" width="9" style="2199"/>
    <col min="10497" max="10497" width="88.125" style="2199" customWidth="1"/>
    <col min="10498" max="10752" width="9" style="2199"/>
    <col min="10753" max="10753" width="88.125" style="2199" customWidth="1"/>
    <col min="10754" max="11008" width="9" style="2199"/>
    <col min="11009" max="11009" width="88.125" style="2199" customWidth="1"/>
    <col min="11010" max="11264" width="9" style="2199"/>
    <col min="11265" max="11265" width="88.125" style="2199" customWidth="1"/>
    <col min="11266" max="11520" width="9" style="2199"/>
    <col min="11521" max="11521" width="88.125" style="2199" customWidth="1"/>
    <col min="11522" max="11776" width="9" style="2199"/>
    <col min="11777" max="11777" width="88.125" style="2199" customWidth="1"/>
    <col min="11778" max="12032" width="9" style="2199"/>
    <col min="12033" max="12033" width="88.125" style="2199" customWidth="1"/>
    <col min="12034" max="12288" width="9" style="2199"/>
    <col min="12289" max="12289" width="88.125" style="2199" customWidth="1"/>
    <col min="12290" max="12544" width="9" style="2199"/>
    <col min="12545" max="12545" width="88.125" style="2199" customWidth="1"/>
    <col min="12546" max="12800" width="9" style="2199"/>
    <col min="12801" max="12801" width="88.125" style="2199" customWidth="1"/>
    <col min="12802" max="13056" width="9" style="2199"/>
    <col min="13057" max="13057" width="88.125" style="2199" customWidth="1"/>
    <col min="13058" max="13312" width="9" style="2199"/>
    <col min="13313" max="13313" width="88.125" style="2199" customWidth="1"/>
    <col min="13314" max="13568" width="9" style="2199"/>
    <col min="13569" max="13569" width="88.125" style="2199" customWidth="1"/>
    <col min="13570" max="13824" width="9" style="2199"/>
    <col min="13825" max="13825" width="88.125" style="2199" customWidth="1"/>
    <col min="13826" max="14080" width="9" style="2199"/>
    <col min="14081" max="14081" width="88.125" style="2199" customWidth="1"/>
    <col min="14082" max="14336" width="9" style="2199"/>
    <col min="14337" max="14337" width="88.125" style="2199" customWidth="1"/>
    <col min="14338" max="14592" width="9" style="2199"/>
    <col min="14593" max="14593" width="88.125" style="2199" customWidth="1"/>
    <col min="14594" max="14848" width="9" style="2199"/>
    <col min="14849" max="14849" width="88.125" style="2199" customWidth="1"/>
    <col min="14850" max="15104" width="9" style="2199"/>
    <col min="15105" max="15105" width="88.125" style="2199" customWidth="1"/>
    <col min="15106" max="15360" width="9" style="2199"/>
    <col min="15361" max="15361" width="88.125" style="2199" customWidth="1"/>
    <col min="15362" max="15616" width="9" style="2199"/>
    <col min="15617" max="15617" width="88.125" style="2199" customWidth="1"/>
    <col min="15618" max="15872" width="9" style="2199"/>
    <col min="15873" max="15873" width="88.125" style="2199" customWidth="1"/>
    <col min="15874" max="16128" width="9" style="2199"/>
    <col min="16129" max="16129" width="88.125" style="2199" customWidth="1"/>
    <col min="16130" max="16384" width="9" style="2199"/>
  </cols>
  <sheetData>
    <row r="1" spans="1:8" ht="30" customHeight="1">
      <c r="A1" s="2197"/>
      <c r="B1" s="2198"/>
      <c r="C1" s="2198"/>
      <c r="D1" s="2198"/>
      <c r="E1" s="2198"/>
      <c r="F1" s="2198"/>
      <c r="G1" s="2198"/>
      <c r="H1" s="2198"/>
    </row>
    <row r="2" spans="1:8" ht="14.25">
      <c r="A2" s="2200" t="s">
        <v>878</v>
      </c>
      <c r="B2" s="2198"/>
      <c r="C2" s="2198"/>
      <c r="D2" s="2198"/>
      <c r="E2" s="2198"/>
      <c r="F2" s="2198"/>
      <c r="G2" s="2198"/>
      <c r="H2" s="2198"/>
    </row>
    <row r="3" spans="1:8" ht="14.25">
      <c r="A3" s="2200" t="s">
        <v>879</v>
      </c>
      <c r="B3" s="2198"/>
      <c r="C3" s="2198"/>
      <c r="D3" s="2198"/>
      <c r="E3" s="2198"/>
      <c r="F3" s="2198"/>
      <c r="G3" s="2198"/>
      <c r="H3" s="2198"/>
    </row>
    <row r="4" spans="1:8" ht="14.25">
      <c r="A4" s="2200" t="s">
        <v>880</v>
      </c>
      <c r="B4" s="2198"/>
      <c r="C4" s="2198"/>
      <c r="D4" s="2198"/>
      <c r="E4" s="2198"/>
      <c r="F4" s="2198"/>
      <c r="G4" s="2198"/>
      <c r="H4" s="2198"/>
    </row>
    <row r="5" spans="1:8" ht="14.25">
      <c r="A5" s="2200" t="s">
        <v>881</v>
      </c>
      <c r="B5" s="2198"/>
      <c r="C5" s="2198"/>
      <c r="D5" s="2198"/>
      <c r="E5" s="2198"/>
      <c r="F5" s="2198"/>
      <c r="G5" s="2198"/>
      <c r="H5" s="2198"/>
    </row>
    <row r="6" spans="1:8" ht="14.25">
      <c r="A6" s="2200"/>
      <c r="B6" s="2198"/>
      <c r="C6" s="2198"/>
      <c r="D6" s="2198"/>
      <c r="E6" s="2198"/>
      <c r="F6" s="2198"/>
      <c r="G6" s="2198"/>
      <c r="H6" s="2198"/>
    </row>
    <row r="7" spans="1:8">
      <c r="A7" s="2197" t="s">
        <v>882</v>
      </c>
      <c r="B7" s="2198"/>
      <c r="C7" s="2198"/>
      <c r="D7" s="2198"/>
      <c r="E7" s="2198"/>
      <c r="F7" s="2198"/>
      <c r="G7" s="2198"/>
      <c r="H7" s="2198"/>
    </row>
    <row r="8" spans="1:8">
      <c r="A8" s="2197" t="s">
        <v>883</v>
      </c>
      <c r="B8" s="2198"/>
      <c r="C8" s="2198"/>
      <c r="D8" s="2198"/>
      <c r="E8" s="2198"/>
      <c r="F8" s="2198"/>
      <c r="G8" s="2198"/>
      <c r="H8" s="2198"/>
    </row>
    <row r="9" spans="1:8">
      <c r="A9" s="2197"/>
      <c r="B9" s="2198"/>
      <c r="C9" s="2198"/>
      <c r="D9" s="2198"/>
      <c r="E9" s="2198"/>
      <c r="F9" s="2198"/>
      <c r="G9" s="2198"/>
      <c r="H9" s="2198"/>
    </row>
    <row r="10" spans="1:8">
      <c r="A10" s="2201" t="s">
        <v>884</v>
      </c>
      <c r="B10" s="2198"/>
      <c r="C10" s="2198"/>
      <c r="D10" s="2198"/>
      <c r="E10" s="2198"/>
      <c r="F10" s="2198"/>
      <c r="G10" s="2198"/>
      <c r="H10" s="2198"/>
    </row>
    <row r="11" spans="1:8">
      <c r="A11" s="2201" t="s">
        <v>885</v>
      </c>
      <c r="B11" s="2198"/>
      <c r="C11" s="2198"/>
      <c r="D11" s="2198"/>
      <c r="E11" s="2198"/>
      <c r="F11" s="2198"/>
      <c r="G11" s="2198"/>
      <c r="H11" s="2198"/>
    </row>
    <row r="12" spans="1:8">
      <c r="A12" s="2201" t="s">
        <v>886</v>
      </c>
      <c r="B12" s="2198"/>
      <c r="C12" s="2198"/>
      <c r="D12" s="2198"/>
      <c r="E12" s="2198"/>
      <c r="F12" s="2198"/>
      <c r="G12" s="2198"/>
      <c r="H12" s="2198"/>
    </row>
    <row r="13" spans="1:8">
      <c r="A13" s="2201" t="s">
        <v>887</v>
      </c>
      <c r="B13" s="2198"/>
      <c r="C13" s="2198"/>
      <c r="D13" s="2198"/>
      <c r="E13" s="2198"/>
      <c r="F13" s="2198"/>
      <c r="G13" s="2198"/>
      <c r="H13" s="2198"/>
    </row>
    <row r="14" spans="1:8">
      <c r="A14" s="2201" t="s">
        <v>888</v>
      </c>
      <c r="B14" s="2198"/>
      <c r="C14" s="2198"/>
      <c r="D14" s="2198"/>
      <c r="E14" s="2198"/>
      <c r="F14" s="2198"/>
      <c r="G14" s="2198"/>
      <c r="H14" s="2198"/>
    </row>
    <row r="15" spans="1:8">
      <c r="A15" s="2201" t="s">
        <v>889</v>
      </c>
      <c r="B15" s="2198"/>
      <c r="C15" s="2198"/>
      <c r="D15" s="2198"/>
      <c r="E15" s="2198"/>
      <c r="F15" s="2198"/>
      <c r="G15" s="2198"/>
      <c r="H15" s="2198"/>
    </row>
    <row r="16" spans="1:8">
      <c r="A16" s="2201"/>
      <c r="B16" s="2198"/>
      <c r="C16" s="2198"/>
      <c r="D16" s="2198"/>
      <c r="E16" s="2198"/>
      <c r="F16" s="2198"/>
      <c r="G16" s="2198"/>
      <c r="H16" s="2198"/>
    </row>
    <row r="17" spans="1:8">
      <c r="A17" s="2201" t="s">
        <v>875</v>
      </c>
      <c r="B17" s="2198"/>
      <c r="C17" s="2198"/>
      <c r="D17" s="2198"/>
      <c r="E17" s="2198"/>
      <c r="F17" s="2198"/>
      <c r="G17" s="2198"/>
      <c r="H17" s="2198"/>
    </row>
    <row r="18" spans="1:8">
      <c r="A18" s="2201"/>
      <c r="B18" s="2198"/>
      <c r="C18" s="2198"/>
      <c r="D18" s="2198"/>
      <c r="E18" s="2198"/>
      <c r="F18" s="2198"/>
      <c r="G18" s="2198"/>
      <c r="H18" s="2198"/>
    </row>
    <row r="19" spans="1:8">
      <c r="A19" s="2201" t="s">
        <v>876</v>
      </c>
      <c r="B19" s="2198"/>
      <c r="C19" s="2198"/>
      <c r="D19" s="2198"/>
      <c r="E19" s="2198"/>
      <c r="F19" s="2198"/>
      <c r="G19" s="2198"/>
      <c r="H19" s="2198"/>
    </row>
    <row r="20" spans="1:8">
      <c r="A20" s="2197"/>
      <c r="B20" s="2198"/>
      <c r="C20" s="2198"/>
      <c r="D20" s="2198"/>
      <c r="E20" s="2198"/>
      <c r="F20" s="2198"/>
      <c r="G20" s="2198"/>
      <c r="H20" s="2198"/>
    </row>
    <row r="21" spans="1:8">
      <c r="A21" s="2202" t="s">
        <v>877</v>
      </c>
      <c r="B21" s="2198"/>
      <c r="C21" s="2198"/>
      <c r="D21" s="2198"/>
      <c r="E21" s="2198"/>
      <c r="F21" s="2198"/>
      <c r="G21" s="2198"/>
      <c r="H21" s="2198"/>
    </row>
    <row r="22" spans="1:8">
      <c r="A22" s="2203"/>
      <c r="B22" s="2203"/>
      <c r="C22" s="2203"/>
      <c r="D22" s="2203"/>
      <c r="E22" s="2203"/>
      <c r="F22" s="2203"/>
      <c r="G22" s="2203"/>
      <c r="H22" s="2203"/>
    </row>
    <row r="23" spans="1:8">
      <c r="A23" s="2204" t="s">
        <v>1155</v>
      </c>
      <c r="B23" s="2203"/>
      <c r="C23" s="2203"/>
      <c r="D23" s="2203"/>
      <c r="E23" s="2203"/>
      <c r="F23" s="2203"/>
      <c r="G23" s="2203"/>
      <c r="H23" s="2203"/>
    </row>
    <row r="24" spans="1:8">
      <c r="A24" s="2204" t="s">
        <v>1156</v>
      </c>
      <c r="B24" s="2203"/>
      <c r="C24" s="2203"/>
      <c r="D24" s="2203"/>
      <c r="E24" s="2203"/>
      <c r="F24" s="2203"/>
      <c r="G24" s="2203"/>
      <c r="H24" s="2203"/>
    </row>
    <row r="25" spans="1:8">
      <c r="A25" s="2204" t="s">
        <v>1157</v>
      </c>
      <c r="B25" s="2203"/>
      <c r="C25" s="2203"/>
      <c r="D25" s="2203"/>
      <c r="E25" s="2203"/>
      <c r="F25" s="2203"/>
      <c r="G25" s="2203"/>
      <c r="H25" s="2203"/>
    </row>
    <row r="26" spans="1:8">
      <c r="A26" s="2204" t="s">
        <v>1158</v>
      </c>
      <c r="B26" s="2203"/>
      <c r="C26" s="2203"/>
      <c r="D26" s="2203"/>
      <c r="E26" s="2203"/>
      <c r="F26" s="2203"/>
      <c r="G26" s="2203"/>
      <c r="H26" s="2203"/>
    </row>
    <row r="27" spans="1:8">
      <c r="A27" s="2203"/>
      <c r="B27" s="2203"/>
      <c r="C27" s="2203"/>
      <c r="D27" s="2203"/>
      <c r="E27" s="2203"/>
      <c r="F27" s="2203"/>
      <c r="G27" s="2203"/>
      <c r="H27" s="2203"/>
    </row>
    <row r="28" spans="1:8">
      <c r="A28" s="2203"/>
      <c r="B28" s="2203"/>
      <c r="C28" s="2203"/>
      <c r="D28" s="2203"/>
      <c r="E28" s="2203"/>
      <c r="F28" s="2203"/>
      <c r="G28" s="2203"/>
      <c r="H28" s="2203"/>
    </row>
    <row r="29" spans="1:8">
      <c r="A29" s="2204" t="s">
        <v>1150</v>
      </c>
      <c r="B29" s="2203"/>
      <c r="C29" s="2203"/>
      <c r="D29" s="2203"/>
      <c r="E29" s="2203"/>
      <c r="F29" s="2203"/>
      <c r="G29" s="2203"/>
      <c r="H29" s="2203"/>
    </row>
    <row r="30" spans="1:8">
      <c r="A30" s="2204" t="s">
        <v>1151</v>
      </c>
      <c r="B30" s="2203"/>
      <c r="C30" s="2203"/>
      <c r="D30" s="2203"/>
      <c r="E30" s="2203"/>
      <c r="F30" s="2203"/>
      <c r="G30" s="2203"/>
      <c r="H30" s="2203"/>
    </row>
    <row r="31" spans="1:8">
      <c r="A31" s="2204" t="s">
        <v>1152</v>
      </c>
      <c r="B31" s="2203"/>
      <c r="C31" s="2203"/>
      <c r="D31" s="2203"/>
      <c r="E31" s="2203"/>
      <c r="F31" s="2203"/>
      <c r="G31" s="2203"/>
      <c r="H31" s="2203"/>
    </row>
    <row r="32" spans="1:8">
      <c r="A32" s="2204" t="s">
        <v>1153</v>
      </c>
      <c r="B32" s="2203"/>
      <c r="C32" s="2203"/>
      <c r="D32" s="2203"/>
      <c r="E32" s="2203"/>
      <c r="F32" s="2203"/>
      <c r="G32" s="2203"/>
      <c r="H32" s="2203"/>
    </row>
    <row r="33" spans="1:8">
      <c r="A33" s="2204" t="s">
        <v>1154</v>
      </c>
      <c r="B33" s="2203"/>
      <c r="C33" s="2203"/>
      <c r="D33" s="2203"/>
      <c r="E33" s="2203"/>
      <c r="F33" s="2203"/>
      <c r="G33" s="2203"/>
      <c r="H33" s="2203"/>
    </row>
    <row r="34" spans="1:8">
      <c r="A34" s="2203"/>
      <c r="B34" s="2203"/>
      <c r="C34" s="2203"/>
      <c r="D34" s="2203"/>
      <c r="E34" s="2203"/>
      <c r="F34" s="2203"/>
      <c r="G34" s="2203"/>
      <c r="H34" s="2203"/>
    </row>
    <row r="35" spans="1:8">
      <c r="A35" s="2204" t="s">
        <v>1146</v>
      </c>
      <c r="B35" s="2203"/>
      <c r="C35" s="2203"/>
      <c r="D35" s="2203"/>
      <c r="E35" s="2203"/>
      <c r="F35" s="2203"/>
      <c r="G35" s="2203"/>
      <c r="H35" s="2203"/>
    </row>
    <row r="36" spans="1:8">
      <c r="A36" s="2204" t="s">
        <v>1147</v>
      </c>
      <c r="B36" s="2203"/>
      <c r="C36" s="2203"/>
      <c r="D36" s="2203"/>
      <c r="E36" s="2203"/>
      <c r="F36" s="2203"/>
      <c r="G36" s="2203"/>
      <c r="H36" s="2203"/>
    </row>
    <row r="37" spans="1:8">
      <c r="A37" s="2204" t="s">
        <v>1148</v>
      </c>
      <c r="B37" s="2203"/>
      <c r="C37" s="2203"/>
      <c r="D37" s="2203"/>
      <c r="E37" s="2203"/>
      <c r="F37" s="2203"/>
      <c r="G37" s="2203"/>
      <c r="H37" s="2203"/>
    </row>
    <row r="38" spans="1:8">
      <c r="A38" s="2204" t="s">
        <v>1149</v>
      </c>
      <c r="B38" s="2203"/>
      <c r="C38" s="2203"/>
      <c r="D38" s="2203"/>
      <c r="E38" s="2203"/>
      <c r="F38" s="2203"/>
      <c r="G38" s="2203"/>
      <c r="H38" s="2203"/>
    </row>
    <row r="39" spans="1:8">
      <c r="A39" s="2203"/>
      <c r="B39" s="2203"/>
      <c r="C39" s="2203"/>
      <c r="D39" s="2203"/>
      <c r="E39" s="2203"/>
      <c r="F39" s="2203"/>
      <c r="G39" s="2203"/>
      <c r="H39" s="2203"/>
    </row>
    <row r="40" spans="1:8">
      <c r="A40" s="2204" t="s">
        <v>1140</v>
      </c>
      <c r="B40" s="2203"/>
      <c r="C40" s="2203"/>
      <c r="D40" s="2203"/>
      <c r="E40" s="2203"/>
      <c r="F40" s="2203"/>
      <c r="G40" s="2203"/>
      <c r="H40" s="2203"/>
    </row>
    <row r="41" spans="1:8">
      <c r="A41" s="2204" t="s">
        <v>1141</v>
      </c>
      <c r="B41" s="2203"/>
      <c r="C41" s="2203"/>
      <c r="D41" s="2203"/>
      <c r="E41" s="2203"/>
      <c r="F41" s="2203"/>
      <c r="G41" s="2203"/>
      <c r="H41" s="2203"/>
    </row>
    <row r="42" spans="1:8">
      <c r="A42" s="2204" t="s">
        <v>1142</v>
      </c>
      <c r="B42" s="2203"/>
      <c r="C42" s="2203"/>
      <c r="D42" s="2203"/>
      <c r="E42" s="2203"/>
      <c r="F42" s="2203"/>
      <c r="G42" s="2203"/>
      <c r="H42" s="2203"/>
    </row>
    <row r="43" spans="1:8">
      <c r="A43" s="2204" t="s">
        <v>1143</v>
      </c>
      <c r="B43" s="2203"/>
      <c r="C43" s="2203"/>
      <c r="D43" s="2203"/>
      <c r="E43" s="2203"/>
      <c r="F43" s="2203"/>
      <c r="G43" s="2203"/>
      <c r="H43" s="2203"/>
    </row>
    <row r="44" spans="1:8">
      <c r="A44" s="2204" t="s">
        <v>1144</v>
      </c>
      <c r="B44" s="2203"/>
      <c r="C44" s="2203"/>
      <c r="D44" s="2203"/>
      <c r="E44" s="2203"/>
      <c r="F44" s="2203"/>
      <c r="G44" s="2203"/>
      <c r="H44" s="2203"/>
    </row>
    <row r="45" spans="1:8">
      <c r="A45" s="2204" t="s">
        <v>1145</v>
      </c>
      <c r="B45" s="2203"/>
      <c r="C45" s="2203"/>
      <c r="D45" s="2203"/>
      <c r="E45" s="2203"/>
      <c r="F45" s="2203"/>
      <c r="G45" s="2203"/>
      <c r="H45" s="2203"/>
    </row>
    <row r="46" spans="1:8">
      <c r="A46" s="2203"/>
      <c r="B46" s="2203"/>
      <c r="C46" s="2203"/>
      <c r="D46" s="2203"/>
      <c r="E46" s="2203"/>
      <c r="F46" s="2203"/>
      <c r="G46" s="2203"/>
      <c r="H46" s="2203"/>
    </row>
    <row r="47" spans="1:8" ht="15.75">
      <c r="A47" s="2205" t="s">
        <v>890</v>
      </c>
      <c r="B47" s="2203"/>
      <c r="C47" s="2203"/>
      <c r="D47" s="2203"/>
      <c r="E47" s="2203"/>
      <c r="F47" s="2203"/>
      <c r="G47" s="2203"/>
      <c r="H47" s="2203"/>
    </row>
    <row r="48" spans="1:8">
      <c r="A48" s="2203"/>
      <c r="B48" s="2203"/>
      <c r="C48" s="2203"/>
      <c r="D48" s="2203"/>
      <c r="E48" s="2203"/>
      <c r="F48" s="2203"/>
      <c r="G48" s="2203"/>
      <c r="H48" s="2203"/>
    </row>
    <row r="49" spans="1:8">
      <c r="A49" s="2204" t="s">
        <v>1136</v>
      </c>
      <c r="B49" s="2203"/>
      <c r="C49" s="2203"/>
      <c r="D49" s="2203"/>
      <c r="E49" s="2203"/>
      <c r="F49" s="2203"/>
      <c r="G49" s="2203"/>
      <c r="H49" s="2203"/>
    </row>
    <row r="50" spans="1:8">
      <c r="A50" s="2204" t="s">
        <v>1137</v>
      </c>
      <c r="B50" s="2203"/>
      <c r="C50" s="2203"/>
      <c r="D50" s="2203"/>
      <c r="E50" s="2203"/>
      <c r="F50" s="2203"/>
      <c r="G50" s="2203"/>
      <c r="H50" s="2203"/>
    </row>
    <row r="51" spans="1:8">
      <c r="A51" s="2204" t="s">
        <v>1138</v>
      </c>
      <c r="B51" s="2203"/>
      <c r="C51" s="2203"/>
      <c r="D51" s="2203"/>
      <c r="E51" s="2203"/>
      <c r="F51" s="2203"/>
      <c r="G51" s="2203"/>
      <c r="H51" s="2203"/>
    </row>
    <row r="52" spans="1:8">
      <c r="A52" s="2204" t="s">
        <v>1139</v>
      </c>
      <c r="B52" s="2203"/>
      <c r="C52" s="2203"/>
      <c r="D52" s="2203"/>
      <c r="E52" s="2203"/>
      <c r="F52" s="2203"/>
      <c r="G52" s="2203"/>
      <c r="H52" s="2203"/>
    </row>
    <row r="53" spans="1:8">
      <c r="A53" s="2203"/>
      <c r="B53" s="2203"/>
      <c r="C53" s="2203"/>
      <c r="D53" s="2203"/>
      <c r="E53" s="2203"/>
      <c r="F53" s="2203"/>
      <c r="G53" s="2203"/>
      <c r="H53" s="2203"/>
    </row>
    <row r="54" spans="1:8">
      <c r="A54" s="2204" t="s">
        <v>891</v>
      </c>
      <c r="B54" s="2203"/>
      <c r="C54" s="2203"/>
      <c r="D54" s="2203"/>
      <c r="E54" s="2203"/>
      <c r="F54" s="2203"/>
      <c r="G54" s="2203"/>
      <c r="H54" s="2203"/>
    </row>
    <row r="55" spans="1:8">
      <c r="A55" s="2203"/>
      <c r="B55" s="2203"/>
      <c r="C55" s="2203"/>
      <c r="D55" s="2203"/>
      <c r="E55" s="2203"/>
      <c r="F55" s="2203"/>
      <c r="G55" s="2203"/>
      <c r="H55" s="2203"/>
    </row>
    <row r="56" spans="1:8" ht="15.75">
      <c r="A56" s="2205" t="s">
        <v>892</v>
      </c>
      <c r="B56" s="2203"/>
      <c r="C56" s="2203"/>
      <c r="D56" s="2203"/>
      <c r="E56" s="2203"/>
      <c r="F56" s="2203"/>
      <c r="G56" s="2203"/>
      <c r="H56" s="2203"/>
    </row>
    <row r="57" spans="1:8">
      <c r="A57" s="2203"/>
      <c r="B57" s="2203"/>
      <c r="C57" s="2203"/>
      <c r="D57" s="2203"/>
      <c r="E57" s="2203"/>
      <c r="F57" s="2203"/>
      <c r="G57" s="2203"/>
      <c r="H57" s="2203"/>
    </row>
    <row r="58" spans="1:8">
      <c r="A58" s="2204" t="s">
        <v>1134</v>
      </c>
      <c r="B58" s="2203"/>
      <c r="C58" s="2203"/>
      <c r="D58" s="2203"/>
      <c r="E58" s="2203"/>
      <c r="F58" s="2203"/>
      <c r="G58" s="2203"/>
      <c r="H58" s="2203"/>
    </row>
    <row r="59" spans="1:8">
      <c r="A59" s="2204" t="s">
        <v>1135</v>
      </c>
      <c r="B59" s="2203"/>
      <c r="C59" s="2203"/>
      <c r="D59" s="2203"/>
      <c r="E59" s="2203"/>
      <c r="F59" s="2203"/>
      <c r="G59" s="2203"/>
      <c r="H59" s="2203"/>
    </row>
    <row r="60" spans="1:8">
      <c r="A60" s="2203"/>
      <c r="B60" s="2203"/>
      <c r="C60" s="2203"/>
      <c r="D60" s="2203"/>
      <c r="E60" s="2203"/>
      <c r="F60" s="2203"/>
      <c r="G60" s="2203"/>
      <c r="H60" s="2203"/>
    </row>
    <row r="61" spans="1:8" ht="15.75">
      <c r="A61" s="2205" t="s">
        <v>893</v>
      </c>
      <c r="B61" s="2203"/>
      <c r="C61" s="2203"/>
      <c r="D61" s="2203"/>
      <c r="E61" s="2203"/>
      <c r="F61" s="2203"/>
      <c r="G61" s="2203"/>
      <c r="H61" s="2203"/>
    </row>
    <row r="62" spans="1:8">
      <c r="A62" s="2203"/>
      <c r="B62" s="2203"/>
      <c r="C62" s="2203"/>
      <c r="D62" s="2203"/>
      <c r="E62" s="2203"/>
      <c r="F62" s="2203"/>
      <c r="G62" s="2203"/>
      <c r="H62" s="2203"/>
    </row>
    <row r="63" spans="1:8">
      <c r="A63" s="2204" t="s">
        <v>894</v>
      </c>
      <c r="B63" s="2203"/>
      <c r="C63" s="2203"/>
      <c r="D63" s="2203"/>
      <c r="E63" s="2203"/>
      <c r="F63" s="2203"/>
      <c r="G63" s="2203"/>
      <c r="H63" s="2203"/>
    </row>
    <row r="64" spans="1:8">
      <c r="A64" s="2203"/>
      <c r="B64" s="2203"/>
      <c r="C64" s="2203"/>
      <c r="D64" s="2203"/>
      <c r="E64" s="2203"/>
      <c r="F64" s="2203"/>
      <c r="G64" s="2203"/>
      <c r="H64" s="2203"/>
    </row>
    <row r="65" spans="1:8">
      <c r="A65" s="2204" t="s">
        <v>1129</v>
      </c>
      <c r="B65" s="2203"/>
      <c r="C65" s="2203"/>
      <c r="D65" s="2203"/>
      <c r="E65" s="2203"/>
      <c r="F65" s="2203"/>
      <c r="G65" s="2203"/>
      <c r="H65" s="2203"/>
    </row>
    <row r="66" spans="1:8">
      <c r="A66" s="2204" t="s">
        <v>1130</v>
      </c>
      <c r="B66" s="2203"/>
      <c r="C66" s="2203"/>
      <c r="D66" s="2203"/>
      <c r="E66" s="2203"/>
      <c r="F66" s="2203"/>
      <c r="G66" s="2203"/>
      <c r="H66" s="2203"/>
    </row>
    <row r="67" spans="1:8">
      <c r="A67" s="2204" t="s">
        <v>1131</v>
      </c>
      <c r="B67" s="2203"/>
      <c r="C67" s="2203"/>
      <c r="D67" s="2203"/>
      <c r="E67" s="2203"/>
      <c r="F67" s="2203"/>
      <c r="G67" s="2203"/>
      <c r="H67" s="2203"/>
    </row>
    <row r="68" spans="1:8">
      <c r="A68" s="2204" t="s">
        <v>1132</v>
      </c>
      <c r="B68" s="2203"/>
      <c r="C68" s="2203"/>
      <c r="D68" s="2203"/>
      <c r="E68" s="2203"/>
      <c r="F68" s="2203"/>
      <c r="G68" s="2203"/>
      <c r="H68" s="2203"/>
    </row>
    <row r="69" spans="1:8">
      <c r="A69" s="2204" t="s">
        <v>1133</v>
      </c>
      <c r="B69" s="2203"/>
      <c r="C69" s="2203"/>
      <c r="D69" s="2203"/>
      <c r="E69" s="2203"/>
      <c r="F69" s="2203"/>
      <c r="G69" s="2203"/>
      <c r="H69" s="2203"/>
    </row>
    <row r="70" spans="1:8">
      <c r="A70" s="2204" t="s">
        <v>1018</v>
      </c>
      <c r="B70" s="2203"/>
      <c r="C70" s="2203"/>
      <c r="D70" s="2203"/>
      <c r="E70" s="2203"/>
      <c r="F70" s="2203"/>
      <c r="G70" s="2203"/>
      <c r="H70" s="2203"/>
    </row>
    <row r="71" spans="1:8">
      <c r="A71" s="2203"/>
      <c r="B71" s="2203"/>
      <c r="C71" s="2203"/>
      <c r="D71" s="2203"/>
      <c r="E71" s="2203"/>
      <c r="F71" s="2203"/>
      <c r="G71" s="2203"/>
      <c r="H71" s="2203"/>
    </row>
    <row r="72" spans="1:8">
      <c r="A72" s="2204" t="s">
        <v>1122</v>
      </c>
      <c r="B72" s="2203"/>
      <c r="C72" s="2203"/>
      <c r="D72" s="2203"/>
      <c r="E72" s="2203"/>
      <c r="F72" s="2203"/>
      <c r="G72" s="2203"/>
      <c r="H72" s="2203"/>
    </row>
    <row r="73" spans="1:8">
      <c r="A73" s="2204" t="s">
        <v>1123</v>
      </c>
      <c r="B73" s="2203"/>
      <c r="C73" s="2203"/>
      <c r="D73" s="2203"/>
      <c r="E73" s="2203"/>
      <c r="F73" s="2203"/>
      <c r="G73" s="2203"/>
      <c r="H73" s="2203"/>
    </row>
    <row r="74" spans="1:8">
      <c r="A74" s="2204" t="s">
        <v>1124</v>
      </c>
      <c r="B74" s="2203"/>
      <c r="C74" s="2203"/>
      <c r="D74" s="2203"/>
      <c r="E74" s="2203"/>
      <c r="F74" s="2203"/>
      <c r="G74" s="2203"/>
      <c r="H74" s="2203"/>
    </row>
    <row r="75" spans="1:8">
      <c r="A75" s="2204" t="s">
        <v>1125</v>
      </c>
      <c r="B75" s="2203"/>
      <c r="C75" s="2203"/>
      <c r="D75" s="2203"/>
      <c r="E75" s="2203"/>
      <c r="F75" s="2203"/>
      <c r="G75" s="2203"/>
      <c r="H75" s="2203"/>
    </row>
    <row r="76" spans="1:8">
      <c r="A76" s="2204" t="s">
        <v>1126</v>
      </c>
      <c r="B76" s="2203"/>
      <c r="C76" s="2203"/>
      <c r="D76" s="2203"/>
      <c r="E76" s="2203"/>
      <c r="F76" s="2203"/>
      <c r="G76" s="2203"/>
      <c r="H76" s="2203"/>
    </row>
    <row r="77" spans="1:8">
      <c r="A77" s="2204" t="s">
        <v>1127</v>
      </c>
      <c r="B77" s="2203"/>
      <c r="C77" s="2203"/>
      <c r="D77" s="2203"/>
      <c r="E77" s="2203"/>
      <c r="F77" s="2203"/>
      <c r="G77" s="2203"/>
      <c r="H77" s="2203"/>
    </row>
    <row r="78" spans="1:8">
      <c r="A78" s="2204" t="s">
        <v>1128</v>
      </c>
      <c r="B78" s="2203"/>
      <c r="C78" s="2203"/>
      <c r="D78" s="2203"/>
      <c r="E78" s="2203"/>
      <c r="F78" s="2203"/>
      <c r="G78" s="2203"/>
      <c r="H78" s="2203"/>
    </row>
    <row r="79" spans="1:8">
      <c r="A79" s="2203"/>
      <c r="B79" s="2203"/>
      <c r="C79" s="2203"/>
      <c r="D79" s="2203"/>
      <c r="E79" s="2203"/>
      <c r="F79" s="2203"/>
      <c r="G79" s="2203"/>
      <c r="H79" s="2203"/>
    </row>
    <row r="80" spans="1:8">
      <c r="A80" s="2204" t="s">
        <v>1120</v>
      </c>
      <c r="B80" s="2203"/>
      <c r="C80" s="2203"/>
      <c r="D80" s="2203"/>
      <c r="E80" s="2203"/>
      <c r="F80" s="2203"/>
      <c r="G80" s="2203"/>
      <c r="H80" s="2203"/>
    </row>
    <row r="81" spans="1:8">
      <c r="A81" s="2204" t="s">
        <v>1121</v>
      </c>
      <c r="B81" s="2203"/>
      <c r="C81" s="2203"/>
      <c r="D81" s="2203"/>
      <c r="E81" s="2203"/>
      <c r="F81" s="2203"/>
      <c r="G81" s="2203"/>
      <c r="H81" s="2203"/>
    </row>
    <row r="82" spans="1:8">
      <c r="A82" s="2203"/>
      <c r="B82" s="2203"/>
      <c r="C82" s="2203"/>
      <c r="D82" s="2203"/>
      <c r="E82" s="2203"/>
      <c r="F82" s="2203"/>
      <c r="G82" s="2203"/>
      <c r="H82" s="2203"/>
    </row>
    <row r="83" spans="1:8" ht="15.75">
      <c r="A83" s="2205" t="s">
        <v>895</v>
      </c>
      <c r="B83" s="2203"/>
      <c r="C83" s="2203"/>
      <c r="D83" s="2203"/>
      <c r="E83" s="2203"/>
      <c r="F83" s="2203"/>
      <c r="G83" s="2203"/>
      <c r="H83" s="2203"/>
    </row>
    <row r="84" spans="1:8">
      <c r="A84" s="2203"/>
      <c r="B84" s="2203"/>
      <c r="C84" s="2203"/>
      <c r="D84" s="2203"/>
      <c r="E84" s="2203"/>
      <c r="F84" s="2203"/>
      <c r="G84" s="2203"/>
      <c r="H84" s="2203"/>
    </row>
    <row r="85" spans="1:8">
      <c r="A85" s="2204" t="s">
        <v>1111</v>
      </c>
      <c r="B85" s="2203"/>
      <c r="C85" s="2203"/>
      <c r="D85" s="2203"/>
      <c r="E85" s="2203"/>
      <c r="F85" s="2203"/>
      <c r="G85" s="2203"/>
      <c r="H85" s="2203"/>
    </row>
    <row r="86" spans="1:8">
      <c r="A86" s="2204" t="s">
        <v>1112</v>
      </c>
      <c r="B86" s="2203"/>
      <c r="C86" s="2203"/>
      <c r="D86" s="2203"/>
      <c r="E86" s="2203"/>
      <c r="F86" s="2203"/>
      <c r="G86" s="2203"/>
      <c r="H86" s="2203"/>
    </row>
    <row r="87" spans="1:8">
      <c r="A87" s="2204" t="s">
        <v>1113</v>
      </c>
      <c r="B87" s="2203"/>
      <c r="C87" s="2203"/>
      <c r="D87" s="2203"/>
      <c r="E87" s="2203"/>
      <c r="F87" s="2203"/>
      <c r="G87" s="2203"/>
      <c r="H87" s="2203"/>
    </row>
    <row r="88" spans="1:8">
      <c r="A88" s="2204" t="s">
        <v>1114</v>
      </c>
      <c r="B88" s="2203"/>
      <c r="C88" s="2203"/>
      <c r="D88" s="2203"/>
      <c r="E88" s="2203"/>
      <c r="F88" s="2203"/>
      <c r="G88" s="2203"/>
      <c r="H88" s="2203"/>
    </row>
    <row r="89" spans="1:8">
      <c r="A89" s="2204" t="s">
        <v>1115</v>
      </c>
      <c r="B89" s="2203"/>
      <c r="C89" s="2203"/>
      <c r="D89" s="2203"/>
      <c r="E89" s="2203"/>
      <c r="F89" s="2203"/>
      <c r="G89" s="2203"/>
      <c r="H89" s="2203"/>
    </row>
    <row r="90" spans="1:8">
      <c r="A90" s="2204" t="s">
        <v>1116</v>
      </c>
      <c r="B90" s="2203"/>
      <c r="C90" s="2203"/>
      <c r="D90" s="2203"/>
      <c r="E90" s="2203"/>
      <c r="F90" s="2203"/>
      <c r="G90" s="2203"/>
      <c r="H90" s="2203"/>
    </row>
    <row r="91" spans="1:8">
      <c r="A91" s="2204" t="s">
        <v>1117</v>
      </c>
      <c r="B91" s="2203"/>
      <c r="C91" s="2203"/>
      <c r="D91" s="2203"/>
      <c r="E91" s="2203"/>
      <c r="F91" s="2203"/>
      <c r="G91" s="2203"/>
      <c r="H91" s="2203"/>
    </row>
    <row r="92" spans="1:8">
      <c r="A92" s="2204" t="s">
        <v>1118</v>
      </c>
      <c r="B92" s="2203"/>
      <c r="C92" s="2203"/>
      <c r="D92" s="2203"/>
      <c r="E92" s="2203"/>
      <c r="F92" s="2203"/>
      <c r="G92" s="2203"/>
      <c r="H92" s="2203"/>
    </row>
    <row r="93" spans="1:8">
      <c r="A93" s="2204" t="s">
        <v>1119</v>
      </c>
      <c r="B93" s="2203"/>
      <c r="C93" s="2203"/>
      <c r="D93" s="2203"/>
      <c r="E93" s="2203"/>
      <c r="F93" s="2203"/>
      <c r="G93" s="2203"/>
      <c r="H93" s="2203"/>
    </row>
    <row r="94" spans="1:8">
      <c r="A94" s="2203"/>
      <c r="B94" s="2203"/>
      <c r="C94" s="2203"/>
      <c r="D94" s="2203"/>
      <c r="E94" s="2203"/>
      <c r="F94" s="2203"/>
      <c r="G94" s="2203"/>
      <c r="H94" s="2203"/>
    </row>
    <row r="95" spans="1:8" ht="15.75">
      <c r="A95" s="2206" t="s">
        <v>896</v>
      </c>
      <c r="B95" s="2206"/>
      <c r="C95" s="2206"/>
      <c r="D95" s="2206"/>
      <c r="E95" s="2206"/>
      <c r="F95" s="2206"/>
      <c r="G95" s="2206"/>
      <c r="H95" s="2206"/>
    </row>
    <row r="96" spans="1:8">
      <c r="A96" s="2207" t="s">
        <v>897</v>
      </c>
      <c r="B96" s="2207"/>
      <c r="C96" s="2207"/>
      <c r="D96" s="2207"/>
      <c r="E96" s="2207"/>
      <c r="F96" s="2207"/>
      <c r="G96" s="2207"/>
      <c r="H96" s="2207"/>
    </row>
    <row r="97" spans="1:8">
      <c r="A97" s="2208"/>
      <c r="B97" s="2208"/>
      <c r="C97" s="2208"/>
      <c r="D97" s="2208"/>
      <c r="E97" s="2208"/>
      <c r="F97" s="2208"/>
      <c r="G97" s="2208"/>
      <c r="H97" s="2208"/>
    </row>
    <row r="98" spans="1:8">
      <c r="A98" s="2207" t="s">
        <v>1109</v>
      </c>
      <c r="B98" s="2207"/>
      <c r="C98" s="2207"/>
      <c r="D98" s="2207"/>
      <c r="E98" s="2207"/>
      <c r="F98" s="2207"/>
      <c r="G98" s="2207"/>
      <c r="H98" s="2207"/>
    </row>
    <row r="99" spans="1:8">
      <c r="A99" s="2204" t="s">
        <v>1110</v>
      </c>
      <c r="B99" s="2204"/>
      <c r="C99" s="2204"/>
      <c r="D99" s="2204"/>
      <c r="E99" s="2204"/>
      <c r="F99" s="2204"/>
      <c r="G99" s="2204"/>
      <c r="H99" s="2204"/>
    </row>
    <row r="100" spans="1:8">
      <c r="A100" s="2208"/>
      <c r="B100" s="2208"/>
      <c r="C100" s="2208"/>
      <c r="D100" s="2208"/>
      <c r="E100" s="2208"/>
      <c r="F100" s="2208"/>
      <c r="G100" s="2208"/>
      <c r="H100" s="2208"/>
    </row>
    <row r="101" spans="1:8">
      <c r="A101" s="2207" t="s">
        <v>1102</v>
      </c>
      <c r="B101" s="2207"/>
      <c r="C101" s="2207"/>
      <c r="D101" s="2207"/>
      <c r="E101" s="2207"/>
      <c r="F101" s="2207"/>
      <c r="G101" s="2207"/>
      <c r="H101" s="2207"/>
    </row>
    <row r="102" spans="1:8">
      <c r="A102" s="2204" t="s">
        <v>1103</v>
      </c>
      <c r="B102" s="2204"/>
      <c r="C102" s="2204"/>
      <c r="D102" s="2204"/>
      <c r="E102" s="2204"/>
      <c r="F102" s="2204"/>
      <c r="G102" s="2204"/>
      <c r="H102" s="2204"/>
    </row>
    <row r="103" spans="1:8">
      <c r="A103" s="2204" t="s">
        <v>1104</v>
      </c>
      <c r="B103" s="2204"/>
      <c r="C103" s="2204"/>
      <c r="D103" s="2204"/>
      <c r="E103" s="2204"/>
      <c r="F103" s="2204"/>
      <c r="G103" s="2204"/>
      <c r="H103" s="2204"/>
    </row>
    <row r="104" spans="1:8">
      <c r="A104" s="2204" t="s">
        <v>1105</v>
      </c>
      <c r="B104" s="2204"/>
      <c r="C104" s="2204"/>
      <c r="D104" s="2204"/>
      <c r="E104" s="2204"/>
      <c r="F104" s="2204"/>
      <c r="G104" s="2204"/>
      <c r="H104" s="2204"/>
    </row>
    <row r="105" spans="1:8">
      <c r="A105" s="2204" t="s">
        <v>1106</v>
      </c>
      <c r="B105" s="2204"/>
      <c r="C105" s="2204"/>
      <c r="D105" s="2204"/>
      <c r="E105" s="2204"/>
      <c r="F105" s="2204"/>
      <c r="G105" s="2204"/>
      <c r="H105" s="2204"/>
    </row>
    <row r="106" spans="1:8">
      <c r="A106" s="2204" t="s">
        <v>1107</v>
      </c>
      <c r="B106" s="2204"/>
      <c r="C106" s="2204"/>
      <c r="D106" s="2204"/>
      <c r="E106" s="2204"/>
      <c r="F106" s="2204"/>
      <c r="G106" s="2204"/>
      <c r="H106" s="2204"/>
    </row>
    <row r="107" spans="1:8">
      <c r="A107" s="2204" t="s">
        <v>1108</v>
      </c>
      <c r="B107" s="2204"/>
      <c r="C107" s="2204"/>
      <c r="D107" s="2204"/>
      <c r="E107" s="2204"/>
      <c r="F107" s="2204"/>
      <c r="G107" s="2204"/>
      <c r="H107" s="2204"/>
    </row>
    <row r="108" spans="1:8">
      <c r="A108" s="2209"/>
      <c r="B108" s="2209"/>
      <c r="C108" s="2209"/>
      <c r="D108" s="2209"/>
      <c r="E108" s="2209"/>
      <c r="F108" s="2209"/>
      <c r="G108" s="2209"/>
      <c r="H108" s="2209"/>
    </row>
    <row r="109" spans="1:8">
      <c r="A109" s="2210"/>
      <c r="B109" s="2211" t="s">
        <v>898</v>
      </c>
      <c r="C109" s="2212"/>
      <c r="D109" s="2211" t="s">
        <v>899</v>
      </c>
      <c r="E109" s="2213"/>
      <c r="F109" s="2212"/>
      <c r="G109" s="2211" t="s">
        <v>900</v>
      </c>
      <c r="H109" s="2212"/>
    </row>
    <row r="110" spans="1:8">
      <c r="A110" s="2210" t="s">
        <v>901</v>
      </c>
      <c r="B110" s="2210" t="s">
        <v>385</v>
      </c>
      <c r="C110" s="2210" t="s">
        <v>613</v>
      </c>
      <c r="D110" s="2210" t="s">
        <v>385</v>
      </c>
      <c r="E110" s="2210" t="s">
        <v>902</v>
      </c>
      <c r="F110" s="2210" t="s">
        <v>903</v>
      </c>
      <c r="G110" s="2210" t="s">
        <v>385</v>
      </c>
      <c r="H110" s="2210" t="s">
        <v>904</v>
      </c>
    </row>
    <row r="111" spans="1:8">
      <c r="A111" s="2210" t="s">
        <v>905</v>
      </c>
      <c r="B111" s="2210">
        <v>1175</v>
      </c>
      <c r="C111" s="2210">
        <v>0.37</v>
      </c>
      <c r="D111" s="2210">
        <v>315</v>
      </c>
      <c r="E111" s="2210">
        <v>0.41</v>
      </c>
      <c r="F111" s="2210">
        <v>0.27</v>
      </c>
      <c r="G111" s="2210">
        <v>555</v>
      </c>
      <c r="H111" s="2210">
        <v>0.39</v>
      </c>
    </row>
    <row r="112" spans="1:8">
      <c r="A112" s="2210" t="s">
        <v>906</v>
      </c>
      <c r="B112" s="2210">
        <v>1369</v>
      </c>
      <c r="C112" s="2210">
        <v>0.43</v>
      </c>
      <c r="D112" s="2210">
        <v>357</v>
      </c>
      <c r="E112" s="2210">
        <v>0.47</v>
      </c>
      <c r="F112" s="2210">
        <v>0.26</v>
      </c>
      <c r="G112" s="2210">
        <v>643</v>
      </c>
      <c r="H112" s="2210">
        <v>0.45</v>
      </c>
    </row>
    <row r="113" spans="1:8">
      <c r="A113" s="2210" t="s">
        <v>907</v>
      </c>
      <c r="B113" s="2210">
        <v>53</v>
      </c>
      <c r="C113" s="2210">
        <v>0.02</v>
      </c>
      <c r="D113" s="2210">
        <v>5</v>
      </c>
      <c r="E113" s="2210">
        <v>0.01</v>
      </c>
      <c r="F113" s="2210">
        <v>0.09</v>
      </c>
      <c r="G113" s="2210">
        <v>7</v>
      </c>
      <c r="H113" s="2210">
        <v>0</v>
      </c>
    </row>
    <row r="114" spans="1:8">
      <c r="A114" s="2210" t="s">
        <v>908</v>
      </c>
      <c r="B114" s="2210">
        <v>552</v>
      </c>
      <c r="C114" s="2210">
        <v>0.18</v>
      </c>
      <c r="D114" s="2210">
        <v>87</v>
      </c>
      <c r="E114" s="2210">
        <v>0.11</v>
      </c>
      <c r="F114" s="2210">
        <v>0.16</v>
      </c>
      <c r="G114" s="2210">
        <v>222</v>
      </c>
      <c r="H114" s="2210">
        <v>0.16</v>
      </c>
    </row>
    <row r="115" spans="1:8">
      <c r="A115" s="2210" t="s">
        <v>695</v>
      </c>
      <c r="B115" s="2210">
        <v>3149</v>
      </c>
      <c r="C115" s="2210"/>
      <c r="D115" s="2210">
        <v>764</v>
      </c>
      <c r="E115" s="2210"/>
      <c r="F115" s="2210"/>
      <c r="G115" s="2210">
        <v>1427</v>
      </c>
      <c r="H115" s="2210"/>
    </row>
    <row r="116" spans="1:8">
      <c r="A116" s="2214"/>
      <c r="B116" s="2214"/>
      <c r="C116" s="2214"/>
      <c r="D116" s="2214"/>
      <c r="E116" s="2214"/>
      <c r="F116" s="2214"/>
      <c r="G116" s="2214"/>
      <c r="H116" s="2214"/>
    </row>
    <row r="117" spans="1:8">
      <c r="A117" s="2207" t="s">
        <v>1098</v>
      </c>
      <c r="B117" s="2207"/>
      <c r="C117" s="2207"/>
      <c r="D117" s="2207"/>
      <c r="E117" s="2207"/>
      <c r="F117" s="2207"/>
      <c r="G117" s="2207"/>
      <c r="H117" s="2207"/>
    </row>
    <row r="118" spans="1:8">
      <c r="A118" s="2204" t="s">
        <v>1099</v>
      </c>
      <c r="B118" s="2204"/>
      <c r="C118" s="2204"/>
      <c r="D118" s="2204"/>
      <c r="E118" s="2204"/>
      <c r="F118" s="2204"/>
      <c r="G118" s="2204"/>
      <c r="H118" s="2204"/>
    </row>
    <row r="119" spans="1:8">
      <c r="A119" s="2204" t="s">
        <v>1100</v>
      </c>
      <c r="B119" s="2204"/>
      <c r="C119" s="2204"/>
      <c r="D119" s="2204"/>
      <c r="E119" s="2204"/>
      <c r="F119" s="2204"/>
      <c r="G119" s="2204"/>
      <c r="H119" s="2204"/>
    </row>
    <row r="120" spans="1:8">
      <c r="A120" s="2204" t="s">
        <v>1101</v>
      </c>
      <c r="B120" s="2204"/>
      <c r="C120" s="2204"/>
      <c r="D120" s="2204"/>
      <c r="E120" s="2204"/>
      <c r="F120" s="2204"/>
      <c r="G120" s="2204"/>
      <c r="H120" s="2204"/>
    </row>
    <row r="121" spans="1:8">
      <c r="A121" s="2203"/>
      <c r="B121" s="2203"/>
      <c r="C121" s="2203"/>
      <c r="D121" s="2203"/>
      <c r="E121" s="2203"/>
      <c r="F121" s="2203"/>
      <c r="G121" s="2203"/>
      <c r="H121" s="2203"/>
    </row>
    <row r="122" spans="1:8" ht="15.75">
      <c r="A122" s="2205" t="s">
        <v>909</v>
      </c>
      <c r="B122" s="2203"/>
      <c r="C122" s="2203"/>
      <c r="D122" s="2203"/>
      <c r="E122" s="2203"/>
      <c r="F122" s="2203"/>
      <c r="G122" s="2203"/>
      <c r="H122" s="2203"/>
    </row>
    <row r="123" spans="1:8">
      <c r="A123" s="2203"/>
      <c r="B123" s="2203"/>
      <c r="C123" s="2203"/>
      <c r="D123" s="2203"/>
      <c r="E123" s="2203"/>
      <c r="F123" s="2203"/>
      <c r="G123" s="2203"/>
      <c r="H123" s="2203"/>
    </row>
    <row r="124" spans="1:8">
      <c r="A124" s="2204" t="s">
        <v>1096</v>
      </c>
      <c r="B124" s="2203"/>
      <c r="C124" s="2203"/>
      <c r="D124" s="2203"/>
      <c r="E124" s="2203"/>
      <c r="F124" s="2203"/>
      <c r="G124" s="2203"/>
      <c r="H124" s="2203"/>
    </row>
    <row r="125" spans="1:8">
      <c r="A125" s="2204" t="s">
        <v>1097</v>
      </c>
      <c r="B125" s="2203"/>
      <c r="C125" s="2203"/>
      <c r="D125" s="2203"/>
      <c r="E125" s="2203"/>
      <c r="F125" s="2203"/>
      <c r="G125" s="2203"/>
      <c r="H125" s="2203"/>
    </row>
    <row r="126" spans="1:8">
      <c r="A126" s="2203"/>
      <c r="B126" s="2203"/>
      <c r="C126" s="2203"/>
      <c r="D126" s="2203"/>
      <c r="E126" s="2203"/>
      <c r="F126" s="2203"/>
      <c r="G126" s="2203"/>
      <c r="H126" s="2203"/>
    </row>
    <row r="127" spans="1:8">
      <c r="A127" s="2204" t="s">
        <v>1093</v>
      </c>
      <c r="B127" s="2203"/>
      <c r="C127" s="2203"/>
      <c r="D127" s="2203"/>
      <c r="E127" s="2203"/>
      <c r="F127" s="2203"/>
      <c r="G127" s="2203"/>
      <c r="H127" s="2203"/>
    </row>
    <row r="128" spans="1:8">
      <c r="A128" s="2204" t="s">
        <v>1094</v>
      </c>
      <c r="B128" s="2203"/>
      <c r="C128" s="2203"/>
      <c r="D128" s="2203"/>
      <c r="E128" s="2203"/>
      <c r="F128" s="2203"/>
      <c r="G128" s="2203"/>
      <c r="H128" s="2203"/>
    </row>
    <row r="129" spans="1:8">
      <c r="A129" s="2204" t="s">
        <v>1095</v>
      </c>
      <c r="B129" s="2203"/>
      <c r="C129" s="2203"/>
      <c r="D129" s="2203"/>
      <c r="E129" s="2203"/>
      <c r="F129" s="2203"/>
      <c r="G129" s="2203"/>
      <c r="H129" s="2203"/>
    </row>
    <row r="130" spans="1:8">
      <c r="A130" s="2203"/>
      <c r="B130" s="2203"/>
      <c r="C130" s="2203"/>
      <c r="D130" s="2203"/>
      <c r="E130" s="2203"/>
      <c r="F130" s="2203"/>
      <c r="G130" s="2203"/>
      <c r="H130" s="2203"/>
    </row>
    <row r="131" spans="1:8">
      <c r="A131" s="2204" t="s">
        <v>1090</v>
      </c>
      <c r="B131" s="2203"/>
      <c r="C131" s="2203"/>
      <c r="D131" s="2203"/>
      <c r="E131" s="2203"/>
      <c r="F131" s="2203"/>
      <c r="G131" s="2203"/>
      <c r="H131" s="2203"/>
    </row>
    <row r="132" spans="1:8">
      <c r="A132" s="2204" t="s">
        <v>1091</v>
      </c>
      <c r="B132" s="2203"/>
      <c r="C132" s="2203"/>
      <c r="D132" s="2203"/>
      <c r="E132" s="2203"/>
      <c r="F132" s="2203"/>
      <c r="G132" s="2203"/>
      <c r="H132" s="2203"/>
    </row>
    <row r="133" spans="1:8">
      <c r="A133" s="2204" t="s">
        <v>1092</v>
      </c>
      <c r="B133" s="2203"/>
      <c r="C133" s="2203"/>
      <c r="D133" s="2203"/>
      <c r="E133" s="2203"/>
      <c r="F133" s="2203"/>
      <c r="G133" s="2203"/>
      <c r="H133" s="2203"/>
    </row>
    <row r="134" spans="1:8">
      <c r="A134" s="2203"/>
      <c r="B134" s="2203"/>
      <c r="C134" s="2203"/>
      <c r="D134" s="2203"/>
      <c r="E134" s="2203"/>
      <c r="F134" s="2203"/>
      <c r="G134" s="2203"/>
      <c r="H134" s="2203"/>
    </row>
    <row r="135" spans="1:8">
      <c r="A135" s="2204" t="s">
        <v>1087</v>
      </c>
      <c r="B135" s="2203"/>
      <c r="C135" s="2203"/>
      <c r="D135" s="2203"/>
      <c r="E135" s="2203"/>
      <c r="F135" s="2203"/>
      <c r="G135" s="2203"/>
      <c r="H135" s="2203"/>
    </row>
    <row r="136" spans="1:8">
      <c r="A136" s="2204" t="s">
        <v>1088</v>
      </c>
      <c r="B136" s="2203"/>
      <c r="C136" s="2203"/>
      <c r="D136" s="2203"/>
      <c r="E136" s="2203"/>
      <c r="F136" s="2203"/>
      <c r="G136" s="2203"/>
      <c r="H136" s="2203"/>
    </row>
    <row r="137" spans="1:8">
      <c r="A137" s="2204" t="s">
        <v>1089</v>
      </c>
      <c r="B137" s="2203"/>
      <c r="C137" s="2203"/>
      <c r="D137" s="2203"/>
      <c r="E137" s="2203"/>
      <c r="F137" s="2203"/>
      <c r="G137" s="2203"/>
      <c r="H137" s="2203"/>
    </row>
    <row r="138" spans="1:8">
      <c r="A138" s="2203"/>
      <c r="B138" s="2203"/>
      <c r="C138" s="2203"/>
      <c r="D138" s="2203"/>
      <c r="E138" s="2203"/>
      <c r="F138" s="2203"/>
      <c r="G138" s="2203"/>
      <c r="H138" s="2203"/>
    </row>
    <row r="139" spans="1:8">
      <c r="A139" s="2204" t="s">
        <v>1085</v>
      </c>
      <c r="B139" s="2203"/>
      <c r="C139" s="2203"/>
      <c r="D139" s="2203"/>
      <c r="E139" s="2203"/>
      <c r="F139" s="2203"/>
      <c r="G139" s="2203"/>
      <c r="H139" s="2203"/>
    </row>
    <row r="140" spans="1:8">
      <c r="A140" s="2204" t="s">
        <v>1086</v>
      </c>
      <c r="B140" s="2203"/>
      <c r="C140" s="2203"/>
      <c r="D140" s="2203"/>
      <c r="E140" s="2203"/>
      <c r="F140" s="2203"/>
      <c r="G140" s="2203"/>
      <c r="H140" s="2203"/>
    </row>
    <row r="141" spans="1:8">
      <c r="A141" s="2203"/>
      <c r="B141" s="2203"/>
      <c r="C141" s="2203"/>
      <c r="D141" s="2203"/>
      <c r="E141" s="2203"/>
      <c r="F141" s="2203"/>
      <c r="G141" s="2203"/>
      <c r="H141" s="2203"/>
    </row>
    <row r="142" spans="1:8" ht="15.75">
      <c r="A142" s="2205" t="s">
        <v>910</v>
      </c>
      <c r="B142" s="2203"/>
      <c r="C142" s="2203"/>
      <c r="D142" s="2203"/>
      <c r="E142" s="2203"/>
      <c r="F142" s="2203"/>
      <c r="G142" s="2203"/>
      <c r="H142" s="2203"/>
    </row>
    <row r="143" spans="1:8">
      <c r="A143" s="2203"/>
      <c r="B143" s="2203"/>
      <c r="C143" s="2203"/>
      <c r="D143" s="2203"/>
      <c r="E143" s="2203"/>
      <c r="F143" s="2203"/>
      <c r="G143" s="2203"/>
      <c r="H143" s="2203"/>
    </row>
    <row r="144" spans="1:8">
      <c r="A144" s="2204" t="s">
        <v>1083</v>
      </c>
      <c r="B144" s="2203"/>
      <c r="C144" s="2203"/>
      <c r="D144" s="2203"/>
      <c r="E144" s="2203"/>
      <c r="F144" s="2203"/>
      <c r="G144" s="2203"/>
      <c r="H144" s="2203"/>
    </row>
    <row r="145" spans="1:8">
      <c r="A145" s="2204" t="s">
        <v>1084</v>
      </c>
      <c r="B145" s="2203"/>
      <c r="C145" s="2203"/>
      <c r="D145" s="2203"/>
      <c r="E145" s="2203"/>
      <c r="F145" s="2203"/>
      <c r="G145" s="2203"/>
      <c r="H145" s="2203"/>
    </row>
    <row r="146" spans="1:8">
      <c r="A146" s="2203"/>
      <c r="B146" s="2203"/>
      <c r="C146" s="2203"/>
      <c r="D146" s="2203"/>
      <c r="E146" s="2203"/>
      <c r="F146" s="2203"/>
      <c r="G146" s="2203"/>
      <c r="H146" s="2203"/>
    </row>
    <row r="147" spans="1:8">
      <c r="A147" s="2204" t="s">
        <v>1081</v>
      </c>
      <c r="B147" s="2203"/>
      <c r="C147" s="2203"/>
      <c r="D147" s="2203"/>
      <c r="E147" s="2203"/>
      <c r="F147" s="2203"/>
      <c r="G147" s="2203"/>
      <c r="H147" s="2203"/>
    </row>
    <row r="148" spans="1:8">
      <c r="A148" s="2204" t="s">
        <v>1082</v>
      </c>
      <c r="B148" s="2203"/>
      <c r="C148" s="2203"/>
      <c r="D148" s="2203"/>
      <c r="E148" s="2203"/>
      <c r="F148" s="2203"/>
      <c r="G148" s="2203"/>
      <c r="H148" s="2203"/>
    </row>
    <row r="149" spans="1:8">
      <c r="A149" s="2203"/>
      <c r="B149" s="2203"/>
      <c r="C149" s="2203"/>
      <c r="D149" s="2203"/>
      <c r="E149" s="2203"/>
      <c r="F149" s="2203"/>
      <c r="G149" s="2203"/>
      <c r="H149" s="2203"/>
    </row>
    <row r="150" spans="1:8">
      <c r="A150" s="2204" t="s">
        <v>1079</v>
      </c>
      <c r="B150" s="2203"/>
      <c r="C150" s="2203"/>
      <c r="D150" s="2203"/>
      <c r="E150" s="2203"/>
      <c r="F150" s="2203"/>
      <c r="G150" s="2203"/>
      <c r="H150" s="2203"/>
    </row>
    <row r="151" spans="1:8">
      <c r="A151" s="2204" t="s">
        <v>1080</v>
      </c>
      <c r="B151" s="2203"/>
      <c r="C151" s="2203"/>
      <c r="D151" s="2203"/>
      <c r="E151" s="2203"/>
      <c r="F151" s="2203"/>
      <c r="G151" s="2203"/>
      <c r="H151" s="2203"/>
    </row>
    <row r="152" spans="1:8">
      <c r="A152" s="2203"/>
      <c r="B152" s="2203"/>
      <c r="C152" s="2203"/>
      <c r="D152" s="2203"/>
      <c r="E152" s="2203"/>
      <c r="F152" s="2203"/>
      <c r="G152" s="2203"/>
      <c r="H152" s="2203"/>
    </row>
    <row r="153" spans="1:8">
      <c r="A153" s="2204" t="s">
        <v>1076</v>
      </c>
      <c r="B153" s="2203"/>
      <c r="C153" s="2203"/>
      <c r="D153" s="2203"/>
      <c r="E153" s="2203"/>
      <c r="F153" s="2203"/>
      <c r="G153" s="2203"/>
      <c r="H153" s="2203"/>
    </row>
    <row r="154" spans="1:8">
      <c r="A154" s="2204" t="s">
        <v>1077</v>
      </c>
      <c r="B154" s="2203"/>
      <c r="C154" s="2203"/>
      <c r="D154" s="2203"/>
      <c r="E154" s="2203"/>
      <c r="F154" s="2203"/>
      <c r="G154" s="2203"/>
      <c r="H154" s="2203"/>
    </row>
    <row r="155" spans="1:8">
      <c r="A155" s="2204" t="s">
        <v>1078</v>
      </c>
      <c r="B155" s="2203"/>
      <c r="C155" s="2203"/>
      <c r="D155" s="2203"/>
      <c r="E155" s="2203"/>
      <c r="F155" s="2203"/>
      <c r="G155" s="2203"/>
      <c r="H155" s="2203"/>
    </row>
    <row r="156" spans="1:8">
      <c r="A156" s="2203"/>
      <c r="B156" s="2203"/>
      <c r="C156" s="2203"/>
      <c r="D156" s="2203"/>
      <c r="E156" s="2203"/>
      <c r="F156" s="2203"/>
      <c r="G156" s="2203"/>
      <c r="H156" s="2203"/>
    </row>
    <row r="157" spans="1:8">
      <c r="A157" s="2203"/>
      <c r="B157" s="2203"/>
      <c r="C157" s="2203"/>
      <c r="D157" s="2203"/>
      <c r="E157" s="2203"/>
      <c r="F157" s="2203"/>
      <c r="G157" s="2203"/>
      <c r="H157" s="2203"/>
    </row>
    <row r="158" spans="1:8">
      <c r="A158" s="2204" t="s">
        <v>194</v>
      </c>
      <c r="B158" s="2203"/>
      <c r="C158" s="2203"/>
      <c r="D158" s="2203"/>
      <c r="E158" s="2203"/>
      <c r="F158" s="2203"/>
      <c r="G158" s="2203"/>
      <c r="H158" s="2203"/>
    </row>
    <row r="159" spans="1:8">
      <c r="A159" s="2203"/>
      <c r="B159" s="2203"/>
      <c r="C159" s="2203"/>
      <c r="D159" s="2203"/>
      <c r="E159" s="2203"/>
      <c r="F159" s="2203"/>
      <c r="G159" s="2203"/>
      <c r="H159" s="2203"/>
    </row>
    <row r="160" spans="1:8" ht="15.75">
      <c r="A160" s="2205" t="s">
        <v>911</v>
      </c>
      <c r="B160" s="2203"/>
      <c r="C160" s="2203"/>
      <c r="D160" s="2203"/>
      <c r="E160" s="2203"/>
      <c r="F160" s="2203"/>
      <c r="G160" s="2203"/>
      <c r="H160" s="2203"/>
    </row>
    <row r="161" spans="1:8">
      <c r="A161" s="2203"/>
      <c r="B161" s="2203"/>
      <c r="C161" s="2203"/>
      <c r="D161" s="2203"/>
      <c r="E161" s="2203"/>
      <c r="F161" s="2203"/>
      <c r="G161" s="2203"/>
      <c r="H161" s="2203"/>
    </row>
    <row r="162" spans="1:8">
      <c r="A162" s="2203"/>
      <c r="B162" s="2203"/>
      <c r="C162" s="2203"/>
      <c r="D162" s="2203"/>
      <c r="E162" s="2203"/>
      <c r="F162" s="2203"/>
      <c r="G162" s="2203"/>
      <c r="H162" s="2203"/>
    </row>
    <row r="163" spans="1:8">
      <c r="A163" s="2203"/>
      <c r="B163" s="2203"/>
      <c r="C163" s="2203"/>
      <c r="D163" s="2203"/>
      <c r="E163" s="2203"/>
      <c r="F163" s="2203"/>
      <c r="G163" s="2203"/>
      <c r="H163" s="2203"/>
    </row>
    <row r="164" spans="1:8">
      <c r="A164" s="2203"/>
      <c r="B164" s="2203"/>
      <c r="C164" s="2203"/>
      <c r="D164" s="2203"/>
      <c r="E164" s="2203"/>
      <c r="F164" s="2203"/>
      <c r="G164" s="2203"/>
      <c r="H164" s="2203"/>
    </row>
    <row r="165" spans="1:8">
      <c r="A165" s="2203"/>
      <c r="B165" s="2203"/>
      <c r="C165" s="2203"/>
      <c r="D165" s="2203"/>
      <c r="E165" s="2203"/>
      <c r="F165" s="2203"/>
      <c r="G165" s="2203"/>
      <c r="H165" s="2203"/>
    </row>
    <row r="166" spans="1:8">
      <c r="A166" s="2203"/>
      <c r="B166" s="2203"/>
      <c r="C166" s="2203"/>
      <c r="D166" s="2203"/>
      <c r="E166" s="2203"/>
      <c r="F166" s="2203"/>
      <c r="G166" s="2203"/>
      <c r="H166" s="2203"/>
    </row>
    <row r="167" spans="1:8">
      <c r="A167" s="2203"/>
      <c r="B167" s="2203"/>
      <c r="C167" s="2203"/>
      <c r="D167" s="2203"/>
      <c r="E167" s="2203"/>
      <c r="F167" s="2203"/>
      <c r="G167" s="2203"/>
      <c r="H167" s="2203"/>
    </row>
    <row r="168" spans="1:8">
      <c r="A168" s="2203"/>
      <c r="B168" s="2203"/>
      <c r="C168" s="2203"/>
      <c r="D168" s="2203"/>
      <c r="E168" s="2203"/>
      <c r="F168" s="2203"/>
      <c r="G168" s="2203"/>
      <c r="H168" s="2203"/>
    </row>
    <row r="169" spans="1:8">
      <c r="A169" s="2203"/>
      <c r="B169" s="2203"/>
      <c r="C169" s="2203"/>
      <c r="D169" s="2203"/>
      <c r="E169" s="2203"/>
      <c r="F169" s="2203"/>
      <c r="G169" s="2203"/>
      <c r="H169" s="2203"/>
    </row>
    <row r="170" spans="1:8">
      <c r="A170" s="2203"/>
      <c r="B170" s="2203"/>
      <c r="C170" s="2203"/>
      <c r="D170" s="2203"/>
      <c r="E170" s="2203"/>
      <c r="F170" s="2203"/>
      <c r="G170" s="2203"/>
      <c r="H170" s="2203"/>
    </row>
    <row r="171" spans="1:8">
      <c r="A171" s="2203"/>
      <c r="B171" s="2203"/>
      <c r="C171" s="2203"/>
      <c r="D171" s="2203"/>
      <c r="E171" s="2203"/>
      <c r="F171" s="2203"/>
      <c r="G171" s="2203"/>
      <c r="H171" s="2203"/>
    </row>
    <row r="172" spans="1:8">
      <c r="A172" s="2203"/>
      <c r="B172" s="2203"/>
      <c r="C172" s="2203"/>
      <c r="D172" s="2203"/>
      <c r="E172" s="2203"/>
      <c r="F172" s="2203"/>
      <c r="G172" s="2203"/>
      <c r="H172" s="2203"/>
    </row>
    <row r="173" spans="1:8">
      <c r="A173" s="2203"/>
      <c r="B173" s="2203"/>
      <c r="C173" s="2203"/>
      <c r="D173" s="2203"/>
      <c r="E173" s="2203"/>
      <c r="F173" s="2203"/>
      <c r="G173" s="2203"/>
      <c r="H173" s="2203"/>
    </row>
    <row r="174" spans="1:8">
      <c r="A174" s="2203"/>
      <c r="B174" s="2203"/>
      <c r="C174" s="2203"/>
      <c r="D174" s="2203"/>
      <c r="E174" s="2203"/>
      <c r="F174" s="2203"/>
      <c r="G174" s="2203"/>
      <c r="H174" s="2203"/>
    </row>
    <row r="175" spans="1:8">
      <c r="A175" s="2203"/>
      <c r="B175" s="2203"/>
      <c r="C175" s="2203"/>
      <c r="D175" s="2203"/>
      <c r="E175" s="2203"/>
      <c r="F175" s="2203"/>
      <c r="G175" s="2203"/>
      <c r="H175" s="2203"/>
    </row>
    <row r="176" spans="1:8">
      <c r="A176" s="2203"/>
      <c r="B176" s="2203"/>
      <c r="C176" s="2203"/>
      <c r="D176" s="2203"/>
      <c r="E176" s="2203"/>
      <c r="F176" s="2203"/>
      <c r="G176" s="2203"/>
      <c r="H176" s="2203"/>
    </row>
    <row r="177" spans="1:8">
      <c r="A177" s="2203"/>
      <c r="B177" s="2203"/>
      <c r="C177" s="2203"/>
      <c r="D177" s="2203"/>
      <c r="E177" s="2203"/>
      <c r="F177" s="2203"/>
      <c r="G177" s="2203"/>
      <c r="H177" s="2203"/>
    </row>
    <row r="178" spans="1:8">
      <c r="A178" s="2203"/>
      <c r="B178" s="2203"/>
      <c r="C178" s="2203"/>
      <c r="D178" s="2203"/>
      <c r="E178" s="2203"/>
      <c r="F178" s="2203"/>
      <c r="G178" s="2203"/>
      <c r="H178" s="2203"/>
    </row>
    <row r="179" spans="1:8">
      <c r="A179" s="2203"/>
      <c r="B179" s="2203"/>
      <c r="C179" s="2203"/>
      <c r="D179" s="2203"/>
      <c r="E179" s="2203"/>
      <c r="F179" s="2203"/>
      <c r="G179" s="2203"/>
      <c r="H179" s="2203"/>
    </row>
    <row r="180" spans="1:8">
      <c r="A180" s="2203"/>
      <c r="B180" s="2203"/>
      <c r="C180" s="2203"/>
      <c r="D180" s="2203"/>
      <c r="E180" s="2203"/>
      <c r="F180" s="2203"/>
      <c r="G180" s="2203"/>
      <c r="H180" s="2203"/>
    </row>
    <row r="181" spans="1:8">
      <c r="A181" s="2203"/>
      <c r="B181" s="2203"/>
      <c r="C181" s="2203"/>
      <c r="D181" s="2203"/>
      <c r="E181" s="2203"/>
      <c r="F181" s="2203"/>
      <c r="G181" s="2203"/>
      <c r="H181" s="2203"/>
    </row>
    <row r="182" spans="1:8">
      <c r="A182" s="2203"/>
      <c r="B182" s="2203"/>
      <c r="C182" s="2203"/>
      <c r="D182" s="2203"/>
      <c r="E182" s="2203"/>
      <c r="F182" s="2203"/>
      <c r="G182" s="2203"/>
      <c r="H182" s="2203"/>
    </row>
    <row r="183" spans="1:8">
      <c r="A183" s="2203"/>
      <c r="B183" s="2203"/>
      <c r="C183" s="2203"/>
      <c r="D183" s="2203"/>
      <c r="E183" s="2203"/>
      <c r="F183" s="2203"/>
      <c r="G183" s="2203"/>
      <c r="H183" s="2203"/>
    </row>
    <row r="184" spans="1:8">
      <c r="A184" s="2203"/>
      <c r="B184" s="2203"/>
      <c r="C184" s="2203"/>
      <c r="D184" s="2203"/>
      <c r="E184" s="2203"/>
      <c r="F184" s="2203"/>
      <c r="G184" s="2203"/>
      <c r="H184" s="2203"/>
    </row>
    <row r="185" spans="1:8">
      <c r="A185" s="2203"/>
      <c r="B185" s="2203"/>
      <c r="C185" s="2203"/>
      <c r="D185" s="2203"/>
      <c r="E185" s="2203"/>
      <c r="F185" s="2203"/>
      <c r="G185" s="2203"/>
      <c r="H185" s="2203"/>
    </row>
    <row r="186" spans="1:8">
      <c r="A186" s="2203"/>
      <c r="B186" s="2203"/>
      <c r="C186" s="2203"/>
      <c r="D186" s="2203"/>
      <c r="E186" s="2203"/>
      <c r="F186" s="2203"/>
      <c r="G186" s="2203"/>
      <c r="H186" s="2203"/>
    </row>
    <row r="187" spans="1:8" ht="15.75">
      <c r="A187" s="2205" t="s">
        <v>912</v>
      </c>
      <c r="B187" s="2203"/>
      <c r="C187" s="2203"/>
      <c r="D187" s="2203"/>
      <c r="E187" s="2203"/>
      <c r="F187" s="2203"/>
      <c r="G187" s="2203"/>
      <c r="H187" s="2203"/>
    </row>
    <row r="188" spans="1:8">
      <c r="A188" s="2203"/>
      <c r="B188" s="2203"/>
      <c r="C188" s="2203"/>
      <c r="D188" s="2203"/>
      <c r="E188" s="2203"/>
      <c r="F188" s="2203"/>
      <c r="G188" s="2203"/>
      <c r="H188" s="2203"/>
    </row>
    <row r="189" spans="1:8">
      <c r="A189" s="2204" t="s">
        <v>1071</v>
      </c>
      <c r="B189" s="2203"/>
      <c r="C189" s="2203"/>
      <c r="D189" s="2203"/>
      <c r="E189" s="2203"/>
      <c r="F189" s="2203"/>
      <c r="G189" s="2203"/>
      <c r="H189" s="2203"/>
    </row>
    <row r="190" spans="1:8">
      <c r="A190" s="2204" t="s">
        <v>1072</v>
      </c>
      <c r="B190" s="2203"/>
      <c r="C190" s="2203"/>
      <c r="D190" s="2203"/>
      <c r="E190" s="2203"/>
      <c r="F190" s="2203"/>
      <c r="G190" s="2203"/>
      <c r="H190" s="2203"/>
    </row>
    <row r="191" spans="1:8">
      <c r="A191" s="2204" t="s">
        <v>1073</v>
      </c>
      <c r="B191" s="2203"/>
      <c r="C191" s="2203"/>
      <c r="D191" s="2203"/>
      <c r="E191" s="2203"/>
      <c r="F191" s="2203"/>
      <c r="G191" s="2203"/>
      <c r="H191" s="2203"/>
    </row>
    <row r="192" spans="1:8">
      <c r="A192" s="2204" t="s">
        <v>1074</v>
      </c>
      <c r="B192" s="2203"/>
      <c r="C192" s="2203"/>
      <c r="D192" s="2203"/>
      <c r="E192" s="2203"/>
      <c r="F192" s="2203"/>
      <c r="G192" s="2203"/>
      <c r="H192" s="2203"/>
    </row>
    <row r="193" spans="1:8">
      <c r="A193" s="2204" t="s">
        <v>1075</v>
      </c>
      <c r="B193" s="2203"/>
      <c r="C193" s="2203"/>
      <c r="D193" s="2203"/>
      <c r="E193" s="2203"/>
      <c r="F193" s="2203"/>
      <c r="G193" s="2203"/>
      <c r="H193" s="2203"/>
    </row>
    <row r="194" spans="1:8">
      <c r="A194" s="2203"/>
      <c r="B194" s="2203"/>
      <c r="C194" s="2203"/>
      <c r="D194" s="2203"/>
      <c r="E194" s="2203"/>
      <c r="F194" s="2203"/>
      <c r="G194" s="2203"/>
      <c r="H194" s="2203"/>
    </row>
    <row r="195" spans="1:8">
      <c r="A195" s="2204" t="s">
        <v>1068</v>
      </c>
      <c r="B195" s="2203"/>
      <c r="C195" s="2203"/>
      <c r="D195" s="2203"/>
      <c r="E195" s="2203"/>
      <c r="F195" s="2203"/>
      <c r="G195" s="2203"/>
      <c r="H195" s="2203"/>
    </row>
    <row r="196" spans="1:8">
      <c r="A196" s="2204" t="s">
        <v>1069</v>
      </c>
      <c r="B196" s="2203"/>
      <c r="C196" s="2203"/>
      <c r="D196" s="2203"/>
      <c r="E196" s="2203"/>
      <c r="F196" s="2203"/>
      <c r="G196" s="2203"/>
      <c r="H196" s="2203"/>
    </row>
    <row r="197" spans="1:8">
      <c r="A197" s="2204" t="s">
        <v>1070</v>
      </c>
      <c r="B197" s="2203"/>
      <c r="C197" s="2203"/>
      <c r="D197" s="2203"/>
      <c r="E197" s="2203"/>
      <c r="F197" s="2203"/>
      <c r="G197" s="2203"/>
      <c r="H197" s="2203"/>
    </row>
    <row r="198" spans="1:8" ht="15.75">
      <c r="A198" s="2205" t="s">
        <v>913</v>
      </c>
      <c r="B198" s="2203"/>
      <c r="C198" s="2203"/>
      <c r="D198" s="2203"/>
      <c r="E198" s="2203"/>
      <c r="F198" s="2203"/>
      <c r="G198" s="2203"/>
      <c r="H198" s="2203"/>
    </row>
    <row r="199" spans="1:8">
      <c r="A199" s="2203"/>
      <c r="B199" s="2203"/>
      <c r="C199" s="2203"/>
      <c r="D199" s="2203"/>
      <c r="E199" s="2203"/>
      <c r="F199" s="2203"/>
      <c r="G199" s="2203"/>
      <c r="H199" s="2203"/>
    </row>
    <row r="200" spans="1:8">
      <c r="A200" s="2204" t="s">
        <v>1061</v>
      </c>
      <c r="B200" s="2203"/>
      <c r="C200" s="2203"/>
      <c r="D200" s="2203"/>
      <c r="E200" s="2203"/>
      <c r="F200" s="2203"/>
      <c r="G200" s="2203"/>
      <c r="H200" s="2203"/>
    </row>
    <row r="201" spans="1:8">
      <c r="A201" s="2204" t="s">
        <v>1062</v>
      </c>
      <c r="B201" s="2203"/>
      <c r="C201" s="2203"/>
      <c r="D201" s="2203"/>
      <c r="E201" s="2203"/>
      <c r="F201" s="2203"/>
      <c r="G201" s="2203"/>
      <c r="H201" s="2203"/>
    </row>
    <row r="202" spans="1:8">
      <c r="A202" s="2204" t="s">
        <v>1063</v>
      </c>
      <c r="B202" s="2203"/>
      <c r="C202" s="2203"/>
      <c r="D202" s="2203"/>
      <c r="E202" s="2203"/>
      <c r="F202" s="2203"/>
      <c r="G202" s="2203"/>
      <c r="H202" s="2203"/>
    </row>
    <row r="203" spans="1:8">
      <c r="A203" s="2204" t="s">
        <v>1064</v>
      </c>
      <c r="B203" s="2203"/>
      <c r="C203" s="2203"/>
      <c r="D203" s="2203"/>
      <c r="E203" s="2203"/>
      <c r="F203" s="2203"/>
      <c r="G203" s="2203"/>
      <c r="H203" s="2203"/>
    </row>
    <row r="204" spans="1:8">
      <c r="A204" s="2204" t="s">
        <v>1065</v>
      </c>
      <c r="B204" s="2203"/>
      <c r="C204" s="2203"/>
      <c r="D204" s="2203"/>
      <c r="E204" s="2203"/>
      <c r="F204" s="2203"/>
      <c r="G204" s="2203"/>
      <c r="H204" s="2203"/>
    </row>
    <row r="205" spans="1:8">
      <c r="A205" s="2204" t="s">
        <v>1066</v>
      </c>
      <c r="B205" s="2203"/>
      <c r="C205" s="2203"/>
      <c r="D205" s="2203"/>
      <c r="E205" s="2203"/>
      <c r="F205" s="2203"/>
      <c r="G205" s="2203"/>
      <c r="H205" s="2203"/>
    </row>
    <row r="206" spans="1:8">
      <c r="A206" s="2204" t="s">
        <v>1067</v>
      </c>
      <c r="B206" s="2203"/>
      <c r="C206" s="2203"/>
      <c r="D206" s="2203"/>
      <c r="E206" s="2203"/>
      <c r="F206" s="2203"/>
      <c r="G206" s="2203"/>
      <c r="H206" s="2203"/>
    </row>
    <row r="207" spans="1:8">
      <c r="A207" s="2203"/>
      <c r="B207" s="2203"/>
      <c r="C207" s="2203"/>
      <c r="D207" s="2203"/>
      <c r="E207" s="2203"/>
      <c r="F207" s="2203"/>
      <c r="G207" s="2203"/>
      <c r="H207" s="2203"/>
    </row>
    <row r="208" spans="1:8">
      <c r="A208" s="2204" t="s">
        <v>1058</v>
      </c>
      <c r="B208" s="2203"/>
      <c r="C208" s="2203"/>
      <c r="D208" s="2203"/>
      <c r="E208" s="2203"/>
      <c r="F208" s="2203"/>
      <c r="G208" s="2203"/>
      <c r="H208" s="2203"/>
    </row>
    <row r="209" spans="1:8">
      <c r="A209" s="2204" t="s">
        <v>1059</v>
      </c>
      <c r="B209" s="2203"/>
      <c r="C209" s="2203"/>
      <c r="D209" s="2203"/>
      <c r="E209" s="2203"/>
      <c r="F209" s="2203"/>
      <c r="G209" s="2203"/>
      <c r="H209" s="2203"/>
    </row>
    <row r="210" spans="1:8">
      <c r="A210" s="2204" t="s">
        <v>1060</v>
      </c>
      <c r="B210" s="2203"/>
      <c r="C210" s="2203"/>
      <c r="D210" s="2203"/>
      <c r="E210" s="2203"/>
      <c r="F210" s="2203"/>
      <c r="G210" s="2203"/>
      <c r="H210" s="2203"/>
    </row>
    <row r="211" spans="1:8">
      <c r="A211" s="2203"/>
      <c r="B211" s="2203"/>
      <c r="C211" s="2203"/>
      <c r="D211" s="2203"/>
      <c r="E211" s="2203"/>
      <c r="F211" s="2203"/>
      <c r="G211" s="2203"/>
      <c r="H211" s="2203"/>
    </row>
    <row r="212" spans="1:8">
      <c r="A212" s="2204" t="s">
        <v>1053</v>
      </c>
      <c r="B212" s="2203"/>
      <c r="C212" s="2203"/>
      <c r="D212" s="2203"/>
      <c r="E212" s="2203"/>
      <c r="F212" s="2203"/>
      <c r="G212" s="2203"/>
      <c r="H212" s="2203"/>
    </row>
    <row r="213" spans="1:8">
      <c r="A213" s="2204" t="s">
        <v>1054</v>
      </c>
      <c r="B213" s="2203"/>
      <c r="C213" s="2203"/>
      <c r="D213" s="2203"/>
      <c r="E213" s="2203"/>
      <c r="F213" s="2203"/>
      <c r="G213" s="2203"/>
      <c r="H213" s="2203"/>
    </row>
    <row r="214" spans="1:8">
      <c r="A214" s="2204" t="s">
        <v>1055</v>
      </c>
      <c r="B214" s="2203"/>
      <c r="C214" s="2203"/>
      <c r="D214" s="2203"/>
      <c r="E214" s="2203"/>
      <c r="F214" s="2203"/>
      <c r="G214" s="2203"/>
      <c r="H214" s="2203"/>
    </row>
    <row r="215" spans="1:8">
      <c r="A215" s="2204" t="s">
        <v>1056</v>
      </c>
      <c r="B215" s="2203"/>
      <c r="C215" s="2203"/>
      <c r="D215" s="2203"/>
      <c r="E215" s="2203"/>
      <c r="F215" s="2203"/>
      <c r="G215" s="2203"/>
      <c r="H215" s="2203"/>
    </row>
    <row r="216" spans="1:8">
      <c r="A216" s="2204" t="s">
        <v>1057</v>
      </c>
      <c r="B216" s="2203"/>
      <c r="C216" s="2203"/>
      <c r="D216" s="2203"/>
      <c r="E216" s="2203"/>
      <c r="F216" s="2203"/>
      <c r="G216" s="2203"/>
      <c r="H216" s="2203"/>
    </row>
    <row r="217" spans="1:8">
      <c r="A217" s="2203"/>
      <c r="B217" s="2203"/>
      <c r="C217" s="2203"/>
      <c r="D217" s="2203"/>
      <c r="E217" s="2203"/>
      <c r="F217" s="2203"/>
      <c r="G217" s="2203"/>
      <c r="H217" s="2203"/>
    </row>
    <row r="218" spans="1:8">
      <c r="A218" s="2204" t="s">
        <v>1047</v>
      </c>
      <c r="B218" s="2203"/>
      <c r="C218" s="2203"/>
      <c r="D218" s="2203"/>
      <c r="E218" s="2203"/>
      <c r="F218" s="2203"/>
      <c r="G218" s="2203"/>
      <c r="H218" s="2203"/>
    </row>
    <row r="219" spans="1:8">
      <c r="A219" s="2204" t="s">
        <v>1048</v>
      </c>
      <c r="B219" s="2203"/>
      <c r="C219" s="2203"/>
      <c r="D219" s="2203"/>
      <c r="E219" s="2203"/>
      <c r="F219" s="2203"/>
      <c r="G219" s="2203"/>
      <c r="H219" s="2203"/>
    </row>
    <row r="220" spans="1:8">
      <c r="A220" s="2204" t="s">
        <v>1049</v>
      </c>
      <c r="B220" s="2203"/>
      <c r="C220" s="2203"/>
      <c r="D220" s="2203"/>
      <c r="E220" s="2203"/>
      <c r="F220" s="2203"/>
      <c r="G220" s="2203"/>
      <c r="H220" s="2203"/>
    </row>
    <row r="221" spans="1:8">
      <c r="A221" s="2204" t="s">
        <v>1050</v>
      </c>
      <c r="B221" s="2203"/>
      <c r="C221" s="2203"/>
      <c r="D221" s="2203"/>
      <c r="E221" s="2203"/>
      <c r="F221" s="2203"/>
      <c r="G221" s="2203"/>
      <c r="H221" s="2203"/>
    </row>
    <row r="222" spans="1:8">
      <c r="A222" s="2204" t="s">
        <v>1051</v>
      </c>
      <c r="B222" s="2203"/>
      <c r="C222" s="2203"/>
      <c r="D222" s="2203"/>
      <c r="E222" s="2203"/>
      <c r="F222" s="2203"/>
      <c r="G222" s="2203"/>
      <c r="H222" s="2203"/>
    </row>
    <row r="223" spans="1:8">
      <c r="A223" s="2204" t="s">
        <v>1052</v>
      </c>
      <c r="B223" s="2203"/>
      <c r="C223" s="2203"/>
      <c r="D223" s="2203"/>
      <c r="E223" s="2203"/>
      <c r="F223" s="2203"/>
      <c r="G223" s="2203"/>
      <c r="H223" s="2203"/>
    </row>
    <row r="224" spans="1:8">
      <c r="A224" s="2203"/>
      <c r="B224" s="2203"/>
      <c r="C224" s="2203"/>
      <c r="D224" s="2203"/>
      <c r="E224" s="2203"/>
      <c r="F224" s="2203"/>
      <c r="G224" s="2203"/>
      <c r="H224" s="2203"/>
    </row>
    <row r="225" spans="1:8">
      <c r="A225" s="2204" t="s">
        <v>1037</v>
      </c>
      <c r="B225" s="2203"/>
      <c r="C225" s="2203"/>
      <c r="D225" s="2203"/>
      <c r="E225" s="2203"/>
      <c r="F225" s="2203"/>
      <c r="G225" s="2203"/>
      <c r="H225" s="2203"/>
    </row>
    <row r="226" spans="1:8">
      <c r="A226" s="2204" t="s">
        <v>1038</v>
      </c>
      <c r="B226" s="2203"/>
      <c r="C226" s="2203"/>
      <c r="D226" s="2203"/>
      <c r="E226" s="2203"/>
      <c r="F226" s="2203"/>
      <c r="G226" s="2203"/>
      <c r="H226" s="2203"/>
    </row>
    <row r="227" spans="1:8">
      <c r="A227" s="2204" t="s">
        <v>1039</v>
      </c>
      <c r="B227" s="2203"/>
      <c r="C227" s="2203"/>
      <c r="D227" s="2203"/>
      <c r="E227" s="2203"/>
      <c r="F227" s="2203"/>
      <c r="G227" s="2203"/>
      <c r="H227" s="2203"/>
    </row>
    <row r="228" spans="1:8">
      <c r="A228" s="2204" t="s">
        <v>1040</v>
      </c>
      <c r="B228" s="2203"/>
      <c r="C228" s="2203"/>
      <c r="D228" s="2203"/>
      <c r="E228" s="2203"/>
      <c r="F228" s="2203"/>
      <c r="G228" s="2203"/>
      <c r="H228" s="2203"/>
    </row>
    <row r="229" spans="1:8">
      <c r="A229" s="2204" t="s">
        <v>1041</v>
      </c>
      <c r="B229" s="2203"/>
      <c r="C229" s="2203"/>
      <c r="D229" s="2203"/>
      <c r="E229" s="2203"/>
      <c r="F229" s="2203"/>
      <c r="G229" s="2203"/>
      <c r="H229" s="2203"/>
    </row>
    <row r="230" spans="1:8">
      <c r="A230" s="2204" t="s">
        <v>1042</v>
      </c>
      <c r="B230" s="2203"/>
      <c r="C230" s="2203"/>
      <c r="D230" s="2203"/>
      <c r="E230" s="2203"/>
      <c r="F230" s="2203"/>
      <c r="G230" s="2203"/>
      <c r="H230" s="2203"/>
    </row>
    <row r="231" spans="1:8">
      <c r="A231" s="2204" t="s">
        <v>1043</v>
      </c>
      <c r="B231" s="2203"/>
      <c r="C231" s="2203"/>
      <c r="D231" s="2203"/>
      <c r="E231" s="2203"/>
      <c r="F231" s="2203"/>
      <c r="G231" s="2203"/>
      <c r="H231" s="2203"/>
    </row>
    <row r="232" spans="1:8">
      <c r="A232" s="2204" t="s">
        <v>1044</v>
      </c>
      <c r="B232" s="2203"/>
      <c r="C232" s="2203"/>
      <c r="D232" s="2203"/>
      <c r="E232" s="2203"/>
      <c r="F232" s="2203"/>
      <c r="G232" s="2203"/>
      <c r="H232" s="2203"/>
    </row>
    <row r="233" spans="1:8">
      <c r="A233" s="2204" t="s">
        <v>1045</v>
      </c>
      <c r="B233" s="2203"/>
      <c r="C233" s="2203"/>
      <c r="D233" s="2203"/>
      <c r="E233" s="2203"/>
      <c r="F233" s="2203"/>
      <c r="G233" s="2203"/>
      <c r="H233" s="2203"/>
    </row>
    <row r="234" spans="1:8">
      <c r="A234" s="2204" t="s">
        <v>1046</v>
      </c>
      <c r="B234" s="2203"/>
      <c r="C234" s="2203"/>
      <c r="D234" s="2203"/>
      <c r="E234" s="2203"/>
      <c r="F234" s="2203"/>
      <c r="G234" s="2203"/>
      <c r="H234" s="2203"/>
    </row>
    <row r="235" spans="1:8">
      <c r="A235" s="2203"/>
      <c r="B235" s="2203"/>
      <c r="C235" s="2203"/>
      <c r="D235" s="2203"/>
      <c r="E235" s="2203"/>
      <c r="F235" s="2203"/>
      <c r="G235" s="2203"/>
      <c r="H235" s="2203"/>
    </row>
    <row r="236" spans="1:8">
      <c r="A236" s="2204" t="s">
        <v>1035</v>
      </c>
      <c r="B236" s="2203"/>
      <c r="C236" s="2203"/>
      <c r="D236" s="2203"/>
      <c r="E236" s="2203"/>
      <c r="F236" s="2203"/>
      <c r="G236" s="2203"/>
      <c r="H236" s="2203"/>
    </row>
    <row r="237" spans="1:8">
      <c r="A237" s="2204" t="s">
        <v>1036</v>
      </c>
      <c r="B237" s="2203"/>
      <c r="C237" s="2203"/>
      <c r="D237" s="2203"/>
      <c r="E237" s="2203"/>
      <c r="F237" s="2203"/>
      <c r="G237" s="2203"/>
      <c r="H237" s="2203"/>
    </row>
    <row r="238" spans="1:8">
      <c r="A238" s="2203"/>
      <c r="B238" s="2203"/>
      <c r="C238" s="2203"/>
      <c r="D238" s="2203"/>
      <c r="E238" s="2203"/>
      <c r="F238" s="2203"/>
      <c r="G238" s="2203"/>
      <c r="H238" s="2203"/>
    </row>
    <row r="239" spans="1:8">
      <c r="A239" s="2204" t="s">
        <v>1019</v>
      </c>
      <c r="B239" s="2203"/>
      <c r="C239" s="2203"/>
      <c r="D239" s="2203"/>
      <c r="E239" s="2203"/>
      <c r="F239" s="2203"/>
      <c r="G239" s="2203"/>
      <c r="H239" s="2203"/>
    </row>
    <row r="240" spans="1:8">
      <c r="A240" s="2204" t="s">
        <v>1020</v>
      </c>
      <c r="B240" s="2203"/>
      <c r="C240" s="2203"/>
      <c r="D240" s="2203"/>
      <c r="E240" s="2203"/>
      <c r="F240" s="2203"/>
      <c r="G240" s="2203"/>
      <c r="H240" s="2203"/>
    </row>
    <row r="241" spans="1:8">
      <c r="A241" s="2204" t="s">
        <v>1021</v>
      </c>
      <c r="B241" s="2203"/>
      <c r="C241" s="2203"/>
      <c r="D241" s="2203"/>
      <c r="E241" s="2203"/>
      <c r="F241" s="2203"/>
      <c r="G241" s="2203"/>
      <c r="H241" s="2203"/>
    </row>
    <row r="242" spans="1:8">
      <c r="A242" s="2204" t="s">
        <v>1022</v>
      </c>
      <c r="B242" s="2203"/>
      <c r="C242" s="2203"/>
      <c r="D242" s="2203"/>
      <c r="E242" s="2203"/>
      <c r="F242" s="2203"/>
      <c r="G242" s="2203"/>
      <c r="H242" s="2203"/>
    </row>
    <row r="243" spans="1:8">
      <c r="A243" s="2204" t="s">
        <v>1023</v>
      </c>
      <c r="B243" s="2203"/>
      <c r="C243" s="2203"/>
      <c r="D243" s="2203"/>
      <c r="E243" s="2203"/>
      <c r="F243" s="2203"/>
      <c r="G243" s="2203"/>
      <c r="H243" s="2203"/>
    </row>
    <row r="244" spans="1:8">
      <c r="A244" s="2204" t="s">
        <v>1024</v>
      </c>
      <c r="B244" s="2203"/>
      <c r="C244" s="2203"/>
      <c r="D244" s="2203"/>
      <c r="E244" s="2203"/>
      <c r="F244" s="2203"/>
      <c r="G244" s="2203"/>
      <c r="H244" s="2203"/>
    </row>
    <row r="245" spans="1:8">
      <c r="A245" s="2204" t="s">
        <v>1025</v>
      </c>
      <c r="B245" s="2203"/>
      <c r="C245" s="2203"/>
      <c r="D245" s="2203"/>
      <c r="E245" s="2203"/>
      <c r="F245" s="2203"/>
      <c r="G245" s="2203"/>
      <c r="H245" s="2203"/>
    </row>
    <row r="246" spans="1:8">
      <c r="A246" s="2204" t="s">
        <v>1026</v>
      </c>
      <c r="B246" s="2203"/>
      <c r="C246" s="2203"/>
      <c r="D246" s="2203"/>
      <c r="E246" s="2203"/>
      <c r="F246" s="2203"/>
      <c r="G246" s="2203"/>
      <c r="H246" s="2203"/>
    </row>
    <row r="247" spans="1:8">
      <c r="A247" s="2204" t="s">
        <v>1027</v>
      </c>
      <c r="B247" s="2203"/>
      <c r="C247" s="2203"/>
      <c r="D247" s="2203"/>
      <c r="E247" s="2203"/>
      <c r="F247" s="2203"/>
      <c r="G247" s="2203"/>
      <c r="H247" s="2203"/>
    </row>
    <row r="248" spans="1:8">
      <c r="A248" s="2204" t="s">
        <v>1028</v>
      </c>
      <c r="B248" s="2203"/>
      <c r="C248" s="2203"/>
      <c r="D248" s="2203"/>
      <c r="E248" s="2203"/>
      <c r="F248" s="2203"/>
      <c r="G248" s="2203"/>
      <c r="H248" s="2203"/>
    </row>
    <row r="249" spans="1:8">
      <c r="A249" s="2204" t="s">
        <v>1029</v>
      </c>
      <c r="B249" s="2203"/>
      <c r="C249" s="2203"/>
      <c r="D249" s="2203"/>
      <c r="E249" s="2203"/>
      <c r="F249" s="2203"/>
      <c r="G249" s="2203"/>
      <c r="H249" s="2203"/>
    </row>
    <row r="250" spans="1:8">
      <c r="A250" s="2204" t="s">
        <v>1030</v>
      </c>
      <c r="B250" s="2203"/>
      <c r="C250" s="2203"/>
      <c r="D250" s="2203"/>
      <c r="E250" s="2203"/>
      <c r="F250" s="2203"/>
      <c r="G250" s="2203"/>
      <c r="H250" s="2203"/>
    </row>
    <row r="251" spans="1:8">
      <c r="A251" s="2204" t="s">
        <v>1031</v>
      </c>
      <c r="B251" s="2203"/>
      <c r="C251" s="2203"/>
      <c r="D251" s="2203"/>
      <c r="E251" s="2203"/>
      <c r="F251" s="2203"/>
      <c r="G251" s="2203"/>
      <c r="H251" s="2203"/>
    </row>
    <row r="252" spans="1:8">
      <c r="A252" s="2204" t="s">
        <v>1032</v>
      </c>
      <c r="B252" s="2203"/>
      <c r="C252" s="2203"/>
      <c r="D252" s="2203"/>
      <c r="E252" s="2203"/>
      <c r="F252" s="2203"/>
      <c r="G252" s="2203"/>
      <c r="H252" s="2203"/>
    </row>
    <row r="253" spans="1:8">
      <c r="A253" s="2204" t="s">
        <v>1033</v>
      </c>
      <c r="B253" s="2203"/>
      <c r="C253" s="2203"/>
      <c r="D253" s="2203"/>
      <c r="E253" s="2203"/>
      <c r="F253" s="2203"/>
      <c r="G253" s="2203"/>
      <c r="H253" s="2203"/>
    </row>
    <row r="254" spans="1:8">
      <c r="A254" s="2204" t="s">
        <v>1034</v>
      </c>
      <c r="B254" s="2203"/>
      <c r="C254" s="2203"/>
      <c r="D254" s="2203"/>
      <c r="E254" s="2203"/>
      <c r="F254" s="2203"/>
      <c r="G254" s="2203"/>
      <c r="H254" s="2203"/>
    </row>
    <row r="255" spans="1:8">
      <c r="A255" s="2203"/>
      <c r="B255" s="2203"/>
      <c r="C255" s="2203"/>
      <c r="D255" s="2203"/>
      <c r="E255" s="2203"/>
      <c r="F255" s="2203"/>
      <c r="G255" s="2203"/>
      <c r="H255" s="2203"/>
    </row>
    <row r="256" spans="1:8">
      <c r="A256" s="2204" t="s">
        <v>1012</v>
      </c>
      <c r="B256" s="2203"/>
      <c r="C256" s="2203"/>
      <c r="D256" s="2203"/>
      <c r="E256" s="2203"/>
      <c r="F256" s="2203"/>
      <c r="G256" s="2203"/>
      <c r="H256" s="2203"/>
    </row>
    <row r="257" spans="1:8">
      <c r="A257" s="2204" t="s">
        <v>1013</v>
      </c>
      <c r="B257" s="2203"/>
      <c r="C257" s="2203"/>
      <c r="D257" s="2203"/>
      <c r="E257" s="2203"/>
      <c r="F257" s="2203"/>
      <c r="G257" s="2203"/>
      <c r="H257" s="2203"/>
    </row>
    <row r="258" spans="1:8">
      <c r="A258" s="2204" t="s">
        <v>1014</v>
      </c>
      <c r="B258" s="2203"/>
      <c r="C258" s="2203"/>
      <c r="D258" s="2203"/>
      <c r="E258" s="2203"/>
      <c r="F258" s="2203"/>
      <c r="G258" s="2203"/>
      <c r="H258" s="2203"/>
    </row>
    <row r="259" spans="1:8">
      <c r="A259" s="2204" t="s">
        <v>1015</v>
      </c>
      <c r="B259" s="2203"/>
      <c r="C259" s="2203"/>
      <c r="D259" s="2203"/>
      <c r="E259" s="2203"/>
      <c r="F259" s="2203"/>
      <c r="G259" s="2203"/>
      <c r="H259" s="2203"/>
    </row>
    <row r="260" spans="1:8">
      <c r="A260" s="2204" t="s">
        <v>1016</v>
      </c>
      <c r="B260" s="2203"/>
      <c r="C260" s="2203"/>
      <c r="D260" s="2203"/>
      <c r="E260" s="2203"/>
      <c r="F260" s="2203"/>
      <c r="G260" s="2203"/>
      <c r="H260" s="2203"/>
    </row>
    <row r="261" spans="1:8">
      <c r="A261" s="2204" t="s">
        <v>1017</v>
      </c>
      <c r="B261" s="2203"/>
      <c r="C261" s="2203"/>
      <c r="D261" s="2203"/>
      <c r="E261" s="2203"/>
      <c r="F261" s="2203"/>
      <c r="G261" s="2203"/>
      <c r="H261" s="2203"/>
    </row>
    <row r="262" spans="1:8">
      <c r="A262" s="2204" t="s">
        <v>1018</v>
      </c>
      <c r="B262" s="2203"/>
      <c r="C262" s="2203"/>
      <c r="D262" s="2203"/>
      <c r="E262" s="2203"/>
      <c r="F262" s="2203"/>
      <c r="G262" s="2203"/>
      <c r="H262" s="2203"/>
    </row>
    <row r="263" spans="1:8">
      <c r="A263" s="2203"/>
      <c r="B263" s="2203"/>
      <c r="C263" s="2203"/>
      <c r="D263" s="2203"/>
      <c r="E263" s="2203"/>
      <c r="F263" s="2203"/>
      <c r="G263" s="2203"/>
      <c r="H263" s="2203"/>
    </row>
    <row r="264" spans="1:8">
      <c r="A264" s="2204" t="s">
        <v>1003</v>
      </c>
      <c r="B264" s="2203"/>
      <c r="C264" s="2203"/>
      <c r="D264" s="2203"/>
      <c r="E264" s="2203"/>
      <c r="F264" s="2203"/>
      <c r="G264" s="2203"/>
      <c r="H264" s="2203"/>
    </row>
    <row r="265" spans="1:8">
      <c r="A265" s="2204" t="s">
        <v>1004</v>
      </c>
      <c r="B265" s="2203"/>
      <c r="C265" s="2203"/>
      <c r="D265" s="2203"/>
      <c r="E265" s="2203"/>
      <c r="F265" s="2203"/>
      <c r="G265" s="2203"/>
      <c r="H265" s="2203"/>
    </row>
    <row r="266" spans="1:8">
      <c r="A266" s="2204" t="s">
        <v>1005</v>
      </c>
      <c r="B266" s="2203"/>
      <c r="C266" s="2203"/>
      <c r="D266" s="2203"/>
      <c r="E266" s="2203"/>
      <c r="F266" s="2203"/>
      <c r="G266" s="2203"/>
      <c r="H266" s="2203"/>
    </row>
    <row r="267" spans="1:8">
      <c r="A267" s="2204" t="s">
        <v>1006</v>
      </c>
      <c r="B267" s="2203"/>
      <c r="C267" s="2203"/>
      <c r="D267" s="2203"/>
      <c r="E267" s="2203"/>
      <c r="F267" s="2203"/>
      <c r="G267" s="2203"/>
      <c r="H267" s="2203"/>
    </row>
    <row r="268" spans="1:8">
      <c r="A268" s="2204" t="s">
        <v>1007</v>
      </c>
      <c r="B268" s="2203"/>
      <c r="C268" s="2203"/>
      <c r="D268" s="2203"/>
      <c r="E268" s="2203"/>
      <c r="F268" s="2203"/>
      <c r="G268" s="2203"/>
      <c r="H268" s="2203"/>
    </row>
    <row r="269" spans="1:8">
      <c r="A269" s="2204" t="s">
        <v>1008</v>
      </c>
      <c r="B269" s="2203"/>
      <c r="C269" s="2203"/>
      <c r="D269" s="2203"/>
      <c r="E269" s="2203"/>
      <c r="F269" s="2203"/>
      <c r="G269" s="2203"/>
      <c r="H269" s="2203"/>
    </row>
    <row r="270" spans="1:8">
      <c r="A270" s="2204" t="s">
        <v>1009</v>
      </c>
      <c r="B270" s="2203"/>
      <c r="C270" s="2203"/>
      <c r="D270" s="2203"/>
      <c r="E270" s="2203"/>
      <c r="F270" s="2203"/>
      <c r="G270" s="2203"/>
      <c r="H270" s="2203"/>
    </row>
    <row r="271" spans="1:8">
      <c r="A271" s="2204" t="s">
        <v>1010</v>
      </c>
      <c r="B271" s="2203"/>
      <c r="C271" s="2203"/>
      <c r="D271" s="2203"/>
      <c r="E271" s="2203"/>
      <c r="F271" s="2203"/>
      <c r="G271" s="2203"/>
      <c r="H271" s="2203"/>
    </row>
    <row r="272" spans="1:8">
      <c r="A272" s="2204" t="s">
        <v>1011</v>
      </c>
      <c r="B272" s="2203"/>
      <c r="C272" s="2203"/>
      <c r="D272" s="2203"/>
      <c r="E272" s="2203"/>
      <c r="F272" s="2203"/>
      <c r="G272" s="2203"/>
      <c r="H272" s="2203"/>
    </row>
    <row r="273" spans="1:8">
      <c r="A273" s="2203"/>
      <c r="B273" s="2203"/>
      <c r="C273" s="2203"/>
      <c r="D273" s="2203"/>
      <c r="E273" s="2203"/>
      <c r="F273" s="2203"/>
      <c r="G273" s="2203"/>
      <c r="H273" s="2203"/>
    </row>
    <row r="274" spans="1:8">
      <c r="A274" s="2204" t="s">
        <v>996</v>
      </c>
      <c r="B274" s="2203"/>
      <c r="C274" s="2203"/>
      <c r="D274" s="2203"/>
      <c r="E274" s="2203"/>
      <c r="F274" s="2203"/>
      <c r="G274" s="2203"/>
      <c r="H274" s="2203"/>
    </row>
    <row r="275" spans="1:8">
      <c r="A275" s="2204" t="s">
        <v>997</v>
      </c>
      <c r="B275" s="2203"/>
      <c r="C275" s="2203"/>
      <c r="D275" s="2203"/>
      <c r="E275" s="2203"/>
      <c r="F275" s="2203"/>
      <c r="G275" s="2203"/>
      <c r="H275" s="2203"/>
    </row>
    <row r="276" spans="1:8">
      <c r="A276" s="2204" t="s">
        <v>998</v>
      </c>
      <c r="B276" s="2203"/>
      <c r="C276" s="2203"/>
      <c r="D276" s="2203"/>
      <c r="E276" s="2203"/>
      <c r="F276" s="2203"/>
      <c r="G276" s="2203"/>
      <c r="H276" s="2203"/>
    </row>
    <row r="277" spans="1:8">
      <c r="A277" s="2204" t="s">
        <v>999</v>
      </c>
      <c r="B277" s="2203"/>
      <c r="C277" s="2203"/>
      <c r="D277" s="2203"/>
      <c r="E277" s="2203"/>
      <c r="F277" s="2203"/>
      <c r="G277" s="2203"/>
      <c r="H277" s="2203"/>
    </row>
    <row r="278" spans="1:8">
      <c r="A278" s="2204" t="s">
        <v>1000</v>
      </c>
      <c r="B278" s="2203"/>
      <c r="C278" s="2203"/>
      <c r="D278" s="2203"/>
      <c r="E278" s="2203"/>
      <c r="F278" s="2203"/>
      <c r="G278" s="2203"/>
      <c r="H278" s="2203"/>
    </row>
    <row r="279" spans="1:8">
      <c r="A279" s="2204" t="s">
        <v>1001</v>
      </c>
      <c r="B279" s="2203"/>
      <c r="C279" s="2203"/>
      <c r="D279" s="2203"/>
      <c r="E279" s="2203"/>
      <c r="F279" s="2203"/>
      <c r="G279" s="2203"/>
      <c r="H279" s="2203"/>
    </row>
    <row r="280" spans="1:8">
      <c r="A280" s="2204" t="s">
        <v>1002</v>
      </c>
      <c r="B280" s="2203"/>
      <c r="C280" s="2203"/>
      <c r="D280" s="2203"/>
      <c r="E280" s="2203"/>
      <c r="F280" s="2203"/>
      <c r="G280" s="2203"/>
      <c r="H280" s="2203"/>
    </row>
    <row r="281" spans="1:8">
      <c r="A281" s="2203"/>
      <c r="B281" s="2203"/>
      <c r="C281" s="2203"/>
      <c r="D281" s="2203"/>
      <c r="E281" s="2203"/>
      <c r="F281" s="2203"/>
      <c r="G281" s="2203"/>
      <c r="H281" s="2203"/>
    </row>
    <row r="282" spans="1:8">
      <c r="A282" s="2204" t="s">
        <v>993</v>
      </c>
      <c r="B282" s="2203"/>
      <c r="C282" s="2203"/>
      <c r="D282" s="2203"/>
      <c r="E282" s="2203"/>
      <c r="F282" s="2203"/>
      <c r="G282" s="2203"/>
      <c r="H282" s="2203"/>
    </row>
    <row r="283" spans="1:8">
      <c r="A283" s="2204" t="s">
        <v>994</v>
      </c>
      <c r="B283" s="2203"/>
      <c r="C283" s="2203"/>
      <c r="D283" s="2203"/>
      <c r="E283" s="2203"/>
      <c r="F283" s="2203"/>
      <c r="G283" s="2203"/>
      <c r="H283" s="2203"/>
    </row>
    <row r="284" spans="1:8">
      <c r="A284" s="2204" t="s">
        <v>995</v>
      </c>
      <c r="B284" s="2203"/>
      <c r="C284" s="2203"/>
      <c r="D284" s="2203"/>
      <c r="E284" s="2203"/>
      <c r="F284" s="2203"/>
      <c r="G284" s="2203"/>
      <c r="H284" s="2203"/>
    </row>
    <row r="285" spans="1:8">
      <c r="A285" s="2203"/>
      <c r="B285" s="2203"/>
      <c r="C285" s="2203"/>
      <c r="D285" s="2203"/>
      <c r="E285" s="2203"/>
      <c r="F285" s="2203"/>
      <c r="G285" s="2203"/>
      <c r="H285" s="2203"/>
    </row>
    <row r="286" spans="1:8">
      <c r="A286" s="2204" t="s">
        <v>991</v>
      </c>
      <c r="B286" s="2203"/>
      <c r="C286" s="2203"/>
      <c r="D286" s="2203"/>
      <c r="E286" s="2203"/>
      <c r="F286" s="2203"/>
      <c r="G286" s="2203"/>
      <c r="H286" s="2203"/>
    </row>
    <row r="287" spans="1:8">
      <c r="A287" s="2204" t="s">
        <v>992</v>
      </c>
      <c r="B287" s="2203"/>
      <c r="C287" s="2203"/>
      <c r="D287" s="2203"/>
      <c r="E287" s="2203"/>
      <c r="F287" s="2203"/>
      <c r="G287" s="2203"/>
      <c r="H287" s="2203"/>
    </row>
    <row r="288" spans="1:8">
      <c r="A288" s="2203"/>
      <c r="B288" s="2203"/>
      <c r="C288" s="2203"/>
      <c r="D288" s="2203"/>
      <c r="E288" s="2203"/>
      <c r="F288" s="2203"/>
      <c r="G288" s="2203"/>
      <c r="H288" s="2203"/>
    </row>
    <row r="289" spans="1:8">
      <c r="A289" s="2204" t="s">
        <v>978</v>
      </c>
      <c r="B289" s="2203"/>
      <c r="C289" s="2203"/>
      <c r="D289" s="2203"/>
      <c r="E289" s="2203"/>
      <c r="F289" s="2203"/>
      <c r="G289" s="2203"/>
      <c r="H289" s="2203"/>
    </row>
    <row r="290" spans="1:8">
      <c r="A290" s="2204" t="s">
        <v>979</v>
      </c>
      <c r="B290" s="2203"/>
      <c r="C290" s="2203"/>
      <c r="D290" s="2203"/>
      <c r="E290" s="2203"/>
      <c r="F290" s="2203"/>
      <c r="G290" s="2203"/>
      <c r="H290" s="2203"/>
    </row>
    <row r="291" spans="1:8">
      <c r="A291" s="2204" t="s">
        <v>980</v>
      </c>
      <c r="B291" s="2203"/>
      <c r="C291" s="2203"/>
      <c r="D291" s="2203"/>
      <c r="E291" s="2203"/>
      <c r="F291" s="2203"/>
      <c r="G291" s="2203"/>
      <c r="H291" s="2203"/>
    </row>
    <row r="292" spans="1:8">
      <c r="A292" s="2204" t="s">
        <v>981</v>
      </c>
      <c r="B292" s="2203"/>
      <c r="C292" s="2203"/>
      <c r="D292" s="2203"/>
      <c r="E292" s="2203"/>
      <c r="F292" s="2203"/>
      <c r="G292" s="2203"/>
      <c r="H292" s="2203"/>
    </row>
    <row r="293" spans="1:8">
      <c r="A293" s="2204" t="s">
        <v>982</v>
      </c>
      <c r="B293" s="2203"/>
      <c r="C293" s="2203"/>
      <c r="D293" s="2203"/>
      <c r="E293" s="2203"/>
      <c r="F293" s="2203"/>
      <c r="G293" s="2203"/>
      <c r="H293" s="2203"/>
    </row>
    <row r="294" spans="1:8">
      <c r="A294" s="2204" t="s">
        <v>983</v>
      </c>
      <c r="B294" s="2203"/>
      <c r="C294" s="2203"/>
      <c r="D294" s="2203"/>
      <c r="E294" s="2203"/>
      <c r="F294" s="2203"/>
      <c r="G294" s="2203"/>
      <c r="H294" s="2203"/>
    </row>
    <row r="295" spans="1:8">
      <c r="A295" s="2204" t="s">
        <v>984</v>
      </c>
      <c r="B295" s="2203"/>
      <c r="C295" s="2203"/>
      <c r="D295" s="2203"/>
      <c r="E295" s="2203"/>
      <c r="F295" s="2203"/>
      <c r="G295" s="2203"/>
      <c r="H295" s="2203"/>
    </row>
    <row r="296" spans="1:8">
      <c r="A296" s="2204" t="s">
        <v>985</v>
      </c>
      <c r="B296" s="2203"/>
      <c r="C296" s="2203"/>
      <c r="D296" s="2203"/>
      <c r="E296" s="2203"/>
      <c r="F296" s="2203"/>
      <c r="G296" s="2203"/>
      <c r="H296" s="2203"/>
    </row>
    <row r="297" spans="1:8">
      <c r="A297" s="2204" t="s">
        <v>986</v>
      </c>
      <c r="B297" s="2203"/>
      <c r="C297" s="2203"/>
      <c r="D297" s="2203"/>
      <c r="E297" s="2203"/>
      <c r="F297" s="2203"/>
      <c r="G297" s="2203"/>
      <c r="H297" s="2203"/>
    </row>
    <row r="298" spans="1:8">
      <c r="A298" s="2204" t="s">
        <v>987</v>
      </c>
      <c r="B298" s="2203"/>
      <c r="C298" s="2203"/>
      <c r="D298" s="2203"/>
      <c r="E298" s="2203"/>
      <c r="F298" s="2203"/>
      <c r="G298" s="2203"/>
      <c r="H298" s="2203"/>
    </row>
    <row r="299" spans="1:8">
      <c r="A299" s="2204" t="s">
        <v>988</v>
      </c>
      <c r="B299" s="2203"/>
      <c r="C299" s="2203"/>
      <c r="D299" s="2203"/>
      <c r="E299" s="2203"/>
      <c r="F299" s="2203"/>
      <c r="G299" s="2203"/>
      <c r="H299" s="2203"/>
    </row>
    <row r="300" spans="1:8">
      <c r="A300" s="2204" t="s">
        <v>989</v>
      </c>
      <c r="B300" s="2203"/>
      <c r="C300" s="2203"/>
      <c r="D300" s="2203"/>
      <c r="E300" s="2203"/>
      <c r="F300" s="2203"/>
      <c r="G300" s="2203"/>
      <c r="H300" s="2203"/>
    </row>
    <row r="301" spans="1:8">
      <c r="A301" s="2204" t="s">
        <v>990</v>
      </c>
      <c r="B301" s="2203"/>
      <c r="C301" s="2203"/>
      <c r="D301" s="2203"/>
      <c r="E301" s="2203"/>
      <c r="F301" s="2203"/>
      <c r="G301" s="2203"/>
      <c r="H301" s="2203"/>
    </row>
    <row r="302" spans="1:8">
      <c r="A302" s="2203"/>
      <c r="B302" s="2203"/>
      <c r="C302" s="2203"/>
      <c r="D302" s="2203"/>
      <c r="E302" s="2203"/>
      <c r="F302" s="2203"/>
      <c r="G302" s="2203"/>
      <c r="H302" s="2203"/>
    </row>
    <row r="303" spans="1:8">
      <c r="A303" s="2204" t="s">
        <v>970</v>
      </c>
      <c r="B303" s="2203"/>
      <c r="C303" s="2203"/>
      <c r="D303" s="2203"/>
      <c r="E303" s="2203"/>
      <c r="F303" s="2203"/>
      <c r="G303" s="2203"/>
      <c r="H303" s="2203"/>
    </row>
    <row r="304" spans="1:8">
      <c r="A304" s="2204" t="s">
        <v>971</v>
      </c>
      <c r="B304" s="2203"/>
      <c r="C304" s="2203"/>
      <c r="D304" s="2203"/>
      <c r="E304" s="2203"/>
      <c r="F304" s="2203"/>
      <c r="G304" s="2203"/>
      <c r="H304" s="2203"/>
    </row>
    <row r="305" spans="1:8">
      <c r="A305" s="2204" t="s">
        <v>972</v>
      </c>
      <c r="B305" s="2203"/>
      <c r="C305" s="2203"/>
      <c r="D305" s="2203"/>
      <c r="E305" s="2203"/>
      <c r="F305" s="2203"/>
      <c r="G305" s="2203"/>
      <c r="H305" s="2203"/>
    </row>
    <row r="306" spans="1:8">
      <c r="A306" s="2204" t="s">
        <v>973</v>
      </c>
      <c r="B306" s="2203"/>
      <c r="C306" s="2203"/>
      <c r="D306" s="2203"/>
      <c r="E306" s="2203"/>
      <c r="F306" s="2203"/>
      <c r="G306" s="2203"/>
      <c r="H306" s="2203"/>
    </row>
    <row r="307" spans="1:8">
      <c r="A307" s="2204" t="s">
        <v>974</v>
      </c>
      <c r="B307" s="2203"/>
      <c r="C307" s="2203"/>
      <c r="D307" s="2203"/>
      <c r="E307" s="2203"/>
      <c r="F307" s="2203"/>
      <c r="G307" s="2203"/>
      <c r="H307" s="2203"/>
    </row>
    <row r="308" spans="1:8">
      <c r="A308" s="2204" t="s">
        <v>975</v>
      </c>
      <c r="B308" s="2203"/>
      <c r="C308" s="2203"/>
      <c r="D308" s="2203"/>
      <c r="E308" s="2203"/>
      <c r="F308" s="2203"/>
      <c r="G308" s="2203"/>
      <c r="H308" s="2203"/>
    </row>
    <row r="309" spans="1:8">
      <c r="A309" s="2204" t="s">
        <v>976</v>
      </c>
      <c r="B309" s="2203"/>
      <c r="C309" s="2203"/>
      <c r="D309" s="2203"/>
      <c r="E309" s="2203"/>
      <c r="F309" s="2203"/>
      <c r="G309" s="2203"/>
      <c r="H309" s="2203"/>
    </row>
    <row r="310" spans="1:8">
      <c r="A310" s="2204" t="s">
        <v>977</v>
      </c>
      <c r="B310" s="2203"/>
      <c r="C310" s="2203"/>
      <c r="D310" s="2203"/>
      <c r="E310" s="2203"/>
      <c r="F310" s="2203"/>
      <c r="G310" s="2203"/>
      <c r="H310" s="2203"/>
    </row>
    <row r="311" spans="1:8">
      <c r="A311" s="2203"/>
      <c r="B311" s="2203"/>
      <c r="C311" s="2203"/>
      <c r="D311" s="2203"/>
      <c r="E311" s="2203"/>
      <c r="F311" s="2203"/>
      <c r="G311" s="2203"/>
      <c r="H311" s="2203"/>
    </row>
    <row r="312" spans="1:8">
      <c r="A312" s="2204" t="s">
        <v>935</v>
      </c>
      <c r="B312" s="2203"/>
      <c r="C312" s="2203"/>
      <c r="D312" s="2203"/>
      <c r="E312" s="2203"/>
      <c r="F312" s="2203"/>
      <c r="G312" s="2203"/>
      <c r="H312" s="2203"/>
    </row>
    <row r="313" spans="1:8">
      <c r="A313" s="2204" t="s">
        <v>936</v>
      </c>
      <c r="B313" s="2203"/>
      <c r="C313" s="2203"/>
      <c r="D313" s="2203"/>
      <c r="E313" s="2203"/>
      <c r="F313" s="2203"/>
      <c r="G313" s="2203"/>
      <c r="H313" s="2203"/>
    </row>
    <row r="314" spans="1:8">
      <c r="A314" s="2204" t="s">
        <v>937</v>
      </c>
      <c r="B314" s="2203"/>
      <c r="C314" s="2203"/>
      <c r="D314" s="2203"/>
      <c r="E314" s="2203"/>
      <c r="F314" s="2203"/>
      <c r="G314" s="2203"/>
      <c r="H314" s="2203"/>
    </row>
    <row r="315" spans="1:8">
      <c r="A315" s="2204" t="s">
        <v>938</v>
      </c>
      <c r="B315" s="2203"/>
      <c r="C315" s="2203"/>
      <c r="D315" s="2203"/>
      <c r="E315" s="2203"/>
      <c r="F315" s="2203"/>
      <c r="G315" s="2203"/>
      <c r="H315" s="2203"/>
    </row>
    <row r="316" spans="1:8">
      <c r="A316" s="2204" t="s">
        <v>939</v>
      </c>
      <c r="B316" s="2203"/>
      <c r="C316" s="2203"/>
      <c r="D316" s="2203"/>
      <c r="E316" s="2203"/>
      <c r="F316" s="2203"/>
      <c r="G316" s="2203"/>
      <c r="H316" s="2203"/>
    </row>
    <row r="317" spans="1:8">
      <c r="A317" s="2204" t="s">
        <v>940</v>
      </c>
      <c r="B317" s="2203"/>
      <c r="C317" s="2203"/>
      <c r="D317" s="2203"/>
      <c r="E317" s="2203"/>
      <c r="F317" s="2203"/>
      <c r="G317" s="2203"/>
      <c r="H317" s="2203"/>
    </row>
    <row r="318" spans="1:8">
      <c r="A318" s="2204" t="s">
        <v>941</v>
      </c>
      <c r="B318" s="2203"/>
      <c r="C318" s="2203"/>
      <c r="D318" s="2203"/>
      <c r="E318" s="2203"/>
      <c r="F318" s="2203"/>
      <c r="G318" s="2203"/>
      <c r="H318" s="2203"/>
    </row>
    <row r="319" spans="1:8">
      <c r="A319" s="2204" t="s">
        <v>942</v>
      </c>
      <c r="B319" s="2203"/>
      <c r="C319" s="2203"/>
      <c r="D319" s="2203"/>
      <c r="E319" s="2203"/>
      <c r="F319" s="2203"/>
      <c r="G319" s="2203"/>
      <c r="H319" s="2203"/>
    </row>
    <row r="320" spans="1:8">
      <c r="A320" s="2204" t="s">
        <v>943</v>
      </c>
      <c r="B320" s="2203"/>
      <c r="C320" s="2203"/>
      <c r="D320" s="2203"/>
      <c r="E320" s="2203"/>
      <c r="F320" s="2203"/>
      <c r="G320" s="2203"/>
      <c r="H320" s="2203"/>
    </row>
    <row r="321" spans="1:8">
      <c r="A321" s="2204" t="s">
        <v>944</v>
      </c>
      <c r="B321" s="2203"/>
      <c r="C321" s="2203"/>
      <c r="D321" s="2203"/>
      <c r="E321" s="2203"/>
      <c r="F321" s="2203"/>
      <c r="G321" s="2203"/>
      <c r="H321" s="2203"/>
    </row>
    <row r="322" spans="1:8">
      <c r="A322" s="2204" t="s">
        <v>945</v>
      </c>
      <c r="B322" s="2203"/>
      <c r="C322" s="2203"/>
      <c r="D322" s="2203"/>
      <c r="E322" s="2203"/>
      <c r="F322" s="2203"/>
      <c r="G322" s="2203"/>
      <c r="H322" s="2203"/>
    </row>
    <row r="323" spans="1:8">
      <c r="A323" s="2204" t="s">
        <v>946</v>
      </c>
      <c r="B323" s="2203"/>
      <c r="C323" s="2203"/>
      <c r="D323" s="2203"/>
      <c r="E323" s="2203"/>
      <c r="F323" s="2203"/>
      <c r="G323" s="2203"/>
      <c r="H323" s="2203"/>
    </row>
    <row r="324" spans="1:8">
      <c r="A324" s="2204" t="s">
        <v>947</v>
      </c>
      <c r="B324" s="2203"/>
      <c r="C324" s="2203"/>
      <c r="D324" s="2203"/>
      <c r="E324" s="2203"/>
      <c r="F324" s="2203"/>
      <c r="G324" s="2203"/>
      <c r="H324" s="2203"/>
    </row>
    <row r="325" spans="1:8">
      <c r="A325" s="2204" t="s">
        <v>948</v>
      </c>
      <c r="B325" s="2203"/>
      <c r="C325" s="2203"/>
      <c r="D325" s="2203"/>
      <c r="E325" s="2203"/>
      <c r="F325" s="2203"/>
      <c r="G325" s="2203"/>
      <c r="H325" s="2203"/>
    </row>
    <row r="326" spans="1:8">
      <c r="A326" s="2204" t="s">
        <v>949</v>
      </c>
      <c r="B326" s="2203"/>
      <c r="C326" s="2203"/>
      <c r="D326" s="2203"/>
      <c r="E326" s="2203"/>
      <c r="F326" s="2203"/>
      <c r="G326" s="2203"/>
      <c r="H326" s="2203"/>
    </row>
    <row r="327" spans="1:8">
      <c r="A327" s="2204" t="s">
        <v>950</v>
      </c>
      <c r="B327" s="2203"/>
      <c r="C327" s="2203"/>
      <c r="D327" s="2203"/>
      <c r="E327" s="2203"/>
      <c r="F327" s="2203"/>
      <c r="G327" s="2203"/>
      <c r="H327" s="2203"/>
    </row>
    <row r="328" spans="1:8">
      <c r="A328" s="2204" t="s">
        <v>951</v>
      </c>
      <c r="B328" s="2203"/>
      <c r="C328" s="2203"/>
      <c r="D328" s="2203"/>
      <c r="E328" s="2203"/>
      <c r="F328" s="2203"/>
      <c r="G328" s="2203"/>
      <c r="H328" s="2203"/>
    </row>
    <row r="329" spans="1:8">
      <c r="A329" s="2204" t="s">
        <v>952</v>
      </c>
      <c r="B329" s="2203"/>
      <c r="C329" s="2203"/>
      <c r="D329" s="2203"/>
      <c r="E329" s="2203"/>
      <c r="F329" s="2203"/>
      <c r="G329" s="2203"/>
      <c r="H329" s="2203"/>
    </row>
    <row r="330" spans="1:8">
      <c r="A330" s="2204" t="s">
        <v>953</v>
      </c>
      <c r="B330" s="2203"/>
      <c r="C330" s="2203"/>
      <c r="D330" s="2203"/>
      <c r="E330" s="2203"/>
      <c r="F330" s="2203"/>
      <c r="G330" s="2203"/>
      <c r="H330" s="2203"/>
    </row>
    <row r="331" spans="1:8">
      <c r="A331" s="2204" t="s">
        <v>954</v>
      </c>
      <c r="B331" s="2203"/>
      <c r="C331" s="2203"/>
      <c r="D331" s="2203"/>
      <c r="E331" s="2203"/>
      <c r="F331" s="2203"/>
      <c r="G331" s="2203"/>
      <c r="H331" s="2203"/>
    </row>
    <row r="332" spans="1:8">
      <c r="A332" s="2204" t="s">
        <v>955</v>
      </c>
      <c r="B332" s="2203"/>
      <c r="C332" s="2203"/>
      <c r="D332" s="2203"/>
      <c r="E332" s="2203"/>
      <c r="F332" s="2203"/>
      <c r="G332" s="2203"/>
      <c r="H332" s="2203"/>
    </row>
    <row r="333" spans="1:8">
      <c r="A333" s="2204" t="s">
        <v>956</v>
      </c>
      <c r="B333" s="2203"/>
      <c r="C333" s="2203"/>
      <c r="D333" s="2203"/>
      <c r="E333" s="2203"/>
      <c r="F333" s="2203"/>
      <c r="G333" s="2203"/>
      <c r="H333" s="2203"/>
    </row>
    <row r="334" spans="1:8">
      <c r="A334" s="2204" t="s">
        <v>957</v>
      </c>
      <c r="B334" s="2203"/>
      <c r="C334" s="2203"/>
      <c r="D334" s="2203"/>
      <c r="E334" s="2203"/>
      <c r="F334" s="2203"/>
      <c r="G334" s="2203"/>
      <c r="H334" s="2203"/>
    </row>
    <row r="335" spans="1:8">
      <c r="A335" s="2204" t="s">
        <v>958</v>
      </c>
      <c r="B335" s="2203"/>
      <c r="C335" s="2203"/>
      <c r="D335" s="2203"/>
      <c r="E335" s="2203"/>
      <c r="F335" s="2203"/>
      <c r="G335" s="2203"/>
      <c r="H335" s="2203"/>
    </row>
    <row r="336" spans="1:8">
      <c r="A336" s="2204" t="s">
        <v>959</v>
      </c>
      <c r="B336" s="2203"/>
      <c r="C336" s="2203"/>
      <c r="D336" s="2203"/>
      <c r="E336" s="2203"/>
      <c r="F336" s="2203"/>
      <c r="G336" s="2203"/>
      <c r="H336" s="2203"/>
    </row>
    <row r="337" spans="1:8">
      <c r="A337" s="2204" t="s">
        <v>960</v>
      </c>
      <c r="B337" s="2203"/>
      <c r="C337" s="2203"/>
      <c r="D337" s="2203"/>
      <c r="E337" s="2203"/>
      <c r="F337" s="2203"/>
      <c r="G337" s="2203"/>
      <c r="H337" s="2203"/>
    </row>
    <row r="338" spans="1:8">
      <c r="A338" s="2204" t="s">
        <v>961</v>
      </c>
      <c r="B338" s="2203"/>
      <c r="C338" s="2203"/>
      <c r="D338" s="2203"/>
      <c r="E338" s="2203"/>
      <c r="F338" s="2203"/>
      <c r="G338" s="2203"/>
      <c r="H338" s="2203"/>
    </row>
    <row r="339" spans="1:8">
      <c r="A339" s="2204" t="s">
        <v>962</v>
      </c>
      <c r="B339" s="2203"/>
      <c r="C339" s="2203"/>
      <c r="D339" s="2203"/>
      <c r="E339" s="2203"/>
      <c r="F339" s="2203"/>
      <c r="G339" s="2203"/>
      <c r="H339" s="2203"/>
    </row>
    <row r="340" spans="1:8">
      <c r="A340" s="2204" t="s">
        <v>963</v>
      </c>
      <c r="B340" s="2203"/>
      <c r="C340" s="2203"/>
      <c r="D340" s="2203"/>
      <c r="E340" s="2203"/>
      <c r="F340" s="2203"/>
      <c r="G340" s="2203"/>
      <c r="H340" s="2203"/>
    </row>
    <row r="341" spans="1:8">
      <c r="A341" s="2204" t="s">
        <v>964</v>
      </c>
      <c r="B341" s="2203"/>
      <c r="C341" s="2203"/>
      <c r="D341" s="2203"/>
      <c r="E341" s="2203"/>
      <c r="F341" s="2203"/>
      <c r="G341" s="2203"/>
      <c r="H341" s="2203"/>
    </row>
    <row r="342" spans="1:8">
      <c r="A342" s="2204" t="s">
        <v>965</v>
      </c>
      <c r="B342" s="2203"/>
      <c r="C342" s="2203"/>
      <c r="D342" s="2203"/>
      <c r="E342" s="2203"/>
      <c r="F342" s="2203"/>
      <c r="G342" s="2203"/>
      <c r="H342" s="2203"/>
    </row>
    <row r="343" spans="1:8">
      <c r="A343" s="2204" t="s">
        <v>966</v>
      </c>
      <c r="B343" s="2203"/>
      <c r="C343" s="2203"/>
      <c r="D343" s="2203"/>
      <c r="E343" s="2203"/>
      <c r="F343" s="2203"/>
      <c r="G343" s="2203"/>
      <c r="H343" s="2203"/>
    </row>
    <row r="344" spans="1:8">
      <c r="A344" s="2204" t="s">
        <v>967</v>
      </c>
      <c r="B344" s="2203"/>
      <c r="C344" s="2203"/>
      <c r="D344" s="2203"/>
      <c r="E344" s="2203"/>
      <c r="F344" s="2203"/>
      <c r="G344" s="2203"/>
      <c r="H344" s="2203"/>
    </row>
    <row r="345" spans="1:8">
      <c r="A345" s="2204" t="s">
        <v>968</v>
      </c>
      <c r="B345" s="2203"/>
      <c r="C345" s="2203"/>
      <c r="D345" s="2203"/>
      <c r="E345" s="2203"/>
      <c r="F345" s="2203"/>
      <c r="G345" s="2203"/>
      <c r="H345" s="2203"/>
    </row>
    <row r="346" spans="1:8">
      <c r="A346" s="2204" t="s">
        <v>969</v>
      </c>
      <c r="B346" s="2203"/>
      <c r="C346" s="2203"/>
      <c r="D346" s="2203"/>
      <c r="E346" s="2203"/>
      <c r="F346" s="2203"/>
      <c r="G346" s="2203"/>
      <c r="H346" s="2203"/>
    </row>
    <row r="347" spans="1:8">
      <c r="A347" s="2203"/>
      <c r="B347" s="2203"/>
      <c r="C347" s="2203"/>
      <c r="D347" s="2203"/>
      <c r="E347" s="2203"/>
      <c r="F347" s="2203"/>
      <c r="G347" s="2203"/>
      <c r="H347" s="2203"/>
    </row>
    <row r="348" spans="1:8">
      <c r="A348" s="2204" t="s">
        <v>927</v>
      </c>
      <c r="B348" s="2203"/>
      <c r="C348" s="2203"/>
      <c r="D348" s="2203"/>
      <c r="E348" s="2203"/>
      <c r="F348" s="2203"/>
      <c r="G348" s="2203"/>
      <c r="H348" s="2203"/>
    </row>
    <row r="349" spans="1:8">
      <c r="A349" s="2204" t="s">
        <v>931</v>
      </c>
      <c r="B349" s="2203"/>
      <c r="C349" s="2203"/>
      <c r="D349" s="2203"/>
      <c r="E349" s="2203"/>
      <c r="F349" s="2203"/>
      <c r="G349" s="2203"/>
      <c r="H349" s="2203"/>
    </row>
    <row r="350" spans="1:8">
      <c r="A350" s="2204" t="s">
        <v>932</v>
      </c>
      <c r="B350" s="2203"/>
      <c r="C350" s="2203"/>
      <c r="D350" s="2203"/>
      <c r="E350" s="2203"/>
      <c r="F350" s="2203"/>
      <c r="G350" s="2203"/>
      <c r="H350" s="2203"/>
    </row>
    <row r="351" spans="1:8">
      <c r="A351" s="2204" t="s">
        <v>933</v>
      </c>
      <c r="B351" s="2203"/>
      <c r="C351" s="2203"/>
      <c r="D351" s="2203"/>
      <c r="E351" s="2203"/>
      <c r="F351" s="2203"/>
      <c r="G351" s="2203"/>
      <c r="H351" s="2203"/>
    </row>
    <row r="352" spans="1:8">
      <c r="A352" s="2204" t="s">
        <v>934</v>
      </c>
      <c r="B352" s="2203"/>
      <c r="C352" s="2203"/>
      <c r="D352" s="2203"/>
      <c r="E352" s="2203"/>
      <c r="F352" s="2203"/>
      <c r="G352" s="2203"/>
      <c r="H352" s="2203"/>
    </row>
    <row r="353" spans="1:8">
      <c r="A353" s="2203"/>
      <c r="B353" s="2203"/>
      <c r="C353" s="2203"/>
      <c r="D353" s="2203"/>
      <c r="E353" s="2203"/>
      <c r="F353" s="2203"/>
      <c r="G353" s="2203"/>
      <c r="H353" s="2203"/>
    </row>
    <row r="354" spans="1:8">
      <c r="A354" s="2204" t="s">
        <v>927</v>
      </c>
      <c r="B354" s="2203"/>
      <c r="C354" s="2203"/>
      <c r="D354" s="2203"/>
      <c r="E354" s="2203"/>
      <c r="F354" s="2203"/>
      <c r="G354" s="2203"/>
      <c r="H354" s="2203"/>
    </row>
    <row r="355" spans="1:8">
      <c r="A355" s="2204" t="s">
        <v>928</v>
      </c>
      <c r="B355" s="2203"/>
      <c r="C355" s="2203"/>
      <c r="D355" s="2203"/>
      <c r="E355" s="2203"/>
      <c r="F355" s="2203"/>
      <c r="G355" s="2203"/>
      <c r="H355" s="2203"/>
    </row>
    <row r="356" spans="1:8">
      <c r="A356" s="2204" t="s">
        <v>929</v>
      </c>
      <c r="B356" s="2203"/>
      <c r="C356" s="2203"/>
      <c r="D356" s="2203"/>
      <c r="E356" s="2203"/>
      <c r="F356" s="2203"/>
      <c r="G356" s="2203"/>
      <c r="H356" s="2203"/>
    </row>
    <row r="357" spans="1:8">
      <c r="A357" s="2204" t="s">
        <v>930</v>
      </c>
      <c r="B357" s="2203"/>
      <c r="C357" s="2203"/>
      <c r="D357" s="2203"/>
      <c r="E357" s="2203"/>
      <c r="F357" s="2203"/>
      <c r="G357" s="2203"/>
      <c r="H357" s="2203"/>
    </row>
    <row r="358" spans="1:8">
      <c r="A358" s="2203"/>
      <c r="B358" s="2203"/>
      <c r="C358" s="2203"/>
      <c r="D358" s="2203"/>
      <c r="E358" s="2203"/>
      <c r="F358" s="2203"/>
      <c r="G358" s="2203"/>
      <c r="H358" s="2203"/>
    </row>
    <row r="359" spans="1:8">
      <c r="A359" s="2204" t="s">
        <v>921</v>
      </c>
      <c r="B359" s="2203"/>
      <c r="C359" s="2203"/>
      <c r="D359" s="2203"/>
      <c r="E359" s="2203"/>
      <c r="F359" s="2203"/>
      <c r="G359" s="2203"/>
      <c r="H359" s="2203"/>
    </row>
    <row r="360" spans="1:8">
      <c r="A360" s="2204" t="s">
        <v>922</v>
      </c>
      <c r="B360" s="2203"/>
      <c r="C360" s="2203"/>
      <c r="D360" s="2203"/>
      <c r="E360" s="2203"/>
      <c r="F360" s="2203"/>
      <c r="G360" s="2203"/>
      <c r="H360" s="2203"/>
    </row>
    <row r="361" spans="1:8">
      <c r="A361" s="2204" t="s">
        <v>923</v>
      </c>
      <c r="B361" s="2203"/>
      <c r="C361" s="2203"/>
      <c r="D361" s="2203"/>
      <c r="E361" s="2203"/>
      <c r="F361" s="2203"/>
      <c r="G361" s="2203"/>
      <c r="H361" s="2203"/>
    </row>
    <row r="362" spans="1:8">
      <c r="A362" s="2204" t="s">
        <v>924</v>
      </c>
      <c r="B362" s="2203"/>
      <c r="C362" s="2203"/>
      <c r="D362" s="2203"/>
      <c r="E362" s="2203"/>
      <c r="F362" s="2203"/>
      <c r="G362" s="2203"/>
      <c r="H362" s="2203"/>
    </row>
    <row r="363" spans="1:8">
      <c r="A363" s="2204" t="s">
        <v>925</v>
      </c>
      <c r="B363" s="2203"/>
      <c r="C363" s="2203"/>
      <c r="D363" s="2203"/>
      <c r="E363" s="2203"/>
      <c r="F363" s="2203"/>
      <c r="G363" s="2203"/>
      <c r="H363" s="2203"/>
    </row>
    <row r="364" spans="1:8">
      <c r="A364" s="2204" t="s">
        <v>926</v>
      </c>
      <c r="B364" s="2203"/>
      <c r="C364" s="2203"/>
      <c r="D364" s="2203"/>
      <c r="E364" s="2203"/>
      <c r="F364" s="2203"/>
      <c r="G364" s="2203"/>
      <c r="H364" s="2203"/>
    </row>
    <row r="365" spans="1:8">
      <c r="A365" s="2203"/>
      <c r="B365" s="2203"/>
      <c r="C365" s="2203"/>
      <c r="D365" s="2203"/>
      <c r="E365" s="2203"/>
      <c r="F365" s="2203"/>
      <c r="G365" s="2203"/>
      <c r="H365" s="2203"/>
    </row>
    <row r="366" spans="1:8">
      <c r="A366" s="2204" t="s">
        <v>916</v>
      </c>
      <c r="B366" s="2203"/>
      <c r="C366" s="2203"/>
      <c r="D366" s="2203"/>
      <c r="E366" s="2203"/>
      <c r="F366" s="2203"/>
      <c r="G366" s="2203"/>
      <c r="H366" s="2203"/>
    </row>
    <row r="367" spans="1:8">
      <c r="A367" s="2204" t="s">
        <v>917</v>
      </c>
      <c r="B367" s="2203"/>
      <c r="C367" s="2203"/>
      <c r="D367" s="2203"/>
      <c r="E367" s="2203"/>
      <c r="F367" s="2203"/>
      <c r="G367" s="2203"/>
      <c r="H367" s="2203"/>
    </row>
    <row r="368" spans="1:8">
      <c r="A368" s="2204" t="s">
        <v>918</v>
      </c>
      <c r="B368" s="2203"/>
      <c r="C368" s="2203"/>
      <c r="D368" s="2203"/>
      <c r="E368" s="2203"/>
      <c r="F368" s="2203"/>
      <c r="G368" s="2203"/>
      <c r="H368" s="2203"/>
    </row>
    <row r="369" spans="1:8">
      <c r="A369" s="2204" t="s">
        <v>919</v>
      </c>
      <c r="B369" s="2203"/>
      <c r="C369" s="2203"/>
      <c r="D369" s="2203"/>
      <c r="E369" s="2203"/>
      <c r="F369" s="2203"/>
      <c r="G369" s="2203"/>
      <c r="H369" s="2203"/>
    </row>
    <row r="370" spans="1:8">
      <c r="A370" s="2204" t="s">
        <v>920</v>
      </c>
      <c r="B370" s="2203"/>
      <c r="C370" s="2203"/>
      <c r="D370" s="2203"/>
      <c r="E370" s="2203"/>
      <c r="F370" s="2203"/>
      <c r="G370" s="2203"/>
      <c r="H370" s="2203"/>
    </row>
    <row r="371" spans="1:8">
      <c r="A371" s="2203"/>
      <c r="B371" s="2203"/>
      <c r="C371" s="2203"/>
      <c r="D371" s="2203"/>
      <c r="E371" s="2203"/>
      <c r="F371" s="2203"/>
      <c r="G371" s="2203"/>
      <c r="H371" s="2203"/>
    </row>
    <row r="372" spans="1:8">
      <c r="A372" s="2204" t="s">
        <v>914</v>
      </c>
      <c r="B372" s="2203"/>
      <c r="C372" s="2203"/>
      <c r="D372" s="2203"/>
      <c r="E372" s="2203"/>
      <c r="F372" s="2203"/>
      <c r="G372" s="2203"/>
      <c r="H372" s="2203"/>
    </row>
    <row r="373" spans="1:8">
      <c r="A373" s="2204" t="s">
        <v>915</v>
      </c>
      <c r="B373" s="2203"/>
      <c r="C373" s="2203"/>
      <c r="D373" s="2203"/>
      <c r="E373" s="2203"/>
      <c r="F373" s="2203"/>
      <c r="G373" s="2203"/>
      <c r="H373" s="2203"/>
    </row>
    <row r="375" spans="1:8">
      <c r="A375" s="2199" t="s">
        <v>1159</v>
      </c>
    </row>
  </sheetData>
  <mergeCells count="12">
    <mergeCell ref="A116:H116"/>
    <mergeCell ref="A117:H117"/>
    <mergeCell ref="B109:C109"/>
    <mergeCell ref="D109:F109"/>
    <mergeCell ref="G109:H109"/>
    <mergeCell ref="A95:H95"/>
    <mergeCell ref="A96:H96"/>
    <mergeCell ref="A97:H97"/>
    <mergeCell ref="A98:H98"/>
    <mergeCell ref="A100:H100"/>
    <mergeCell ref="A101:H101"/>
    <mergeCell ref="A108:H108"/>
  </mergeCells>
  <pageMargins left="0.5" right="0.5" top="0.5" bottom="0.5" header="0.5" footer="0.5"/>
  <pageSetup orientation="portrait" horizontalDpi="300" r:id="rId1"/>
  <headerFooter alignWithMargins="0"/>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pageSetUpPr fitToPage="1"/>
  </sheetPr>
  <dimension ref="B3:T34"/>
  <sheetViews>
    <sheetView workbookViewId="0">
      <selection activeCell="I6" sqref="I6"/>
    </sheetView>
  </sheetViews>
  <sheetFormatPr defaultRowHeight="12.75" outlineLevelRow="1" outlineLevelCol="1"/>
  <cols>
    <col min="1" max="1" width="9" style="901"/>
    <col min="2" max="2" width="31.375" style="901" customWidth="1"/>
    <col min="3" max="3" width="9.375" style="901" hidden="1" customWidth="1" outlineLevel="1"/>
    <col min="4" max="4" width="1.375" style="901" hidden="1" customWidth="1" outlineLevel="1"/>
    <col min="5" max="5" width="9.375" style="901" hidden="1" customWidth="1" outlineLevel="1"/>
    <col min="6" max="6" width="1.25" style="901" hidden="1" customWidth="1" outlineLevel="1"/>
    <col min="7" max="7" width="9.375" style="901" hidden="1" customWidth="1" outlineLevel="1"/>
    <col min="8" max="8" width="1.375" style="901" hidden="1" customWidth="1" outlineLevel="1"/>
    <col min="9" max="9" width="9.375" style="901" customWidth="1" collapsed="1"/>
    <col min="10" max="10" width="1.625" style="901" hidden="1" customWidth="1"/>
    <col min="11" max="11" width="9.375" style="901" hidden="1" customWidth="1"/>
    <col min="12" max="12" width="1.625" style="901" customWidth="1"/>
    <col min="13" max="13" width="9" style="901" customWidth="1" outlineLevel="1"/>
    <col min="14" max="14" width="9.25" style="901" customWidth="1" outlineLevel="1"/>
    <col min="15" max="18" width="9.25" style="901" bestFit="1" customWidth="1"/>
    <col min="19" max="16384" width="9" style="901"/>
  </cols>
  <sheetData>
    <row r="3" spans="2:18" ht="15">
      <c r="B3" s="900"/>
      <c r="C3" s="944" t="s">
        <v>139</v>
      </c>
      <c r="D3" s="944"/>
      <c r="E3" s="944" t="s">
        <v>377</v>
      </c>
      <c r="F3" s="944"/>
      <c r="G3" s="944" t="s">
        <v>378</v>
      </c>
      <c r="H3" s="944"/>
      <c r="I3" s="944" t="s">
        <v>787</v>
      </c>
      <c r="J3" s="2126"/>
      <c r="K3" s="944" t="s">
        <v>787</v>
      </c>
      <c r="L3" s="903"/>
      <c r="M3" s="945" t="s">
        <v>871</v>
      </c>
      <c r="N3" s="945" t="s">
        <v>872</v>
      </c>
    </row>
    <row r="4" spans="2:18">
      <c r="B4" s="901" t="s">
        <v>16</v>
      </c>
      <c r="C4" s="902">
        <f>sumry!DT31</f>
        <v>468.03399999999988</v>
      </c>
      <c r="D4" s="902"/>
      <c r="E4" s="902">
        <f>sumry!DU31</f>
        <v>509.36500000000024</v>
      </c>
      <c r="F4" s="902"/>
      <c r="G4" s="902">
        <f>sumry!DV31</f>
        <v>492.4989999999998</v>
      </c>
      <c r="H4" s="902"/>
      <c r="I4" s="902">
        <f>sumry!DX31</f>
        <v>499.32734908261125</v>
      </c>
      <c r="J4" s="902"/>
      <c r="K4" s="902">
        <f>sumry!DX31</f>
        <v>499.32734908261125</v>
      </c>
      <c r="M4" s="904">
        <f>BullBaseBear!R65</f>
        <v>595.85227653128436</v>
      </c>
      <c r="N4" s="904">
        <f>BullBaseBear!R107</f>
        <v>410.60858891844998</v>
      </c>
    </row>
    <row r="5" spans="2:18">
      <c r="B5" s="901" t="s">
        <v>635</v>
      </c>
      <c r="C5" s="1791">
        <v>6</v>
      </c>
      <c r="D5" s="905"/>
      <c r="E5" s="1791">
        <v>3.8</v>
      </c>
      <c r="F5" s="905">
        <v>4</v>
      </c>
      <c r="G5" s="1791">
        <v>3.9</v>
      </c>
      <c r="H5" s="905"/>
      <c r="I5" s="1791">
        <v>5.6</v>
      </c>
      <c r="J5" s="1791"/>
      <c r="K5" s="1791">
        <v>3.7</v>
      </c>
      <c r="M5" s="906">
        <v>8</v>
      </c>
      <c r="N5" s="906">
        <v>4</v>
      </c>
      <c r="P5" s="901">
        <v>4</v>
      </c>
      <c r="Q5" s="901">
        <v>6</v>
      </c>
      <c r="R5" s="901">
        <v>2.5</v>
      </c>
    </row>
    <row r="6" spans="2:18">
      <c r="B6" s="907" t="s">
        <v>638</v>
      </c>
      <c r="C6" s="908">
        <f>C5*C4</f>
        <v>2808.2039999999993</v>
      </c>
      <c r="D6" s="908"/>
      <c r="E6" s="908">
        <f>E5*E4</f>
        <v>1935.5870000000009</v>
      </c>
      <c r="F6" s="908"/>
      <c r="G6" s="908">
        <f>G5*G4</f>
        <v>1920.7460999999992</v>
      </c>
      <c r="H6" s="908"/>
      <c r="I6" s="908">
        <f>I5*I4</f>
        <v>2796.233154862623</v>
      </c>
      <c r="J6" s="908"/>
      <c r="K6" s="908">
        <f>K5*K4</f>
        <v>1847.5111916056617</v>
      </c>
      <c r="L6" s="907"/>
      <c r="M6" s="909">
        <f>M5*M4</f>
        <v>4766.8182122502749</v>
      </c>
      <c r="N6" s="909">
        <f>N5*N4</f>
        <v>1642.4343556737999</v>
      </c>
    </row>
    <row r="7" spans="2:18">
      <c r="C7" s="903"/>
      <c r="D7" s="903"/>
      <c r="E7" s="910"/>
      <c r="F7" s="910"/>
      <c r="G7" s="911"/>
      <c r="H7" s="911"/>
      <c r="I7" s="911"/>
      <c r="J7" s="911"/>
      <c r="K7" s="911"/>
      <c r="M7" s="903"/>
      <c r="N7" s="903"/>
    </row>
    <row r="8" spans="2:18">
      <c r="B8" s="901" t="s">
        <v>639</v>
      </c>
      <c r="C8" s="914">
        <f>flow!AQ56</f>
        <v>260.00939999999957</v>
      </c>
      <c r="D8" s="912"/>
      <c r="E8" s="949">
        <f>flow!AS56</f>
        <v>378.55539999999962</v>
      </c>
      <c r="F8" s="949"/>
      <c r="G8" s="949">
        <f>flow!AU56</f>
        <v>413.61299999999937</v>
      </c>
      <c r="H8" s="949"/>
      <c r="I8" s="949">
        <f>flow!AY56</f>
        <v>687.23692020337614</v>
      </c>
      <c r="J8" s="949"/>
      <c r="K8" s="949">
        <f>bal!AY8</f>
        <v>559.03281839838087</v>
      </c>
      <c r="L8" s="913"/>
      <c r="M8" s="914">
        <f>I8+(M4-I4)</f>
        <v>783.76184765204925</v>
      </c>
      <c r="N8" s="914">
        <f>I8-(I4-N4)</f>
        <v>598.51816003921488</v>
      </c>
    </row>
    <row r="9" spans="2:18">
      <c r="B9" s="901" t="s">
        <v>640</v>
      </c>
      <c r="C9" s="940">
        <f>bal!AS30</f>
        <v>0</v>
      </c>
      <c r="D9" s="915"/>
      <c r="E9" s="950">
        <f>bal!AU30</f>
        <v>0</v>
      </c>
      <c r="F9" s="950"/>
      <c r="G9" s="950">
        <f>bal!AX30</f>
        <v>0</v>
      </c>
      <c r="H9" s="950"/>
      <c r="I9" s="950">
        <f>bal!BA30</f>
        <v>0</v>
      </c>
      <c r="J9" s="950"/>
      <c r="K9" s="950">
        <f>bal!AY39</f>
        <v>0</v>
      </c>
      <c r="L9" s="913"/>
      <c r="M9" s="914">
        <f>I9</f>
        <v>0</v>
      </c>
      <c r="N9" s="914">
        <f>M9</f>
        <v>0</v>
      </c>
    </row>
    <row r="10" spans="2:18">
      <c r="B10" s="907" t="s">
        <v>641</v>
      </c>
      <c r="C10" s="909">
        <f>C9-C8</f>
        <v>-260.00939999999957</v>
      </c>
      <c r="D10" s="908"/>
      <c r="E10" s="908">
        <f>E9-E8</f>
        <v>-378.55539999999962</v>
      </c>
      <c r="F10" s="908"/>
      <c r="G10" s="908">
        <f>G9-G8</f>
        <v>-413.61299999999937</v>
      </c>
      <c r="H10" s="908"/>
      <c r="I10" s="908">
        <f>I9-I8</f>
        <v>-687.23692020337614</v>
      </c>
      <c r="J10" s="908"/>
      <c r="K10" s="908">
        <f>K9-K8</f>
        <v>-559.03281839838087</v>
      </c>
      <c r="L10" s="907"/>
      <c r="M10" s="909">
        <f>M9-M8</f>
        <v>-783.76184765204925</v>
      </c>
      <c r="N10" s="909">
        <f>N9-N8</f>
        <v>-598.51816003921488</v>
      </c>
    </row>
    <row r="11" spans="2:18">
      <c r="C11" s="903"/>
      <c r="D11" s="903"/>
      <c r="E11" s="910"/>
      <c r="F11" s="910"/>
      <c r="G11" s="911"/>
      <c r="H11" s="911"/>
      <c r="I11" s="911"/>
      <c r="J11" s="911"/>
      <c r="K11" s="911"/>
      <c r="M11" s="903"/>
      <c r="N11" s="903"/>
    </row>
    <row r="12" spans="2:18">
      <c r="B12" s="907" t="s">
        <v>609</v>
      </c>
      <c r="C12" s="909">
        <f>C6-C10</f>
        <v>3068.2133999999987</v>
      </c>
      <c r="D12" s="909"/>
      <c r="E12" s="909">
        <f>E6-E10</f>
        <v>2314.1424000000006</v>
      </c>
      <c r="F12" s="909"/>
      <c r="G12" s="909">
        <f>G6-G10</f>
        <v>2334.3590999999988</v>
      </c>
      <c r="H12" s="909"/>
      <c r="I12" s="909">
        <f>I6-I10</f>
        <v>3483.470075065999</v>
      </c>
      <c r="J12" s="909"/>
      <c r="K12" s="909">
        <f>K6-K10</f>
        <v>2406.5440100040423</v>
      </c>
      <c r="L12" s="941"/>
      <c r="M12" s="916">
        <f>M6-M10</f>
        <v>5550.5800599023241</v>
      </c>
      <c r="N12" s="916">
        <f>N6-N10</f>
        <v>2240.9525157130147</v>
      </c>
    </row>
    <row r="13" spans="2:18">
      <c r="B13" s="901" t="s">
        <v>642</v>
      </c>
      <c r="C13" s="940">
        <f>'yrP&amp;L'!V59</f>
        <v>196.23699999999999</v>
      </c>
      <c r="D13" s="940"/>
      <c r="E13" s="940">
        <f>'yrP&amp;L'!W59</f>
        <v>183.83500000000001</v>
      </c>
      <c r="F13" s="940"/>
      <c r="G13" s="940">
        <f>'yrP&amp;L'!X59</f>
        <v>180.15600000000001</v>
      </c>
      <c r="H13" s="940"/>
      <c r="I13" s="940">
        <f>'yrP&amp;L'!Z59</f>
        <v>177.43899999999999</v>
      </c>
      <c r="J13" s="940"/>
      <c r="K13" s="940">
        <f>'yrP&amp;L'!Z59</f>
        <v>177.43899999999999</v>
      </c>
      <c r="L13" s="942"/>
      <c r="M13" s="943">
        <f>G13</f>
        <v>180.15600000000001</v>
      </c>
      <c r="N13" s="943">
        <f>M13</f>
        <v>180.15600000000001</v>
      </c>
    </row>
    <row r="14" spans="2:18" outlineLevel="1">
      <c r="B14" s="907" t="s">
        <v>643</v>
      </c>
      <c r="C14" s="946">
        <f>C12/C13</f>
        <v>15.635244118081701</v>
      </c>
      <c r="D14" s="946"/>
      <c r="E14" s="946">
        <f>E12/E13</f>
        <v>12.588149155492701</v>
      </c>
      <c r="F14" s="946"/>
      <c r="G14" s="946">
        <f>G12/G13</f>
        <v>12.957431892359947</v>
      </c>
      <c r="H14" s="946"/>
      <c r="I14" s="946">
        <f>I12/I13</f>
        <v>19.631930269365807</v>
      </c>
      <c r="J14" s="946"/>
      <c r="K14" s="946">
        <f>K12/K13</f>
        <v>13.562655391453076</v>
      </c>
      <c r="L14" s="947"/>
      <c r="M14" s="946">
        <f>M12/M13</f>
        <v>30.809854014866694</v>
      </c>
      <c r="N14" s="946">
        <f>N12/N13</f>
        <v>12.438955770071574</v>
      </c>
    </row>
    <row r="15" spans="2:18" ht="13.5" thickBot="1">
      <c r="B15" s="907"/>
      <c r="C15" s="917"/>
      <c r="D15" s="917"/>
      <c r="E15" s="908"/>
      <c r="F15" s="908"/>
      <c r="G15" s="908"/>
      <c r="H15" s="908"/>
      <c r="I15" s="908"/>
      <c r="J15" s="908"/>
      <c r="K15" s="908"/>
      <c r="L15" s="907"/>
      <c r="M15" s="916"/>
      <c r="N15" s="916"/>
    </row>
    <row r="16" spans="2:18" hidden="1" outlineLevel="1">
      <c r="B16" s="901" t="s">
        <v>644</v>
      </c>
      <c r="C16" s="918">
        <v>0.2</v>
      </c>
      <c r="D16" s="918"/>
      <c r="E16" s="918">
        <v>0.2</v>
      </c>
      <c r="F16" s="918"/>
      <c r="G16" s="918">
        <f>E16</f>
        <v>0.2</v>
      </c>
      <c r="H16" s="918"/>
      <c r="I16" s="918">
        <f>G16</f>
        <v>0.2</v>
      </c>
      <c r="J16" s="918"/>
      <c r="K16" s="918">
        <f>I16</f>
        <v>0.2</v>
      </c>
      <c r="M16" s="919">
        <f>I16</f>
        <v>0.2</v>
      </c>
      <c r="N16" s="919">
        <f>M16</f>
        <v>0.2</v>
      </c>
    </row>
    <row r="17" spans="2:20" ht="13.5" hidden="1" outlineLevel="1" thickBot="1">
      <c r="B17" s="913" t="s">
        <v>645</v>
      </c>
      <c r="C17" s="920">
        <v>0</v>
      </c>
      <c r="D17" s="920"/>
      <c r="E17" s="920">
        <v>0</v>
      </c>
      <c r="F17" s="920"/>
      <c r="G17" s="921">
        <v>0</v>
      </c>
      <c r="H17" s="921"/>
      <c r="I17" s="921">
        <v>1</v>
      </c>
      <c r="J17" s="921"/>
      <c r="K17" s="921">
        <v>1</v>
      </c>
      <c r="L17" s="903"/>
      <c r="M17" s="921">
        <v>1</v>
      </c>
      <c r="N17" s="921">
        <v>1</v>
      </c>
    </row>
    <row r="18" spans="2:20" ht="13.5" collapsed="1" thickBot="1">
      <c r="B18" s="922" t="s">
        <v>813</v>
      </c>
      <c r="C18" s="923">
        <f>C14/((1+C16)^C17)</f>
        <v>15.635244118081701</v>
      </c>
      <c r="D18" s="923"/>
      <c r="E18" s="923">
        <f>E14/((1+E16)^E17)</f>
        <v>12.588149155492701</v>
      </c>
      <c r="F18" s="923"/>
      <c r="G18" s="923">
        <f>G14/((1+G16)^G17)</f>
        <v>12.957431892359947</v>
      </c>
      <c r="H18" s="923"/>
      <c r="I18" s="923">
        <f>I14/((1+I16)^I17)</f>
        <v>16.359941891138174</v>
      </c>
      <c r="J18" s="923"/>
      <c r="K18" s="923">
        <f>K14/((1+K16)^K17)</f>
        <v>11.302212826210896</v>
      </c>
      <c r="L18" s="924"/>
      <c r="M18" s="923">
        <f>M14/((1+M16)^M17)</f>
        <v>25.674878345722245</v>
      </c>
      <c r="N18" s="925">
        <f>N14/((1+N16)^N17)</f>
        <v>10.365796475059646</v>
      </c>
    </row>
    <row r="21" spans="2:20">
      <c r="B21" s="926" t="s">
        <v>646</v>
      </c>
      <c r="M21" s="1786"/>
    </row>
    <row r="22" spans="2:20">
      <c r="B22" s="926"/>
      <c r="C22" s="927" t="s">
        <v>656</v>
      </c>
      <c r="D22" s="927"/>
      <c r="E22" s="928" t="s">
        <v>647</v>
      </c>
      <c r="F22" s="928"/>
      <c r="G22" s="928" t="s">
        <v>648</v>
      </c>
      <c r="H22" s="937"/>
      <c r="N22" s="901">
        <v>2017</v>
      </c>
      <c r="O22" s="901">
        <v>2018</v>
      </c>
    </row>
    <row r="23" spans="2:20">
      <c r="B23" s="913" t="s">
        <v>420</v>
      </c>
      <c r="C23" s="929">
        <v>4.5</v>
      </c>
      <c r="D23" s="929"/>
      <c r="E23" s="929">
        <v>4.3367361353878637</v>
      </c>
      <c r="F23" s="929"/>
      <c r="G23" s="929">
        <v>4.3175483028512822</v>
      </c>
      <c r="H23" s="929"/>
      <c r="M23" s="913" t="s">
        <v>420</v>
      </c>
      <c r="N23" s="901">
        <v>6.6</v>
      </c>
      <c r="O23" s="930">
        <v>6.9</v>
      </c>
      <c r="P23" s="930"/>
      <c r="Q23" s="931"/>
    </row>
    <row r="24" spans="2:20">
      <c r="B24" s="913" t="s">
        <v>649</v>
      </c>
      <c r="C24" s="929">
        <v>4.0999999999999996</v>
      </c>
      <c r="D24" s="929"/>
      <c r="E24" s="929">
        <v>4.18178663641278</v>
      </c>
      <c r="F24" s="929"/>
      <c r="G24" s="929">
        <v>4.0734740750606822</v>
      </c>
      <c r="H24" s="929"/>
      <c r="M24" s="913" t="s">
        <v>649</v>
      </c>
      <c r="N24" s="901">
        <v>5</v>
      </c>
      <c r="O24" s="932">
        <v>6</v>
      </c>
      <c r="P24" s="931"/>
      <c r="Q24" s="933"/>
    </row>
    <row r="25" spans="2:20">
      <c r="B25" s="934" t="s">
        <v>650</v>
      </c>
      <c r="C25" s="935">
        <f>AVERAGE(C23:C24)</f>
        <v>4.3</v>
      </c>
      <c r="D25" s="935"/>
      <c r="E25" s="935">
        <f>AVERAGE(E23:E24)</f>
        <v>4.2592613859003219</v>
      </c>
      <c r="F25" s="935"/>
      <c r="G25" s="935">
        <f>AVERAGE(G23:G24)</f>
        <v>4.1955111889559822</v>
      </c>
      <c r="H25" s="935"/>
      <c r="M25" s="913" t="s">
        <v>651</v>
      </c>
      <c r="N25" s="901">
        <f>_xll.ThomsonONEAddinShim.SpreadsheetFormulas.TF($M$25,"TF.RFA.CurrentEVEBITDA()","")</f>
        <v>2.8698717106</v>
      </c>
      <c r="O25" s="932">
        <v>3.8</v>
      </c>
      <c r="P25" s="931"/>
      <c r="Q25" s="933"/>
    </row>
    <row r="26" spans="2:20">
      <c r="B26" s="913" t="s">
        <v>651</v>
      </c>
      <c r="C26" s="929">
        <v>4.4000000000000004</v>
      </c>
      <c r="D26" s="929"/>
      <c r="E26" s="929">
        <v>4.246292221015068</v>
      </c>
      <c r="F26" s="929"/>
      <c r="G26" s="929">
        <v>4.1292501888601816</v>
      </c>
      <c r="H26" s="929"/>
      <c r="M26" s="913" t="s">
        <v>652</v>
      </c>
      <c r="N26" s="901">
        <f>_xll.ThomsonONEAddinShim.SpreadsheetFormulas.TF($M$26,"TF.RFA.CurrentEVEBITDA()","")</f>
        <v>9.6202634152000002</v>
      </c>
      <c r="O26" s="932">
        <v>9.31</v>
      </c>
      <c r="P26" s="931"/>
      <c r="Q26" s="933"/>
    </row>
    <row r="27" spans="2:20">
      <c r="B27" s="913" t="s">
        <v>652</v>
      </c>
      <c r="C27" s="929">
        <v>5</v>
      </c>
      <c r="D27" s="929"/>
      <c r="E27" s="929">
        <v>5.0827170255519905</v>
      </c>
      <c r="F27" s="929"/>
      <c r="G27" s="929">
        <v>4.9975879404983772</v>
      </c>
      <c r="H27" s="929"/>
      <c r="N27" s="936"/>
      <c r="O27" s="936">
        <f>AVERAGE(O23:O26)</f>
        <v>6.5024999999999995</v>
      </c>
    </row>
    <row r="28" spans="2:20">
      <c r="B28" s="934" t="s">
        <v>653</v>
      </c>
      <c r="C28" s="935">
        <f>AVERAGE(C26:C27,C23:C24)</f>
        <v>4.5</v>
      </c>
      <c r="D28" s="935"/>
      <c r="E28" s="935">
        <f>AVERAGE(E26:E27,E23:E24)</f>
        <v>4.4618830045919253</v>
      </c>
      <c r="F28" s="935"/>
      <c r="G28" s="935">
        <f>AVERAGE(G26:G27,G23:G24)</f>
        <v>4.3794651268176308</v>
      </c>
      <c r="H28" s="935"/>
    </row>
    <row r="30" spans="2:20">
      <c r="S30" s="913" t="s">
        <v>654</v>
      </c>
      <c r="T30" s="913" t="s">
        <v>655</v>
      </c>
    </row>
    <row r="31" spans="2:20">
      <c r="M31" s="913" t="s">
        <v>420</v>
      </c>
      <c r="N31" s="938">
        <v>4.0897925265099877</v>
      </c>
      <c r="O31" s="938">
        <v>3.1401183663313557</v>
      </c>
      <c r="P31" s="938">
        <v>4.9916063487758446</v>
      </c>
      <c r="Q31" s="938">
        <v>4.8784836910563909</v>
      </c>
      <c r="R31" s="938">
        <v>4.4877405815828295</v>
      </c>
      <c r="S31" s="938">
        <f>AVERAGE(O31:Q31)</f>
        <v>4.3367361353878637</v>
      </c>
      <c r="T31" s="938">
        <f>AVERAGE(N31:R31)</f>
        <v>4.3175483028512822</v>
      </c>
    </row>
    <row r="32" spans="2:20">
      <c r="E32" s="915"/>
      <c r="F32" s="915"/>
      <c r="G32" s="915"/>
      <c r="H32" s="915"/>
      <c r="M32" s="913" t="s">
        <v>649</v>
      </c>
      <c r="N32" s="938">
        <v>3.7651137946329181</v>
      </c>
      <c r="O32" s="938">
        <v>3.6007017914497639</v>
      </c>
      <c r="P32" s="938">
        <v>4.7803953449133481</v>
      </c>
      <c r="Q32" s="938">
        <v>4.1642627728752295</v>
      </c>
      <c r="R32" s="938">
        <v>4.0568966714321473</v>
      </c>
      <c r="S32" s="938">
        <f>AVERAGE(O32:Q32)</f>
        <v>4.18178663641278</v>
      </c>
      <c r="T32" s="938">
        <f>AVERAGE(N32:R32)</f>
        <v>4.0734740750606822</v>
      </c>
    </row>
    <row r="33" spans="5:20">
      <c r="E33" s="915"/>
      <c r="F33" s="915"/>
      <c r="G33" s="915"/>
      <c r="H33" s="915"/>
      <c r="M33" s="913" t="s">
        <v>651</v>
      </c>
      <c r="N33" s="939">
        <v>3.551880703054469</v>
      </c>
      <c r="O33" s="939">
        <v>3.7829214820382711</v>
      </c>
      <c r="P33" s="939">
        <v>4.2481894797094899</v>
      </c>
      <c r="Q33" s="939">
        <v>4.7077657012974443</v>
      </c>
      <c r="R33" s="939">
        <v>4.3554935782012363</v>
      </c>
      <c r="S33" s="938">
        <f>AVERAGE(O33:Q33)</f>
        <v>4.246292221015068</v>
      </c>
      <c r="T33" s="938">
        <f>AVERAGE(N33:R33)</f>
        <v>4.1292501888601816</v>
      </c>
    </row>
    <row r="34" spans="5:20">
      <c r="M34" s="913" t="s">
        <v>652</v>
      </c>
      <c r="N34" s="938">
        <v>4.7565938583237042</v>
      </c>
      <c r="O34" s="938">
        <v>5.12272210589291</v>
      </c>
      <c r="P34" s="938">
        <v>4.912243563265867</v>
      </c>
      <c r="Q34" s="938">
        <v>5.2131854074971944</v>
      </c>
      <c r="R34" s="938">
        <v>4.9831947675122086</v>
      </c>
      <c r="S34" s="938">
        <f>AVERAGE(O34:Q34)</f>
        <v>5.0827170255519905</v>
      </c>
      <c r="T34" s="938">
        <f>AVERAGE(N34:R34)</f>
        <v>4.9975879404983772</v>
      </c>
    </row>
  </sheetData>
  <phoneticPr fontId="0" type="noConversion"/>
  <pageMargins left="0" right="0" top="0" bottom="0" header="0" footer="0"/>
  <pageSetup paperSize="5" orientation="landscape"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5"/>
  <dimension ref="A1:AC45"/>
  <sheetViews>
    <sheetView showGridLines="0" zoomScaleNormal="100" workbookViewId="0">
      <selection activeCell="J9" sqref="J9"/>
    </sheetView>
  </sheetViews>
  <sheetFormatPr defaultRowHeight="12" outlineLevelCol="1"/>
  <cols>
    <col min="1" max="1" width="2.625" customWidth="1"/>
    <col min="2" max="2" width="23.375" bestFit="1" customWidth="1"/>
    <col min="3" max="5" width="7.625" customWidth="1"/>
    <col min="6" max="6" width="14.75" hidden="1" customWidth="1" outlineLevel="1"/>
    <col min="7" max="7" width="2.625" customWidth="1" collapsed="1"/>
    <col min="8" max="9" width="7.625" customWidth="1"/>
    <col min="10" max="10" width="7.625" customWidth="1" outlineLevel="1"/>
    <col min="11" max="11" width="2.625" customWidth="1"/>
    <col min="12" max="12" width="10.875" bestFit="1" customWidth="1"/>
    <col min="13" max="13" width="2.625" customWidth="1"/>
    <col min="14" max="14" width="13.75" hidden="1" customWidth="1" outlineLevel="1"/>
    <col min="15" max="15" width="2.625" hidden="1" customWidth="1" outlineLevel="1"/>
    <col min="16" max="16" width="17.125" hidden="1" customWidth="1" outlineLevel="1"/>
    <col min="17" max="19" width="6.625" hidden="1" customWidth="1" outlineLevel="1"/>
    <col min="20" max="20" width="2.625" hidden="1" customWidth="1" outlineLevel="1"/>
    <col min="21" max="23" width="6.625" hidden="1" customWidth="1" outlineLevel="1"/>
    <col min="24" max="24" width="2.625" hidden="1" customWidth="1" outlineLevel="1"/>
    <col min="25" max="27" width="6.625" hidden="1" customWidth="1" outlineLevel="1"/>
    <col min="28" max="28" width="2.625" hidden="1" customWidth="1" outlineLevel="1"/>
    <col min="29" max="29" width="9" collapsed="1"/>
  </cols>
  <sheetData>
    <row r="1" spans="1:29" ht="13.5" thickBot="1">
      <c r="A1" s="680"/>
      <c r="B1" s="680" t="s">
        <v>420</v>
      </c>
      <c r="C1" s="681"/>
      <c r="D1" s="681"/>
      <c r="E1" s="681"/>
      <c r="F1" s="1841" t="s">
        <v>860</v>
      </c>
      <c r="G1" s="341"/>
      <c r="H1" s="341"/>
      <c r="I1" s="341"/>
      <c r="J1" s="341"/>
      <c r="K1" s="341"/>
      <c r="L1" s="341"/>
      <c r="M1" s="341"/>
      <c r="N1" s="766"/>
      <c r="O1" s="341"/>
      <c r="P1" s="680" t="str">
        <f>B1&amp;" - Old vs. New"</f>
        <v>AEO - Old vs. New</v>
      </c>
      <c r="Q1" s="681"/>
      <c r="R1" s="681"/>
      <c r="S1" s="681"/>
      <c r="T1" s="341"/>
      <c r="U1" s="341"/>
      <c r="V1" s="341"/>
      <c r="W1" s="341"/>
      <c r="X1" s="341"/>
      <c r="Y1" s="341"/>
      <c r="Z1" s="341"/>
      <c r="AA1" s="341"/>
    </row>
    <row r="2" spans="1:29" ht="12.75">
      <c r="A2" s="341"/>
      <c r="B2" s="682"/>
      <c r="C2" s="683" t="s">
        <v>404</v>
      </c>
      <c r="D2" s="683" t="s">
        <v>405</v>
      </c>
      <c r="E2" s="684" t="s">
        <v>406</v>
      </c>
      <c r="F2" s="684" t="s">
        <v>407</v>
      </c>
      <c r="G2" s="341"/>
      <c r="H2" s="685" t="s">
        <v>408</v>
      </c>
      <c r="I2" s="686"/>
      <c r="J2" s="686"/>
      <c r="K2" s="341"/>
      <c r="L2" s="687" t="s">
        <v>409</v>
      </c>
      <c r="M2" s="341"/>
      <c r="N2" s="688" t="s">
        <v>410</v>
      </c>
      <c r="O2" s="341"/>
      <c r="P2" s="689"/>
      <c r="Q2" s="690" t="s">
        <v>411</v>
      </c>
      <c r="R2" s="690" t="s">
        <v>411</v>
      </c>
      <c r="S2" s="690" t="s">
        <v>411</v>
      </c>
      <c r="T2" s="341"/>
      <c r="U2" s="690" t="s">
        <v>412</v>
      </c>
      <c r="V2" s="690" t="s">
        <v>412</v>
      </c>
      <c r="W2" s="690" t="s">
        <v>412</v>
      </c>
      <c r="X2" s="341"/>
      <c r="Y2" s="690" t="s">
        <v>72</v>
      </c>
      <c r="Z2" s="690" t="s">
        <v>72</v>
      </c>
      <c r="AA2" s="690" t="s">
        <v>72</v>
      </c>
    </row>
    <row r="3" spans="1:29" ht="12.75">
      <c r="A3" s="341"/>
      <c r="B3" s="691"/>
      <c r="C3" s="692" t="s">
        <v>866</v>
      </c>
      <c r="D3" s="692" t="s">
        <v>867</v>
      </c>
      <c r="E3" s="693" t="s">
        <v>868</v>
      </c>
      <c r="F3" s="693" t="s">
        <v>859</v>
      </c>
      <c r="G3" s="341"/>
      <c r="H3" s="691" t="str">
        <f>D3</f>
        <v>4Q16A</v>
      </c>
      <c r="I3" s="693" t="str">
        <f>E2&amp;" "&amp;E3</f>
        <v>MS 4Q17E</v>
      </c>
      <c r="J3" s="693" t="s">
        <v>407</v>
      </c>
      <c r="K3" s="341"/>
      <c r="L3" s="694" t="s">
        <v>413</v>
      </c>
      <c r="M3" s="341"/>
      <c r="N3" s="694" t="s">
        <v>414</v>
      </c>
      <c r="O3" s="341"/>
      <c r="P3" s="690"/>
      <c r="Q3" s="690" t="s">
        <v>36</v>
      </c>
      <c r="R3" s="690" t="s">
        <v>137</v>
      </c>
      <c r="S3" s="690" t="s">
        <v>381</v>
      </c>
      <c r="T3" s="341"/>
      <c r="U3" s="690" t="str">
        <f>Q3</f>
        <v>3Q12E</v>
      </c>
      <c r="V3" s="690" t="str">
        <f>R3</f>
        <v>2012E</v>
      </c>
      <c r="W3" s="690" t="str">
        <f>S3</f>
        <v>2013E</v>
      </c>
      <c r="X3" s="341"/>
      <c r="Y3" s="690" t="str">
        <f>U3</f>
        <v>3Q12E</v>
      </c>
      <c r="Z3" s="690" t="str">
        <f>V3</f>
        <v>2012E</v>
      </c>
      <c r="AA3" s="690" t="str">
        <f>W3</f>
        <v>2013E</v>
      </c>
    </row>
    <row r="4" spans="1:29" ht="12.75">
      <c r="A4" s="341"/>
      <c r="B4" s="695" t="s">
        <v>779</v>
      </c>
      <c r="C4" s="839">
        <f>sumry!CS8</f>
        <v>1228.723</v>
      </c>
      <c r="D4" s="839">
        <f>sumry!CN8</f>
        <v>1097.2460000000001</v>
      </c>
      <c r="E4" s="1850">
        <v>1211.7901850613378</v>
      </c>
      <c r="F4" s="1843" t="str">
        <f>_xll.ThomsonONEAddinShim.SpreadsheetFormulas.TF($B$1,"TF.ES.Sales.Mean(period=#1,scale=6)",,F1)</f>
        <v>#NAME?</v>
      </c>
      <c r="G4" s="341"/>
      <c r="H4" s="696">
        <f>IF(ISERROR(C4-D4)=TRUE,"NA",C4-D4)</f>
        <v>131.47699999999986</v>
      </c>
      <c r="I4" s="697">
        <f>IF(ISERROR(C4-E4)=TRUE,"NA",C4-E4)</f>
        <v>16.932814938662204</v>
      </c>
      <c r="J4" s="697" t="str">
        <f>IF(ISERROR(C4-F4)=TRUE,"NA",C4-F4)</f>
        <v>NA</v>
      </c>
      <c r="K4" s="341"/>
      <c r="L4" s="866">
        <f>((C$4*E$26)-(C$4*E$27)-E$10-E$15)*(1-E$32)/E$23-E$22</f>
        <v>8.4059000919151083E-3</v>
      </c>
      <c r="M4" s="341"/>
      <c r="N4" s="698"/>
      <c r="O4" s="341"/>
      <c r="P4" s="699" t="s">
        <v>779</v>
      </c>
      <c r="Q4" s="700"/>
      <c r="R4" s="700"/>
      <c r="S4" s="700"/>
      <c r="T4" s="341"/>
      <c r="U4" s="701">
        <v>840.07846722251463</v>
      </c>
      <c r="V4" s="701">
        <v>3384.190257803918</v>
      </c>
      <c r="W4" s="701">
        <v>3530.2947106317943</v>
      </c>
      <c r="X4" s="341"/>
      <c r="Y4" s="702">
        <f>IF(ISERROR(Q4-U4)=TRUE,"NA",Q4-U4)</f>
        <v>-840.07846722251463</v>
      </c>
      <c r="Z4" s="700">
        <f>IF(ISERROR(R4-V4)=TRUE,"NA",R4-V4)</f>
        <v>-3384.190257803918</v>
      </c>
      <c r="AA4" s="700">
        <f>IF(ISERROR(S4-W4)=TRUE,"NA",S4-W4)</f>
        <v>-3530.2947106317943</v>
      </c>
    </row>
    <row r="5" spans="1:29" ht="12.75">
      <c r="A5" s="341"/>
      <c r="B5" s="695"/>
      <c r="C5" s="703"/>
      <c r="D5" s="703"/>
      <c r="E5" s="1851"/>
      <c r="F5" s="1788"/>
      <c r="G5" s="341"/>
      <c r="H5" s="704"/>
      <c r="I5" s="705"/>
      <c r="J5" s="705"/>
      <c r="K5" s="341"/>
      <c r="L5" s="867"/>
      <c r="M5" s="341"/>
      <c r="N5" s="698"/>
      <c r="O5" s="341"/>
      <c r="P5" s="699"/>
      <c r="Q5" s="707"/>
      <c r="R5" s="707"/>
      <c r="S5" s="707"/>
      <c r="T5" s="341"/>
      <c r="U5" s="708"/>
      <c r="V5" s="708"/>
      <c r="W5" s="708"/>
      <c r="X5" s="341"/>
      <c r="Y5" s="707"/>
      <c r="Z5" s="707"/>
      <c r="AA5" s="707"/>
    </row>
    <row r="6" spans="1:29" ht="12.75">
      <c r="A6" s="341"/>
      <c r="B6" s="695" t="s">
        <v>780</v>
      </c>
      <c r="C6" s="727">
        <f>sumry!CS10</f>
        <v>803.60299999999995</v>
      </c>
      <c r="D6" s="727">
        <f>sumry!CN10</f>
        <v>708.74400000000003</v>
      </c>
      <c r="E6" s="1852">
        <v>787.66362028986953</v>
      </c>
      <c r="F6" s="728" t="e">
        <f>F4-F8</f>
        <v>#VALUE!</v>
      </c>
      <c r="G6" s="341"/>
      <c r="H6" s="710">
        <f>IF(ISERROR(C6-D6)=TRUE,"NA",C6-D6)</f>
        <v>94.858999999999924</v>
      </c>
      <c r="I6" s="711">
        <f>IF(ISERROR(C6-E6)=TRUE,"NA",C6-E6)</f>
        <v>15.939379710130424</v>
      </c>
      <c r="J6" s="711" t="str">
        <f>IF(ISERROR(C6-F6)=TRUE,"NA",C6-F6)</f>
        <v>NA</v>
      </c>
      <c r="K6" s="341"/>
      <c r="L6" s="867"/>
      <c r="M6" s="341"/>
      <c r="N6" s="712"/>
      <c r="O6" s="341"/>
      <c r="P6" s="699" t="s">
        <v>780</v>
      </c>
      <c r="Q6" s="713"/>
      <c r="R6" s="713"/>
      <c r="S6" s="713"/>
      <c r="T6" s="341"/>
      <c r="U6" s="840">
        <v>503.20700186628625</v>
      </c>
      <c r="V6" s="840">
        <v>2077.6433224674961</v>
      </c>
      <c r="W6" s="840">
        <v>2145.7131251220044</v>
      </c>
      <c r="X6" s="341"/>
      <c r="Y6" s="713">
        <f>IF(ISERROR(Q6-U6)=TRUE,"NA",Q6-U6)</f>
        <v>-503.20700186628625</v>
      </c>
      <c r="Z6" s="713">
        <f>IF(ISERROR(R6-V6)=TRUE,"NA",R6-V6)</f>
        <v>-2077.6433224674961</v>
      </c>
      <c r="AA6" s="713">
        <f>IF(ISERROR(S6-W6)=TRUE,"NA",S6-W6)</f>
        <v>-2145.7131251220044</v>
      </c>
      <c r="AC6" s="960"/>
    </row>
    <row r="7" spans="1:29" ht="12.75">
      <c r="A7" s="341"/>
      <c r="B7" s="695"/>
      <c r="C7" s="838"/>
      <c r="D7" s="838"/>
      <c r="E7" s="1853"/>
      <c r="F7" s="1844"/>
      <c r="G7" s="341"/>
      <c r="H7" s="704"/>
      <c r="I7" s="705"/>
      <c r="J7" s="705"/>
      <c r="K7" s="341"/>
      <c r="L7" s="867"/>
      <c r="M7" s="341"/>
      <c r="N7" s="714"/>
      <c r="O7" s="341"/>
      <c r="P7" s="699"/>
      <c r="Q7" s="681"/>
      <c r="R7" s="681"/>
      <c r="S7" s="681"/>
      <c r="T7" s="341"/>
      <c r="U7" s="715"/>
      <c r="V7" s="715"/>
      <c r="W7" s="715"/>
      <c r="X7" s="341"/>
      <c r="Y7" s="681"/>
      <c r="Z7" s="681"/>
      <c r="AA7" s="681"/>
      <c r="AC7" s="960"/>
    </row>
    <row r="8" spans="1:29" ht="12.75">
      <c r="A8" s="341"/>
      <c r="B8" s="695" t="s">
        <v>781</v>
      </c>
      <c r="C8" s="727">
        <f>C4-C6</f>
        <v>425.12</v>
      </c>
      <c r="D8" s="727">
        <f>D4-D6</f>
        <v>388.50200000000007</v>
      </c>
      <c r="E8" s="1852">
        <v>424.12656477146822</v>
      </c>
      <c r="F8" s="1845" t="str">
        <f>_xll.ThomsonONEAddinShim.SpreadsheetFormulas.TF($B$1,"TF.ES.GPM.Mean(period=#1)*TF.ES.Sales.Mean(period=#1,scale=6)",,F$1)</f>
        <v>#NAME?</v>
      </c>
      <c r="G8" s="341"/>
      <c r="H8" s="710">
        <f>IF(ISERROR(C8-D8)=TRUE,"NA",C8-D8)</f>
        <v>36.617999999999938</v>
      </c>
      <c r="I8" s="711">
        <f>IF(ISERROR(C8-E8)=TRUE,"NA",C8-E8)</f>
        <v>0.99343522853178001</v>
      </c>
      <c r="J8" s="711" t="str">
        <f>IF(ISERROR(C8-F8)=TRUE,"NA",C8-F8)</f>
        <v>NA</v>
      </c>
      <c r="K8" s="341"/>
      <c r="L8" s="868">
        <f>(C$8-(C$4*E$27)-E$10-E$15)*(1-E$32)/E$23-(E$22+L$4)</f>
        <v>-1.7875163059838939E-2</v>
      </c>
      <c r="M8" s="341"/>
      <c r="N8" s="712"/>
      <c r="O8" s="341"/>
      <c r="P8" s="699" t="s">
        <v>781</v>
      </c>
      <c r="Q8" s="713"/>
      <c r="R8" s="713"/>
      <c r="S8" s="713"/>
      <c r="T8" s="341"/>
      <c r="U8" s="840">
        <v>336.87146535622838</v>
      </c>
      <c r="V8" s="840">
        <v>1306.5469353364219</v>
      </c>
      <c r="W8" s="840">
        <v>1384.5815855097899</v>
      </c>
      <c r="X8" s="341"/>
      <c r="Y8" s="713">
        <f t="shared" ref="Y8:AA11" si="0">IF(ISERROR(Q8-U8)=TRUE,"NA",Q8-U8)</f>
        <v>-336.87146535622838</v>
      </c>
      <c r="Z8" s="713">
        <f t="shared" si="0"/>
        <v>-1306.5469353364219</v>
      </c>
      <c r="AA8" s="713">
        <f t="shared" si="0"/>
        <v>-1384.5815855097899</v>
      </c>
    </row>
    <row r="9" spans="1:29" ht="12.75">
      <c r="A9" s="341"/>
      <c r="B9" s="695" t="s">
        <v>33</v>
      </c>
      <c r="C9" s="727">
        <f>sumry!CS13</f>
        <v>263.84300000000002</v>
      </c>
      <c r="D9" s="727">
        <f>sumry!CN13</f>
        <v>242.059</v>
      </c>
      <c r="E9" s="1852">
        <v>258.11130941806493</v>
      </c>
      <c r="F9" s="1845" t="e">
        <f>F11-F10</f>
        <v>#VALUE!</v>
      </c>
      <c r="G9" s="341"/>
      <c r="H9" s="710"/>
      <c r="I9" s="711"/>
      <c r="J9" s="711"/>
      <c r="K9" s="341"/>
      <c r="L9" s="866">
        <f>(C$8-C$9-E$10-E$15)*(1-E$32)/E$23-(E$22+L$4+L$8)</f>
        <v>-7.70005156593212E-3</v>
      </c>
      <c r="M9" s="341"/>
      <c r="N9" s="712"/>
      <c r="O9" s="341"/>
      <c r="P9" s="699"/>
      <c r="Q9" s="713"/>
      <c r="R9" s="713"/>
      <c r="S9" s="713"/>
      <c r="T9" s="341"/>
      <c r="U9" s="840"/>
      <c r="V9" s="840"/>
      <c r="W9" s="840"/>
      <c r="X9" s="341"/>
      <c r="Y9" s="713"/>
      <c r="Z9" s="713"/>
      <c r="AA9" s="713"/>
    </row>
    <row r="10" spans="1:29" ht="12.75">
      <c r="A10" s="341"/>
      <c r="B10" s="695" t="s">
        <v>689</v>
      </c>
      <c r="C10" s="727">
        <f>sumry!CS15</f>
        <v>43.542999999999999</v>
      </c>
      <c r="D10" s="727">
        <f>sumry!CN15</f>
        <v>39.402999999999999</v>
      </c>
      <c r="E10" s="1852">
        <v>44.230341754738831</v>
      </c>
      <c r="F10" s="1852">
        <v>40.5</v>
      </c>
      <c r="G10" s="341"/>
      <c r="H10" s="710"/>
      <c r="I10" s="711"/>
      <c r="J10" s="711"/>
      <c r="K10" s="341"/>
      <c r="L10" s="869">
        <f>(C$8-C$9-C$10-E$15)*(1-E$32)/E$23-(E$22+L$4+L$8+L$9)</f>
        <v>2.4906185714299034E-3</v>
      </c>
      <c r="M10" s="341"/>
      <c r="N10" s="719"/>
      <c r="O10" s="341"/>
      <c r="P10" s="699"/>
      <c r="Q10" s="713"/>
      <c r="R10" s="713"/>
      <c r="S10" s="713"/>
      <c r="T10" s="341"/>
      <c r="U10" s="840"/>
      <c r="V10" s="840"/>
      <c r="W10" s="840"/>
      <c r="X10" s="341"/>
      <c r="Y10" s="713"/>
      <c r="Z10" s="713"/>
      <c r="AA10" s="713"/>
    </row>
    <row r="11" spans="1:29" ht="13.5" thickBot="1">
      <c r="A11" s="341"/>
      <c r="B11" s="695" t="s">
        <v>384</v>
      </c>
      <c r="C11" s="727">
        <f>C10+C9</f>
        <v>307.38600000000002</v>
      </c>
      <c r="D11" s="727">
        <f>D10+D9</f>
        <v>281.46199999999999</v>
      </c>
      <c r="E11" s="1852">
        <v>302.34165117280378</v>
      </c>
      <c r="F11" s="1846" t="e">
        <f>F8-F13</f>
        <v>#VALUE!</v>
      </c>
      <c r="G11" s="341"/>
      <c r="H11" s="710">
        <f>IF(ISERROR(C11-D11)=TRUE,"NA",C11-D11)</f>
        <v>25.924000000000035</v>
      </c>
      <c r="I11" s="711">
        <f>IF(ISERROR(C11-E11)=TRUE,"NA",C11-E11)</f>
        <v>5.0443488271962451</v>
      </c>
      <c r="J11" s="711" t="str">
        <f>IF(ISERROR(C11-#REF!)=TRUE,"NA",C11-#REF!)</f>
        <v>NA</v>
      </c>
      <c r="K11" s="341"/>
      <c r="L11" s="870">
        <f>(C$8-C$11-E$15)*(1-E$32)/E$23-(E$22+L$4+L$8)</f>
        <v>-5.2094329945022166E-3</v>
      </c>
      <c r="M11" s="341"/>
      <c r="N11" s="698"/>
      <c r="O11" s="341"/>
      <c r="P11" s="699" t="s">
        <v>782</v>
      </c>
      <c r="Q11" s="713"/>
      <c r="R11" s="713"/>
      <c r="S11" s="713"/>
      <c r="T11" s="341"/>
      <c r="U11" s="840">
        <v>228.32229070956814</v>
      </c>
      <c r="V11" s="840">
        <v>902.5362715985591</v>
      </c>
      <c r="W11" s="840">
        <v>942.78196007297743</v>
      </c>
      <c r="X11" s="341"/>
      <c r="Y11" s="713">
        <f t="shared" si="0"/>
        <v>-228.32229070956814</v>
      </c>
      <c r="Z11" s="713">
        <f t="shared" si="0"/>
        <v>-902.5362715985591</v>
      </c>
      <c r="AA11" s="713">
        <f t="shared" si="0"/>
        <v>-942.78196007297743</v>
      </c>
    </row>
    <row r="12" spans="1:29" ht="13.5" thickTop="1">
      <c r="A12" s="341"/>
      <c r="B12" s="695"/>
      <c r="C12" s="848"/>
      <c r="D12" s="848"/>
      <c r="E12" s="1854"/>
      <c r="F12" s="728"/>
      <c r="G12" s="341"/>
      <c r="H12" s="704"/>
      <c r="I12" s="705"/>
      <c r="J12" s="705"/>
      <c r="K12" s="341"/>
      <c r="L12" s="868" t="s">
        <v>712</v>
      </c>
      <c r="M12" s="341"/>
      <c r="N12" s="719"/>
      <c r="O12" s="341"/>
      <c r="P12" s="699"/>
      <c r="Q12" s="713"/>
      <c r="R12" s="713"/>
      <c r="S12" s="713"/>
      <c r="T12" s="341"/>
      <c r="U12" s="840"/>
      <c r="V12" s="840"/>
      <c r="W12" s="840"/>
      <c r="X12" s="341"/>
      <c r="Y12" s="713"/>
      <c r="Z12" s="713"/>
      <c r="AA12" s="713"/>
    </row>
    <row r="13" spans="1:29" ht="12.75">
      <c r="A13" s="341"/>
      <c r="B13" s="695" t="s">
        <v>784</v>
      </c>
      <c r="C13" s="727">
        <f>C8-C11</f>
        <v>117.73399999999998</v>
      </c>
      <c r="D13" s="727">
        <f>D8-D11</f>
        <v>107.04000000000008</v>
      </c>
      <c r="E13" s="1852">
        <v>121.78491359866445</v>
      </c>
      <c r="F13" s="1847" t="str">
        <f>_xll.ThomsonONEAddinShim.SpreadsheetFormulas.TF($B$1,"TF.ES.EBIT.Mean(period=#1,scale=6)",,F$1)</f>
        <v>#NAME?</v>
      </c>
      <c r="G13" s="341"/>
      <c r="H13" s="710">
        <f>IF(ISERROR(C13-D13)=TRUE,"NA",C13-D13)</f>
        <v>10.693999999999903</v>
      </c>
      <c r="I13" s="711">
        <f>IF(ISERROR(C13-E13)=TRUE,"NA",C13-E13)</f>
        <v>-4.0509135986644651</v>
      </c>
      <c r="J13" s="711" t="str">
        <f>IF(ISERROR(C13-F13)=TRUE,"NA",C13-F13)</f>
        <v>NA</v>
      </c>
      <c r="K13" s="341"/>
      <c r="L13" s="871">
        <f>(C$13-E$15)*(1-E$32)/E$23-(E$22)</f>
        <v>-1.4678695962426047E-2</v>
      </c>
      <c r="M13" s="341"/>
      <c r="N13" s="698"/>
      <c r="O13" s="341"/>
      <c r="P13" s="699" t="s">
        <v>784</v>
      </c>
      <c r="Q13" s="713"/>
      <c r="R13" s="713"/>
      <c r="S13" s="713"/>
      <c r="T13" s="341"/>
      <c r="U13" s="840">
        <v>108.54917464666025</v>
      </c>
      <c r="V13" s="840">
        <v>404.01066373786284</v>
      </c>
      <c r="W13" s="840">
        <v>441.79962543681239</v>
      </c>
      <c r="X13" s="341"/>
      <c r="Y13" s="713">
        <f>IF(ISERROR(Q13-U13)=TRUE,"NA",Q13-U13)</f>
        <v>-108.54917464666025</v>
      </c>
      <c r="Z13" s="713">
        <f>IF(ISERROR(R13-V13)=TRUE,"NA",R13-V13)</f>
        <v>-404.01066373786284</v>
      </c>
      <c r="AA13" s="713">
        <f>IF(ISERROR(S13-W13)=TRUE,"NA",S13-W13)</f>
        <v>-441.79962543681239</v>
      </c>
    </row>
    <row r="14" spans="1:29" ht="12.75">
      <c r="A14" s="341"/>
      <c r="B14" s="695"/>
      <c r="C14" s="727"/>
      <c r="D14" s="727"/>
      <c r="E14" s="1852"/>
      <c r="F14" s="1848"/>
      <c r="G14" s="341"/>
      <c r="H14" s="710"/>
      <c r="I14" s="711"/>
      <c r="J14" s="711"/>
      <c r="K14" s="341"/>
      <c r="L14" s="867"/>
      <c r="M14" s="341"/>
      <c r="N14" s="719"/>
      <c r="O14" s="341"/>
      <c r="P14" s="699"/>
      <c r="Q14" s="713"/>
      <c r="R14" s="713"/>
      <c r="S14" s="713"/>
      <c r="T14" s="341"/>
      <c r="U14" s="840"/>
      <c r="V14" s="840"/>
      <c r="W14" s="840"/>
      <c r="X14" s="341"/>
      <c r="Y14" s="713"/>
      <c r="Z14" s="713"/>
      <c r="AA14" s="713"/>
    </row>
    <row r="15" spans="1:29" ht="12.75">
      <c r="A15" s="341"/>
      <c r="B15" s="695" t="s">
        <v>416</v>
      </c>
      <c r="C15" s="727">
        <f>sumry!CS19</f>
        <v>-2.6120000000000001</v>
      </c>
      <c r="D15" s="727">
        <f>sumry!CN19</f>
        <v>-1.38</v>
      </c>
      <c r="E15" s="1852">
        <v>0</v>
      </c>
      <c r="F15" s="728" t="e">
        <f>F16-F13</f>
        <v>#VALUE!</v>
      </c>
      <c r="G15" s="341"/>
      <c r="H15" s="710">
        <f>IF(ISERROR(C15-D15)=TRUE,"NA",C15-D15)</f>
        <v>-1.2320000000000002</v>
      </c>
      <c r="I15" s="711">
        <f>IF(ISERROR(C15-E15)=TRUE,"NA",C15-E15)</f>
        <v>-2.6120000000000001</v>
      </c>
      <c r="J15" s="711" t="str">
        <f>IF(ISERROR(C15-F15)=TRUE,"NA",C15-F15)</f>
        <v>NA</v>
      </c>
      <c r="K15" s="341"/>
      <c r="L15" s="866">
        <f>(C$13-C$15)*(1-E$32)/E$23-(E$22+L13)</f>
        <v>9.4647177531747562E-3</v>
      </c>
      <c r="M15" s="341"/>
      <c r="N15" s="716"/>
      <c r="O15" s="341"/>
      <c r="P15" s="699" t="s">
        <v>417</v>
      </c>
      <c r="Q15" s="713"/>
      <c r="R15" s="713"/>
      <c r="S15" s="713"/>
      <c r="T15" s="341"/>
      <c r="U15" s="840">
        <v>-0.5</v>
      </c>
      <c r="V15" s="840">
        <v>-6.0069999999999997</v>
      </c>
      <c r="W15" s="840">
        <v>-6.1780157436056404</v>
      </c>
      <c r="X15" s="341"/>
      <c r="Y15" s="713">
        <f t="shared" ref="Y15:AA16" si="1">IF(ISERROR(Q15-U15)=TRUE,"NA",Q15-U15)</f>
        <v>0.5</v>
      </c>
      <c r="Z15" s="713">
        <f t="shared" si="1"/>
        <v>6.0069999999999997</v>
      </c>
      <c r="AA15" s="713">
        <f t="shared" si="1"/>
        <v>6.1780157436056404</v>
      </c>
    </row>
    <row r="16" spans="1:29" ht="12.75">
      <c r="A16" s="341"/>
      <c r="B16" s="695" t="s">
        <v>785</v>
      </c>
      <c r="C16" s="727">
        <f>C13-C15</f>
        <v>120.34599999999998</v>
      </c>
      <c r="D16" s="727">
        <f>D13-D15</f>
        <v>108.42000000000007</v>
      </c>
      <c r="E16" s="1852">
        <v>121.78491359866445</v>
      </c>
      <c r="F16" s="1847" t="str">
        <f>_xll.ThomsonONEAddinShim.SpreadsheetFormulas.TF($B$1,"TF.ES.PBT.Mean(period=#1,scale=6)",,F$1)</f>
        <v>#NAME?</v>
      </c>
      <c r="G16" s="341"/>
      <c r="H16" s="710">
        <f>IF(ISERROR(C16-D16)=TRUE,"NA",C16-D16)</f>
        <v>11.925999999999902</v>
      </c>
      <c r="I16" s="711">
        <f>IF(ISERROR(C16-E16)=TRUE,"NA",C16-E16)</f>
        <v>-1.4389135986644703</v>
      </c>
      <c r="J16" s="711" t="str">
        <f>IF(ISERROR(C16-F16)=TRUE,"NA",C16-F16)</f>
        <v>NA</v>
      </c>
      <c r="K16" s="341"/>
      <c r="L16" s="867"/>
      <c r="M16" s="341"/>
      <c r="N16" s="698"/>
      <c r="O16" s="341"/>
      <c r="P16" s="699" t="s">
        <v>785</v>
      </c>
      <c r="Q16" s="713"/>
      <c r="R16" s="713"/>
      <c r="S16" s="713"/>
      <c r="T16" s="341"/>
      <c r="U16" s="840">
        <v>109.04917464666025</v>
      </c>
      <c r="V16" s="840">
        <v>410.01766373786285</v>
      </c>
      <c r="W16" s="840">
        <v>447.977641180418</v>
      </c>
      <c r="X16" s="341"/>
      <c r="Y16" s="713">
        <f t="shared" si="1"/>
        <v>-109.04917464666025</v>
      </c>
      <c r="Z16" s="713">
        <f t="shared" si="1"/>
        <v>-410.01766373786285</v>
      </c>
      <c r="AA16" s="713">
        <f t="shared" si="1"/>
        <v>-447.977641180418</v>
      </c>
    </row>
    <row r="17" spans="1:27" ht="12.75">
      <c r="A17" s="341"/>
      <c r="B17" s="695"/>
      <c r="C17" s="727"/>
      <c r="D17" s="727"/>
      <c r="E17" s="1852"/>
      <c r="F17" s="728"/>
      <c r="G17" s="341"/>
      <c r="H17" s="710"/>
      <c r="I17" s="711"/>
      <c r="J17" s="711"/>
      <c r="K17" s="341"/>
      <c r="L17" s="867" t="s">
        <v>194</v>
      </c>
      <c r="M17" s="341"/>
      <c r="N17" s="719"/>
      <c r="O17" s="341"/>
      <c r="P17" s="699"/>
      <c r="Q17" s="717"/>
      <c r="R17" s="717"/>
      <c r="S17" s="717"/>
      <c r="T17" s="341"/>
      <c r="U17" s="718"/>
      <c r="V17" s="718"/>
      <c r="W17" s="718"/>
      <c r="X17" s="341"/>
      <c r="Y17" s="717"/>
      <c r="Z17" s="717"/>
      <c r="AA17" s="717"/>
    </row>
    <row r="18" spans="1:27" ht="12.75">
      <c r="A18" s="341"/>
      <c r="B18" s="695" t="s">
        <v>786</v>
      </c>
      <c r="C18" s="727">
        <f>sumry!CS22</f>
        <v>41.103000000000002</v>
      </c>
      <c r="D18" s="727">
        <f>sumry!CN22</f>
        <v>35.722000000000001</v>
      </c>
      <c r="E18" s="1852">
        <v>42.62471975953256</v>
      </c>
      <c r="F18" s="728" t="e">
        <f>F16-F20</f>
        <v>#VALUE!</v>
      </c>
      <c r="G18" s="341"/>
      <c r="H18" s="710">
        <f>IF(ISERROR(C18-D18)=TRUE,"NA",C18-D18)</f>
        <v>5.3810000000000002</v>
      </c>
      <c r="I18" s="711">
        <f>IF(ISERROR(C18-E18)=TRUE,"NA",C18-E18)</f>
        <v>-1.5217197595325587</v>
      </c>
      <c r="J18" s="711" t="str">
        <f>IF(ISERROR(C18-F18)=TRUE,"NA",C18-F18)</f>
        <v>NA</v>
      </c>
      <c r="K18" s="341"/>
      <c r="L18" s="868">
        <f>(C$13-C$15-C18)/E$23-(E$22+L$13+L$15)</f>
        <v>5.6755973286059525E-3</v>
      </c>
      <c r="M18" s="341"/>
      <c r="N18" s="698"/>
      <c r="O18" s="341"/>
      <c r="P18" s="699" t="s">
        <v>786</v>
      </c>
      <c r="Q18" s="713"/>
      <c r="R18" s="713"/>
      <c r="S18" s="713"/>
      <c r="T18" s="341"/>
      <c r="U18" s="840">
        <v>41.983932238964194</v>
      </c>
      <c r="V18" s="840">
        <v>155.2003537813867</v>
      </c>
      <c r="W18" s="840">
        <v>169.1115595456078</v>
      </c>
      <c r="X18" s="341"/>
      <c r="Y18" s="713">
        <f>IF(ISERROR(Q18-U18)=TRUE,"NA",Q18-U18)</f>
        <v>-41.983932238964194</v>
      </c>
      <c r="Z18" s="713">
        <f>IF(ISERROR(R18-V18)=TRUE,"NA",R18-V18)</f>
        <v>-155.2003537813867</v>
      </c>
      <c r="AA18" s="713">
        <f>IF(ISERROR(S18-W18)=TRUE,"NA",S18-W18)</f>
        <v>-169.1115595456078</v>
      </c>
    </row>
    <row r="19" spans="1:27" ht="12.75">
      <c r="A19" s="341"/>
      <c r="B19" s="695"/>
      <c r="C19" s="727"/>
      <c r="D19" s="727"/>
      <c r="E19" s="1852"/>
      <c r="F19" s="728"/>
      <c r="G19" s="341"/>
      <c r="H19" s="710"/>
      <c r="I19" s="711"/>
      <c r="J19" s="711"/>
      <c r="K19" s="341"/>
      <c r="L19" s="867"/>
      <c r="M19" s="341"/>
      <c r="N19" s="719"/>
      <c r="O19" s="341"/>
      <c r="P19" s="699"/>
      <c r="Q19" s="713"/>
      <c r="R19" s="713"/>
      <c r="S19" s="713"/>
      <c r="T19" s="341"/>
      <c r="U19" s="840"/>
      <c r="V19" s="840"/>
      <c r="W19" s="840"/>
      <c r="X19" s="341"/>
      <c r="Y19" s="713"/>
      <c r="Z19" s="713"/>
      <c r="AA19" s="713"/>
    </row>
    <row r="20" spans="1:27" ht="12.75">
      <c r="A20" s="341"/>
      <c r="B20" s="695" t="s">
        <v>418</v>
      </c>
      <c r="C20" s="727">
        <f>C16-C18</f>
        <v>79.242999999999967</v>
      </c>
      <c r="D20" s="727">
        <f>D16-D18</f>
        <v>72.698000000000064</v>
      </c>
      <c r="E20" s="1852">
        <v>79.160193839131892</v>
      </c>
      <c r="F20" s="1846" t="str">
        <f>_xll.ThomsonONEAddinShim.SpreadsheetFormulas.TF($B$1,"TF.ES.NetInc.Mean(period=#1,scale=6)",,F$1)</f>
        <v>#NAME?</v>
      </c>
      <c r="G20" s="341"/>
      <c r="H20" s="710">
        <f>IF(ISERROR(C20-D20)=TRUE,"NA",C20-D20)</f>
        <v>6.5449999999999022</v>
      </c>
      <c r="I20" s="711">
        <f>IF(ISERROR(C20-E20)=TRUE,"NA",C20-E20)</f>
        <v>8.280616086807413E-2</v>
      </c>
      <c r="J20" s="711" t="str">
        <f>IF(ISERROR(C20-F20)=TRUE,"NA",C20-F20)</f>
        <v>NA</v>
      </c>
      <c r="K20" s="341"/>
      <c r="L20" s="867"/>
      <c r="M20" s="341"/>
      <c r="N20" s="716"/>
      <c r="O20" s="341"/>
      <c r="P20" s="699" t="s">
        <v>418</v>
      </c>
      <c r="Q20" s="713"/>
      <c r="R20" s="713"/>
      <c r="S20" s="713"/>
      <c r="T20" s="341"/>
      <c r="U20" s="840">
        <v>67.065242407696047</v>
      </c>
      <c r="V20" s="840">
        <v>254.81730995647615</v>
      </c>
      <c r="W20" s="840">
        <v>278.8660816348102</v>
      </c>
      <c r="X20" s="341"/>
      <c r="Y20" s="713">
        <f>IF(ISERROR(Q20-U20)=TRUE,"NA",Q20-U20)</f>
        <v>-67.065242407696047</v>
      </c>
      <c r="Z20" s="713">
        <f>IF(ISERROR(R20-V20)=TRUE,"NA",R20-V20)</f>
        <v>-254.81730995647615</v>
      </c>
      <c r="AA20" s="713">
        <f>IF(ISERROR(S20-W20)=TRUE,"NA",S20-W20)</f>
        <v>-278.8660816348102</v>
      </c>
    </row>
    <row r="21" spans="1:27" ht="12.75">
      <c r="A21" s="341"/>
      <c r="B21" s="695"/>
      <c r="C21" s="709"/>
      <c r="D21" s="709"/>
      <c r="E21" s="1855"/>
      <c r="F21" s="1845"/>
      <c r="G21" s="341"/>
      <c r="H21" s="696"/>
      <c r="I21" s="697"/>
      <c r="J21" s="697"/>
      <c r="K21" s="341"/>
      <c r="L21" s="867"/>
      <c r="M21" s="341"/>
      <c r="N21" s="716"/>
      <c r="O21" s="341"/>
      <c r="P21" s="699"/>
      <c r="Q21" s="713"/>
      <c r="R21" s="713"/>
      <c r="S21" s="713"/>
      <c r="T21" s="341"/>
      <c r="U21" s="840"/>
      <c r="V21" s="840"/>
      <c r="W21" s="840"/>
      <c r="X21" s="341"/>
      <c r="Y21" s="713"/>
      <c r="Z21" s="713"/>
      <c r="AA21" s="713"/>
    </row>
    <row r="22" spans="1:27" ht="12.75">
      <c r="A22" s="341"/>
      <c r="B22" s="695" t="s">
        <v>0</v>
      </c>
      <c r="C22" s="720">
        <f>C20/C23</f>
        <v>0.4397771229098334</v>
      </c>
      <c r="D22" s="720">
        <f>D20/D23</f>
        <v>0.39284749316415785</v>
      </c>
      <c r="E22" s="1856">
        <v>0.44129396393803105</v>
      </c>
      <c r="F22" s="1849" t="str">
        <f>_xll.ThomsonONEAddinShim.SpreadsheetFormulas.TF($B$1,"TF.ES.EPS.Mean(period=#1)",,F$1)</f>
        <v>#NAME?</v>
      </c>
      <c r="G22" s="341"/>
      <c r="H22" s="721">
        <f>IF(ISERROR(C22-D22)=TRUE,"NA",C22-D22)</f>
        <v>4.692962974567555E-2</v>
      </c>
      <c r="I22" s="722">
        <f>IF(ISERROR(C22-E22)=TRUE,"NA",C22-E22)</f>
        <v>-1.5168410281976574E-3</v>
      </c>
      <c r="J22" s="722" t="str">
        <f>IF(ISERROR(C22-F22)=TRUE,"NA",C22-F22)</f>
        <v>NA</v>
      </c>
      <c r="K22" s="341"/>
      <c r="L22" s="868">
        <f>L13+L15+L18</f>
        <v>4.6161911935466149E-4</v>
      </c>
      <c r="M22" s="341"/>
      <c r="N22" s="716"/>
      <c r="O22" s="341"/>
      <c r="P22" s="699" t="s">
        <v>0</v>
      </c>
      <c r="Q22" s="723"/>
      <c r="R22" s="723"/>
      <c r="S22" s="723"/>
      <c r="T22" s="341"/>
      <c r="U22" s="724">
        <v>0.33999778155707444</v>
      </c>
      <c r="V22" s="724">
        <v>1.2918363816664782</v>
      </c>
      <c r="W22" s="724">
        <v>1.4505236961634218</v>
      </c>
      <c r="X22" s="341"/>
      <c r="Y22" s="723">
        <f t="shared" ref="Y22:AA23" si="2">IF(ISERROR(Q22-U22)=TRUE,"NA",Q22-U22)</f>
        <v>-0.33999778155707444</v>
      </c>
      <c r="Z22" s="723">
        <f t="shared" si="2"/>
        <v>-1.2918363816664782</v>
      </c>
      <c r="AA22" s="723">
        <f t="shared" si="2"/>
        <v>-1.4505236961634218</v>
      </c>
    </row>
    <row r="23" spans="1:27" ht="12.75">
      <c r="A23" s="341"/>
      <c r="B23" s="695" t="s">
        <v>1</v>
      </c>
      <c r="C23" s="727">
        <f>sumry!CS27</f>
        <v>180.18899999999999</v>
      </c>
      <c r="D23" s="727">
        <f>sumry!CN27</f>
        <v>185.054</v>
      </c>
      <c r="E23" s="1852">
        <v>179.38200000000001</v>
      </c>
      <c r="F23" s="728" t="e">
        <f>F20/F22</f>
        <v>#VALUE!</v>
      </c>
      <c r="G23" s="341"/>
      <c r="H23" s="710">
        <f>IF(ISERROR(C23-D23)=TRUE,"NA",C23-D23)</f>
        <v>-4.8650000000000091</v>
      </c>
      <c r="I23" s="725">
        <f>IF(ISERROR(C23-E23)=TRUE,"NA",C23-E23)</f>
        <v>0.80699999999998795</v>
      </c>
      <c r="J23" s="725" t="str">
        <f>IF(ISERROR(C23-F23)=TRUE,"NA",C23-F23)</f>
        <v>NA</v>
      </c>
      <c r="K23" s="341"/>
      <c r="L23" s="866">
        <f>-C20/E23+C20/C23</f>
        <v>-1.9784601475523189E-3</v>
      </c>
      <c r="M23" s="341"/>
      <c r="N23" s="716"/>
      <c r="O23" s="341"/>
      <c r="P23" s="699" t="s">
        <v>1</v>
      </c>
      <c r="Q23" s="713"/>
      <c r="R23" s="713"/>
      <c r="S23" s="713"/>
      <c r="T23" s="341"/>
      <c r="U23" s="840">
        <v>197.25200000000001</v>
      </c>
      <c r="V23" s="840">
        <v>197.25200000000001</v>
      </c>
      <c r="W23" s="840">
        <v>192.25200000000001</v>
      </c>
      <c r="X23" s="341"/>
      <c r="Y23" s="713">
        <f t="shared" si="2"/>
        <v>-197.25200000000001</v>
      </c>
      <c r="Z23" s="713">
        <f t="shared" si="2"/>
        <v>-197.25200000000001</v>
      </c>
      <c r="AA23" s="713">
        <f t="shared" si="2"/>
        <v>-192.25200000000001</v>
      </c>
    </row>
    <row r="24" spans="1:27" ht="12.75">
      <c r="A24" s="341"/>
      <c r="B24" s="695"/>
      <c r="C24" s="846"/>
      <c r="D24" s="846"/>
      <c r="E24" s="1855"/>
      <c r="F24" s="1845"/>
      <c r="G24" s="341"/>
      <c r="H24" s="710"/>
      <c r="I24" s="711"/>
      <c r="J24" s="711"/>
      <c r="K24" s="341"/>
      <c r="L24" s="706"/>
      <c r="M24" s="341"/>
      <c r="N24" s="716"/>
      <c r="O24" s="341"/>
      <c r="P24" s="699"/>
      <c r="Q24" s="713"/>
      <c r="R24" s="713"/>
      <c r="S24" s="713"/>
      <c r="T24" s="341"/>
      <c r="U24" s="840"/>
      <c r="V24" s="840"/>
      <c r="W24" s="840"/>
      <c r="X24" s="341"/>
      <c r="Y24" s="713"/>
      <c r="Z24" s="713"/>
      <c r="AA24" s="713"/>
    </row>
    <row r="25" spans="1:27" ht="12.75">
      <c r="A25" s="341"/>
      <c r="B25" s="726" t="s">
        <v>3</v>
      </c>
      <c r="C25" s="727"/>
      <c r="D25" s="727"/>
      <c r="E25" s="1857"/>
      <c r="F25" s="728"/>
      <c r="G25" s="341"/>
      <c r="H25" s="729"/>
      <c r="I25" s="728"/>
      <c r="J25" s="728"/>
      <c r="K25" s="341"/>
      <c r="L25" s="706"/>
      <c r="M25" s="341"/>
      <c r="N25" s="698" t="s">
        <v>421</v>
      </c>
      <c r="O25" s="341"/>
      <c r="P25" s="730" t="s">
        <v>3</v>
      </c>
      <c r="Q25" s="731"/>
      <c r="R25" s="731"/>
      <c r="S25" s="731"/>
      <c r="T25" s="341"/>
      <c r="U25" s="732"/>
      <c r="V25" s="732"/>
      <c r="W25" s="732"/>
      <c r="X25" s="341"/>
      <c r="Y25" s="731"/>
      <c r="Z25" s="731"/>
      <c r="AA25" s="731"/>
    </row>
    <row r="26" spans="1:27" ht="12.75">
      <c r="A26" s="341"/>
      <c r="B26" s="695" t="s">
        <v>4</v>
      </c>
      <c r="C26" s="703">
        <f>C8/C4</f>
        <v>0.34598522205574406</v>
      </c>
      <c r="D26" s="703">
        <f>D8/D4</f>
        <v>0.35407009913911741</v>
      </c>
      <c r="E26" s="1851">
        <v>0.35000000000000003</v>
      </c>
      <c r="F26" s="734" t="e">
        <f>F8/F4</f>
        <v>#VALUE!</v>
      </c>
      <c r="G26" s="341"/>
      <c r="H26" s="704">
        <f t="shared" ref="H26:H33" si="3">IF(ISERROR((C26-D26)*10000)=TRUE,"NA",(C26-D26)*10000)</f>
        <v>-80.848770833733539</v>
      </c>
      <c r="I26" s="705">
        <f t="shared" ref="I26:I33" si="4">IF(ISERROR((C26-E26)*10000)=TRUE,"NA",(C26-E26)*10000)</f>
        <v>-40.147779442559759</v>
      </c>
      <c r="J26" s="705" t="str">
        <f>IF(ISERROR((C26-F26)*10000)=TRUE,"NA",(C26-F26)*10000)</f>
        <v>NA</v>
      </c>
      <c r="K26" s="341"/>
      <c r="L26" s="706"/>
      <c r="M26" s="341"/>
      <c r="N26" s="698" t="s">
        <v>415</v>
      </c>
      <c r="O26" s="341"/>
      <c r="P26" s="699" t="s">
        <v>4</v>
      </c>
      <c r="Q26" s="707"/>
      <c r="R26" s="707"/>
      <c r="S26" s="707"/>
      <c r="T26" s="341"/>
      <c r="U26" s="708">
        <v>0.40100000000000002</v>
      </c>
      <c r="V26" s="708">
        <v>0.38607372393544787</v>
      </c>
      <c r="W26" s="708">
        <v>0.39220000000000005</v>
      </c>
      <c r="X26" s="341"/>
      <c r="Y26" s="733">
        <f t="shared" ref="Y26:AA33" si="5">IF(ISERROR((Q26-U26)*10000)=TRUE,"NA",(Q26-U26)*10000)</f>
        <v>-4010.0000000000005</v>
      </c>
      <c r="Z26" s="733">
        <f t="shared" si="5"/>
        <v>-3860.7372393544788</v>
      </c>
      <c r="AA26" s="733">
        <f t="shared" si="5"/>
        <v>-3922.0000000000005</v>
      </c>
    </row>
    <row r="27" spans="1:27" ht="12.75">
      <c r="A27" s="341"/>
      <c r="B27" s="695" t="s">
        <v>33</v>
      </c>
      <c r="C27" s="847">
        <f>C9/C$4</f>
        <v>0.21472943861228286</v>
      </c>
      <c r="D27" s="847">
        <f>D9/D$4</f>
        <v>0.22060595345073025</v>
      </c>
      <c r="E27" s="1858">
        <v>0.21299999999999999</v>
      </c>
      <c r="F27" s="1842" t="e">
        <f>F9/F$4</f>
        <v>#VALUE!</v>
      </c>
      <c r="G27" s="341"/>
      <c r="H27" s="704">
        <f>IF(ISERROR((C27-D27)*10000)=TRUE,"NA",(C27-D27)*10000)</f>
        <v>-58.765148384473939</v>
      </c>
      <c r="I27" s="705">
        <f t="shared" si="4"/>
        <v>17.29438612282863</v>
      </c>
      <c r="J27" s="705" t="str">
        <f t="shared" ref="J27:J33" si="6">IF(ISERROR((C27-F27)*10000)=TRUE,"NA",(C27-F27)*10000)</f>
        <v>NA</v>
      </c>
      <c r="K27" s="341"/>
      <c r="L27" s="706"/>
      <c r="M27" s="341"/>
      <c r="N27" s="712" t="s">
        <v>544</v>
      </c>
      <c r="O27" s="341"/>
      <c r="P27" s="699"/>
      <c r="Q27" s="707"/>
      <c r="R27" s="707"/>
      <c r="S27" s="707"/>
      <c r="T27" s="341"/>
      <c r="U27" s="708"/>
      <c r="V27" s="708"/>
      <c r="W27" s="708"/>
      <c r="X27" s="341"/>
      <c r="Y27" s="733"/>
      <c r="Z27" s="733"/>
      <c r="AA27" s="733"/>
    </row>
    <row r="28" spans="1:27" ht="12.75">
      <c r="A28" s="341"/>
      <c r="B28" s="695" t="s">
        <v>689</v>
      </c>
      <c r="C28" s="703">
        <f>C10/C$4</f>
        <v>3.5437604732718439E-2</v>
      </c>
      <c r="D28" s="703">
        <f>D10/D$4</f>
        <v>3.5910816717490877E-2</v>
      </c>
      <c r="E28" s="1851">
        <v>3.6500000000000005E-2</v>
      </c>
      <c r="F28" s="734" t="e">
        <f>F10/F$4</f>
        <v>#VALUE!</v>
      </c>
      <c r="G28" s="341"/>
      <c r="H28" s="704">
        <f>IF(ISERROR((C28-D28)*10000)=TRUE,"NA",(C28-D28)*10000)</f>
        <v>-4.732119847724384</v>
      </c>
      <c r="I28" s="705">
        <f t="shared" si="4"/>
        <v>-10.623952672815657</v>
      </c>
      <c r="J28" s="705" t="str">
        <f t="shared" si="6"/>
        <v>NA</v>
      </c>
      <c r="K28" s="341"/>
      <c r="L28" s="706"/>
      <c r="M28" s="341"/>
      <c r="N28" s="714"/>
      <c r="O28" s="341"/>
      <c r="P28" s="699"/>
      <c r="Q28" s="707"/>
      <c r="R28" s="707"/>
      <c r="S28" s="707"/>
      <c r="T28" s="341"/>
      <c r="U28" s="708"/>
      <c r="V28" s="708"/>
      <c r="W28" s="708"/>
      <c r="X28" s="341"/>
      <c r="Y28" s="733"/>
      <c r="Z28" s="733"/>
      <c r="AA28" s="733"/>
    </row>
    <row r="29" spans="1:27" ht="12.75">
      <c r="A29" s="341"/>
      <c r="B29" s="695" t="s">
        <v>5</v>
      </c>
      <c r="C29" s="703">
        <f>C11/C4</f>
        <v>0.25016704334500128</v>
      </c>
      <c r="D29" s="703">
        <f>D11/D4</f>
        <v>0.25651677016822111</v>
      </c>
      <c r="E29" s="1851">
        <v>0.2495</v>
      </c>
      <c r="F29" s="734" t="e">
        <f>F11/F4</f>
        <v>#VALUE!</v>
      </c>
      <c r="G29" s="341"/>
      <c r="H29" s="704">
        <f t="shared" si="3"/>
        <v>-63.497268232198259</v>
      </c>
      <c r="I29" s="705">
        <f>IF(ISERROR((C29-E29)*10000)=TRUE,"NA",(C29-E29)*10000)</f>
        <v>6.6704334500128359</v>
      </c>
      <c r="J29" s="705" t="str">
        <f t="shared" si="6"/>
        <v>NA</v>
      </c>
      <c r="K29" s="341"/>
      <c r="L29" s="706"/>
      <c r="M29" s="341"/>
      <c r="N29" s="712"/>
      <c r="O29" s="341"/>
      <c r="P29" s="699" t="s">
        <v>5</v>
      </c>
      <c r="Q29" s="707"/>
      <c r="R29" s="707"/>
      <c r="S29" s="707"/>
      <c r="T29" s="341"/>
      <c r="U29" s="708">
        <v>0.27178686232067367</v>
      </c>
      <c r="V29" s="708">
        <v>0.26669194189579531</v>
      </c>
      <c r="W29" s="708">
        <v>0.26705474679881719</v>
      </c>
      <c r="X29" s="341"/>
      <c r="Y29" s="733">
        <f t="shared" si="5"/>
        <v>-2717.8686232067366</v>
      </c>
      <c r="Z29" s="733">
        <f t="shared" si="5"/>
        <v>-2666.919418957953</v>
      </c>
      <c r="AA29" s="733">
        <f t="shared" si="5"/>
        <v>-2670.5474679881718</v>
      </c>
    </row>
    <row r="30" spans="1:27" ht="12.75">
      <c r="A30" s="341"/>
      <c r="B30" s="695" t="s">
        <v>6</v>
      </c>
      <c r="C30" s="703">
        <f>C13/C4</f>
        <v>9.581817871074276E-2</v>
      </c>
      <c r="D30" s="703">
        <f>D13/D4</f>
        <v>9.7553328970896289E-2</v>
      </c>
      <c r="E30" s="1851">
        <v>0.10050000000000001</v>
      </c>
      <c r="F30" s="1788" t="e">
        <f>F13/F4</f>
        <v>#VALUE!</v>
      </c>
      <c r="G30" s="341"/>
      <c r="H30" s="704">
        <f t="shared" si="3"/>
        <v>-17.351502601535284</v>
      </c>
      <c r="I30" s="705">
        <f t="shared" si="4"/>
        <v>-46.818212892572461</v>
      </c>
      <c r="J30" s="705" t="str">
        <f t="shared" si="6"/>
        <v>NA</v>
      </c>
      <c r="K30" s="341"/>
      <c r="L30" s="706"/>
      <c r="M30" s="341"/>
      <c r="N30" s="714"/>
      <c r="O30" s="341"/>
      <c r="P30" s="699" t="s">
        <v>6</v>
      </c>
      <c r="Q30" s="707"/>
      <c r="R30" s="707"/>
      <c r="S30" s="707"/>
      <c r="T30" s="341"/>
      <c r="U30" s="708">
        <v>0.12921313767932638</v>
      </c>
      <c r="V30" s="708">
        <v>0.11938178203965252</v>
      </c>
      <c r="W30" s="708">
        <v>0.12514525320118283</v>
      </c>
      <c r="X30" s="341"/>
      <c r="Y30" s="733">
        <f t="shared" si="5"/>
        <v>-1292.1313767932638</v>
      </c>
      <c r="Z30" s="733">
        <f t="shared" si="5"/>
        <v>-1193.8178203965251</v>
      </c>
      <c r="AA30" s="733">
        <f t="shared" si="5"/>
        <v>-1251.4525320118282</v>
      </c>
    </row>
    <row r="31" spans="1:27" ht="12.75">
      <c r="A31" s="341"/>
      <c r="B31" s="695" t="s">
        <v>7</v>
      </c>
      <c r="C31" s="703">
        <f>C16/C4</f>
        <v>9.7943962959918529E-2</v>
      </c>
      <c r="D31" s="703">
        <f>D16/D4</f>
        <v>9.8811023234534515E-2</v>
      </c>
      <c r="E31" s="1851">
        <v>0.10050000000000001</v>
      </c>
      <c r="F31" s="1788" t="e">
        <f>F16/F4</f>
        <v>#VALUE!</v>
      </c>
      <c r="G31" s="341"/>
      <c r="H31" s="704">
        <f t="shared" si="3"/>
        <v>-8.6706027461598563</v>
      </c>
      <c r="I31" s="705">
        <f t="shared" si="4"/>
        <v>-25.560370400814769</v>
      </c>
      <c r="J31" s="705" t="str">
        <f t="shared" si="6"/>
        <v>NA</v>
      </c>
      <c r="K31" s="341"/>
      <c r="L31" s="706"/>
      <c r="M31" s="341"/>
      <c r="N31" s="712"/>
      <c r="O31" s="341"/>
      <c r="P31" s="699" t="s">
        <v>7</v>
      </c>
      <c r="Q31" s="707"/>
      <c r="R31" s="707"/>
      <c r="S31" s="707"/>
      <c r="T31" s="341"/>
      <c r="U31" s="708">
        <v>0.12980832017656752</v>
      </c>
      <c r="V31" s="708">
        <v>0.12115680044653669</v>
      </c>
      <c r="W31" s="708">
        <v>0.12689525320118283</v>
      </c>
      <c r="X31" s="341"/>
      <c r="Y31" s="733">
        <f t="shared" si="5"/>
        <v>-1298.0832017656751</v>
      </c>
      <c r="Z31" s="733">
        <f t="shared" si="5"/>
        <v>-1211.5680044653668</v>
      </c>
      <c r="AA31" s="733">
        <f t="shared" si="5"/>
        <v>-1268.9525320118282</v>
      </c>
    </row>
    <row r="32" spans="1:27" ht="12.75">
      <c r="A32" s="341"/>
      <c r="B32" s="695" t="s">
        <v>8</v>
      </c>
      <c r="C32" s="703">
        <f>C18/C16</f>
        <v>0.34154022568261522</v>
      </c>
      <c r="D32" s="703">
        <f>D18/D16</f>
        <v>0.32947795609666092</v>
      </c>
      <c r="E32" s="1851">
        <v>0.35000000000000003</v>
      </c>
      <c r="F32" s="734" t="e">
        <f>F18/F16</f>
        <v>#VALUE!</v>
      </c>
      <c r="G32" s="707"/>
      <c r="H32" s="704">
        <f t="shared" si="3"/>
        <v>120.622695859543</v>
      </c>
      <c r="I32" s="705">
        <f t="shared" si="4"/>
        <v>-84.597743173848158</v>
      </c>
      <c r="J32" s="705" t="str">
        <f t="shared" si="6"/>
        <v>NA</v>
      </c>
      <c r="K32" s="707"/>
      <c r="L32" s="734"/>
      <c r="M32" s="707"/>
      <c r="N32" s="698" t="s">
        <v>419</v>
      </c>
      <c r="O32" s="341"/>
      <c r="P32" s="699" t="s">
        <v>8</v>
      </c>
      <c r="Q32" s="707"/>
      <c r="R32" s="707"/>
      <c r="S32" s="707"/>
      <c r="T32" s="341"/>
      <c r="U32" s="708">
        <v>0.38500000000000001</v>
      </c>
      <c r="V32" s="708">
        <v>0.37852114069068776</v>
      </c>
      <c r="W32" s="708">
        <v>0.3775</v>
      </c>
      <c r="X32" s="341"/>
      <c r="Y32" s="733">
        <f t="shared" si="5"/>
        <v>-3850</v>
      </c>
      <c r="Z32" s="733">
        <f t="shared" si="5"/>
        <v>-3785.2114069068775</v>
      </c>
      <c r="AA32" s="733">
        <f t="shared" si="5"/>
        <v>-3775</v>
      </c>
    </row>
    <row r="33" spans="1:29" ht="12.75">
      <c r="A33" s="341"/>
      <c r="B33" s="695" t="s">
        <v>9</v>
      </c>
      <c r="C33" s="703">
        <f>C20/C4</f>
        <v>6.4492159746338248E-2</v>
      </c>
      <c r="D33" s="703">
        <f>D20/D4</f>
        <v>6.6254969259400401E-2</v>
      </c>
      <c r="E33" s="1851">
        <v>6.5325000000000008E-2</v>
      </c>
      <c r="F33" s="734" t="e">
        <f>F20/F4</f>
        <v>#VALUE!</v>
      </c>
      <c r="G33" s="707"/>
      <c r="H33" s="704">
        <f t="shared" si="3"/>
        <v>-17.628095130621524</v>
      </c>
      <c r="I33" s="705">
        <f t="shared" si="4"/>
        <v>-8.3284025366175953</v>
      </c>
      <c r="J33" s="705" t="str">
        <f t="shared" si="6"/>
        <v>NA</v>
      </c>
      <c r="K33" s="707"/>
      <c r="L33" s="734"/>
      <c r="M33" s="707"/>
      <c r="N33" s="719">
        <v>1.38</v>
      </c>
      <c r="O33" s="341"/>
      <c r="P33" s="699" t="s">
        <v>9</v>
      </c>
      <c r="Q33" s="707"/>
      <c r="R33" s="707"/>
      <c r="S33" s="707"/>
      <c r="T33" s="341"/>
      <c r="U33" s="708">
        <v>7.9832116908589004E-2</v>
      </c>
      <c r="V33" s="708">
        <v>7.5296390139079586E-2</v>
      </c>
      <c r="W33" s="708">
        <v>7.8992295117736311E-2</v>
      </c>
      <c r="X33" s="341"/>
      <c r="Y33" s="733">
        <f t="shared" si="5"/>
        <v>-798.32116908589001</v>
      </c>
      <c r="Z33" s="733">
        <f t="shared" si="5"/>
        <v>-752.96390139079585</v>
      </c>
      <c r="AA33" s="733">
        <f t="shared" si="5"/>
        <v>-789.92295117736307</v>
      </c>
    </row>
    <row r="34" spans="1:29" ht="12.75">
      <c r="A34" s="341"/>
      <c r="B34" s="695"/>
      <c r="C34" s="703"/>
      <c r="D34" s="703"/>
      <c r="E34" s="1851"/>
      <c r="F34" s="1788"/>
      <c r="G34" s="707"/>
      <c r="H34" s="704"/>
      <c r="I34" s="705"/>
      <c r="J34" s="705"/>
      <c r="K34" s="707"/>
      <c r="L34" s="734"/>
      <c r="M34" s="707"/>
      <c r="N34" s="698" t="s">
        <v>406</v>
      </c>
      <c r="O34" s="341"/>
      <c r="P34" s="699"/>
      <c r="Q34" s="707"/>
      <c r="R34" s="707"/>
      <c r="S34" s="707"/>
      <c r="T34" s="341"/>
      <c r="U34" s="708"/>
      <c r="V34" s="708"/>
      <c r="W34" s="708"/>
      <c r="X34" s="341"/>
      <c r="Y34" s="707"/>
      <c r="Z34" s="707"/>
      <c r="AA34" s="707"/>
    </row>
    <row r="35" spans="1:29" ht="12.75">
      <c r="A35" s="341"/>
      <c r="B35" s="726" t="s">
        <v>11</v>
      </c>
      <c r="C35" s="703"/>
      <c r="D35" s="703"/>
      <c r="E35" s="1851"/>
      <c r="F35" s="1788"/>
      <c r="G35" s="707"/>
      <c r="H35" s="704"/>
      <c r="I35" s="705"/>
      <c r="J35" s="705"/>
      <c r="K35" s="707"/>
      <c r="L35" s="734"/>
      <c r="M35" s="707"/>
      <c r="N35" s="719">
        <f>R22</f>
        <v>0</v>
      </c>
      <c r="O35" s="341"/>
      <c r="P35" s="730" t="s">
        <v>11</v>
      </c>
      <c r="Q35" s="707"/>
      <c r="R35" s="707"/>
      <c r="S35" s="707"/>
      <c r="T35" s="341"/>
      <c r="U35" s="708"/>
      <c r="V35" s="708"/>
      <c r="W35" s="708"/>
      <c r="X35" s="341"/>
      <c r="Y35" s="707"/>
      <c r="Z35" s="707"/>
      <c r="AA35" s="707"/>
    </row>
    <row r="36" spans="1:29" ht="12.75">
      <c r="A36" s="341"/>
      <c r="B36" s="695" t="s">
        <v>738</v>
      </c>
      <c r="C36" s="703">
        <f>sumry!CS45</f>
        <v>0.11982454253649588</v>
      </c>
      <c r="D36" s="703">
        <f>sumry!CN45</f>
        <v>-7.7607005791134887E-3</v>
      </c>
      <c r="E36" s="1851">
        <v>0.10439243803243548</v>
      </c>
      <c r="F36" s="1788" t="e">
        <f>F4/D4-1</f>
        <v>#VALUE!</v>
      </c>
      <c r="G36" s="707"/>
      <c r="H36" s="704"/>
      <c r="I36" s="705"/>
      <c r="J36" s="705"/>
      <c r="K36" s="707"/>
      <c r="L36" s="734"/>
      <c r="M36" s="707"/>
      <c r="N36" s="706"/>
      <c r="O36" s="341"/>
      <c r="P36" s="699" t="s">
        <v>738</v>
      </c>
      <c r="Q36" s="707"/>
      <c r="R36" s="707"/>
      <c r="S36" s="707"/>
      <c r="T36" s="341"/>
      <c r="U36" s="708">
        <v>2.5212336085097764E-2</v>
      </c>
      <c r="V36" s="708">
        <v>8.465376772724853E-2</v>
      </c>
      <c r="W36" s="708">
        <v>4.3172647427537569E-2</v>
      </c>
      <c r="X36" s="341"/>
      <c r="Y36" s="733">
        <f t="shared" ref="Y36:AA40" si="7">IF(ISERROR((Q36-U36)*10000)=TRUE,"NA",(Q36-U36)*10000)</f>
        <v>-252.12336085097763</v>
      </c>
      <c r="Z36" s="733">
        <f t="shared" si="7"/>
        <v>-846.53767727248533</v>
      </c>
      <c r="AA36" s="733">
        <f t="shared" si="7"/>
        <v>-431.72647427537572</v>
      </c>
    </row>
    <row r="37" spans="1:29" ht="12.75">
      <c r="A37" s="341"/>
      <c r="B37" s="695" t="s">
        <v>12</v>
      </c>
      <c r="C37" s="703">
        <f>sumry!CS46</f>
        <v>0.08</v>
      </c>
      <c r="D37" s="703">
        <f>sumry!CN46</f>
        <v>4.0000000000000001E-3</v>
      </c>
      <c r="E37" s="1851">
        <v>0.08</v>
      </c>
      <c r="F37" s="1851">
        <v>5.0000000000000001E-3</v>
      </c>
      <c r="G37" s="707"/>
      <c r="H37" s="704"/>
      <c r="I37" s="705"/>
      <c r="J37" s="705"/>
      <c r="K37" s="707"/>
      <c r="L37" s="734"/>
      <c r="M37" s="707"/>
      <c r="N37" s="706"/>
      <c r="O37" s="341"/>
      <c r="P37" s="699" t="s">
        <v>12</v>
      </c>
      <c r="Q37" s="707"/>
      <c r="R37" s="707"/>
      <c r="S37" s="707"/>
      <c r="T37" s="341"/>
      <c r="U37" s="708">
        <v>0.01</v>
      </c>
      <c r="V37" s="708">
        <v>5.1086148302989104E-2</v>
      </c>
      <c r="W37" s="708">
        <v>0.03</v>
      </c>
      <c r="X37" s="341"/>
      <c r="Y37" s="733">
        <f t="shared" si="7"/>
        <v>-100</v>
      </c>
      <c r="Z37" s="733">
        <f t="shared" si="7"/>
        <v>-510.86148302989102</v>
      </c>
      <c r="AA37" s="733">
        <f t="shared" si="7"/>
        <v>-300</v>
      </c>
      <c r="AC37" s="951"/>
    </row>
    <row r="38" spans="1:29" ht="12.75">
      <c r="A38" s="341"/>
      <c r="B38" s="695" t="s">
        <v>13</v>
      </c>
      <c r="C38" s="703">
        <f>sumry!CS47</f>
        <v>8.9994588096290684E-2</v>
      </c>
      <c r="D38" s="703">
        <f>sumry!CN47</f>
        <v>3.8790661745772947E-2</v>
      </c>
      <c r="E38" s="1851">
        <v>6.6315689224796248E-2</v>
      </c>
      <c r="F38" s="1788" t="e">
        <f>F11/D11-1</f>
        <v>#VALUE!</v>
      </c>
      <c r="G38" s="707"/>
      <c r="H38" s="704"/>
      <c r="I38" s="705"/>
      <c r="J38" s="705"/>
      <c r="K38" s="707"/>
      <c r="L38" s="734"/>
      <c r="M38" s="707"/>
      <c r="N38" s="706"/>
      <c r="O38" s="341"/>
      <c r="P38" s="699" t="s">
        <v>13</v>
      </c>
      <c r="Q38" s="707"/>
      <c r="R38" s="707"/>
      <c r="S38" s="707"/>
      <c r="T38" s="341"/>
      <c r="U38" s="708">
        <v>5.4582661734898563E-2</v>
      </c>
      <c r="V38" s="708">
        <v>8.4738104397861669E-2</v>
      </c>
      <c r="W38" s="708">
        <v>3.6999999999999922E-2</v>
      </c>
      <c r="X38" s="341"/>
      <c r="Y38" s="733">
        <f t="shared" si="7"/>
        <v>-545.82661734898568</v>
      </c>
      <c r="Z38" s="733">
        <f t="shared" si="7"/>
        <v>-847.38104397861673</v>
      </c>
      <c r="AA38" s="733">
        <f t="shared" si="7"/>
        <v>-369.9999999999992</v>
      </c>
    </row>
    <row r="39" spans="1:29" ht="12.75">
      <c r="A39" s="341"/>
      <c r="B39" s="695" t="s">
        <v>14</v>
      </c>
      <c r="C39" s="703">
        <f>sumry!CS48</f>
        <v>9.990657698056693E-2</v>
      </c>
      <c r="D39" s="703">
        <f>sumry!CN48</f>
        <v>-7.4336711750665252E-2</v>
      </c>
      <c r="E39" s="1851">
        <v>0.13775143496510056</v>
      </c>
      <c r="F39" s="1788" t="e">
        <f>F13/D13-1</f>
        <v>#VALUE!</v>
      </c>
      <c r="G39" s="707"/>
      <c r="H39" s="704"/>
      <c r="I39" s="705"/>
      <c r="J39" s="705"/>
      <c r="K39" s="707"/>
      <c r="L39" s="734"/>
      <c r="M39" s="707"/>
      <c r="N39" s="706"/>
      <c r="O39" s="341"/>
      <c r="P39" s="699" t="s">
        <v>14</v>
      </c>
      <c r="Q39" s="707"/>
      <c r="R39" s="707"/>
      <c r="S39" s="707"/>
      <c r="T39" s="341"/>
      <c r="U39" s="708">
        <v>0.17792339529543622</v>
      </c>
      <c r="V39" s="708">
        <v>0.37395693825812271</v>
      </c>
      <c r="W39" s="708">
        <v>9.3534565026898386E-2</v>
      </c>
      <c r="X39" s="341"/>
      <c r="Y39" s="733">
        <f t="shared" si="7"/>
        <v>-1779.2339529543622</v>
      </c>
      <c r="Z39" s="733">
        <f t="shared" si="7"/>
        <v>-3739.5693825812273</v>
      </c>
      <c r="AA39" s="733">
        <f t="shared" si="7"/>
        <v>-935.34565026898383</v>
      </c>
    </row>
    <row r="40" spans="1:29" ht="12.75">
      <c r="A40" s="341"/>
      <c r="B40" s="695" t="s">
        <v>15</v>
      </c>
      <c r="C40" s="703">
        <f>sumry!CS49</f>
        <v>0.11946017363553652</v>
      </c>
      <c r="D40" s="703">
        <f>sumry!CN49</f>
        <v>-6.5990732937897922E-2</v>
      </c>
      <c r="E40" s="1851">
        <v>0.12332131836623184</v>
      </c>
      <c r="F40" s="1788" t="e">
        <f>F22/D22-1</f>
        <v>#VALUE!</v>
      </c>
      <c r="G40" s="707"/>
      <c r="H40" s="704"/>
      <c r="I40" s="705"/>
      <c r="J40" s="705"/>
      <c r="K40" s="707"/>
      <c r="L40" s="734"/>
      <c r="M40" s="707"/>
      <c r="N40" s="706"/>
      <c r="O40" s="341"/>
      <c r="P40" s="699" t="s">
        <v>15</v>
      </c>
      <c r="Q40" s="707"/>
      <c r="R40" s="707"/>
      <c r="S40" s="707"/>
      <c r="T40" s="341"/>
      <c r="U40" s="708">
        <v>0.1498415077990598</v>
      </c>
      <c r="V40" s="708">
        <v>0.33087416375400558</v>
      </c>
      <c r="W40" s="708">
        <v>0.12283855505929919</v>
      </c>
      <c r="X40" s="341"/>
      <c r="Y40" s="733">
        <f t="shared" si="7"/>
        <v>-1498.4150779905981</v>
      </c>
      <c r="Z40" s="733">
        <f t="shared" si="7"/>
        <v>-3308.7416375400558</v>
      </c>
      <c r="AA40" s="733">
        <f t="shared" si="7"/>
        <v>-1228.3855505929919</v>
      </c>
    </row>
    <row r="41" spans="1:29" ht="13.5" thickBot="1">
      <c r="A41" s="341"/>
      <c r="B41" s="735"/>
      <c r="C41" s="736"/>
      <c r="D41" s="736"/>
      <c r="E41" s="737"/>
      <c r="F41" s="737"/>
      <c r="G41" s="341"/>
      <c r="H41" s="735"/>
      <c r="I41" s="738"/>
      <c r="J41" s="738"/>
      <c r="K41" s="341"/>
      <c r="L41" s="739"/>
      <c r="M41" s="341"/>
      <c r="N41" s="739"/>
      <c r="O41" s="565"/>
      <c r="P41" s="341"/>
      <c r="Q41" s="681"/>
      <c r="R41" s="681"/>
      <c r="S41" s="681"/>
      <c r="T41" s="341"/>
      <c r="U41" s="341"/>
      <c r="V41" s="341"/>
      <c r="W41" s="341"/>
      <c r="X41" s="341"/>
      <c r="Y41" s="341"/>
      <c r="Z41" s="341"/>
      <c r="AA41" s="341"/>
    </row>
    <row r="42" spans="1:29" ht="12.75">
      <c r="A42" s="341"/>
      <c r="B42" s="740"/>
      <c r="C42" s="658"/>
      <c r="D42" s="658"/>
      <c r="E42" s="341"/>
      <c r="F42" s="341"/>
      <c r="G42" s="341"/>
      <c r="H42" s="341"/>
      <c r="I42" s="341"/>
      <c r="J42" s="341"/>
      <c r="K42" s="341"/>
      <c r="L42" s="341"/>
      <c r="M42" s="341"/>
      <c r="N42" s="341"/>
      <c r="O42" s="565"/>
      <c r="P42" s="740"/>
      <c r="Q42" s="341"/>
      <c r="R42" s="341"/>
      <c r="S42" s="341"/>
      <c r="T42" s="341"/>
      <c r="U42" s="341"/>
      <c r="V42" s="341"/>
      <c r="W42" s="341"/>
      <c r="X42" s="341"/>
      <c r="Y42" s="341"/>
      <c r="Z42" s="341"/>
      <c r="AA42" s="341"/>
    </row>
    <row r="43" spans="1:29" ht="12.75">
      <c r="A43" s="110"/>
      <c r="B43" s="841" t="s">
        <v>375</v>
      </c>
      <c r="C43" s="842"/>
      <c r="D43" s="842"/>
      <c r="E43" s="110"/>
      <c r="F43" s="110"/>
      <c r="G43" s="110"/>
      <c r="H43" s="110"/>
      <c r="I43" s="110"/>
      <c r="J43" s="110"/>
      <c r="K43" s="110"/>
      <c r="L43" s="110"/>
      <c r="M43" s="110"/>
      <c r="N43" s="110"/>
      <c r="O43" s="110"/>
      <c r="P43" s="110"/>
      <c r="Q43" s="110"/>
      <c r="R43" s="110"/>
      <c r="S43" s="110"/>
      <c r="T43" s="110"/>
      <c r="U43" s="110"/>
      <c r="V43" s="110"/>
      <c r="W43" s="110"/>
      <c r="X43" s="110"/>
      <c r="Y43" s="110"/>
      <c r="Z43" s="110"/>
      <c r="AA43" s="110"/>
    </row>
    <row r="44" spans="1:29" ht="12.75">
      <c r="A44" s="110"/>
      <c r="B44" s="843" t="s">
        <v>376</v>
      </c>
      <c r="C44" s="844"/>
      <c r="D44" s="844"/>
      <c r="E44" s="11"/>
      <c r="F44" s="11"/>
      <c r="G44" s="110"/>
      <c r="H44" s="11"/>
      <c r="I44" s="11"/>
      <c r="J44" s="11"/>
      <c r="K44" s="110"/>
      <c r="L44" s="11"/>
      <c r="M44" s="110"/>
      <c r="N44" s="11"/>
      <c r="O44" s="110"/>
      <c r="P44" s="11"/>
      <c r="Q44" s="11"/>
      <c r="R44" s="11"/>
      <c r="S44" s="11"/>
      <c r="T44" s="110"/>
      <c r="U44" s="11"/>
      <c r="V44" s="11"/>
      <c r="W44" s="11"/>
      <c r="X44" s="110"/>
      <c r="Y44" s="11"/>
      <c r="Z44" s="11"/>
      <c r="AA44" s="11"/>
    </row>
    <row r="45" spans="1:29" ht="12.75">
      <c r="A45" s="110"/>
      <c r="B45" s="841" t="s">
        <v>742</v>
      </c>
      <c r="C45" s="845"/>
      <c r="D45" s="845"/>
      <c r="E45" s="11"/>
      <c r="F45" s="11"/>
      <c r="G45" s="110"/>
      <c r="H45" s="11"/>
      <c r="I45" s="11"/>
      <c r="J45" s="11"/>
      <c r="K45" s="110"/>
      <c r="L45" s="11"/>
      <c r="M45" s="110"/>
      <c r="N45" s="11"/>
      <c r="O45" s="110"/>
      <c r="P45" s="11"/>
      <c r="Q45" s="11"/>
      <c r="R45" s="11"/>
      <c r="S45" s="11"/>
      <c r="T45" s="110"/>
      <c r="U45" s="11"/>
      <c r="V45" s="11"/>
      <c r="W45" s="11"/>
      <c r="X45" s="110"/>
      <c r="Y45" s="11"/>
      <c r="Z45" s="11"/>
      <c r="AA45" s="11"/>
    </row>
  </sheetData>
  <phoneticPr fontId="63" type="noConversion"/>
  <pageMargins left="0.75" right="0.75" top="1" bottom="1" header="0.5" footer="0.5"/>
  <pageSetup scale="74" orientation="portrait" r:id="rId1"/>
  <headerFooter alignWithMargins="0"/>
  <colBreaks count="1" manualBreakCount="1">
    <brk id="14" max="1048575" man="1"/>
  </colBreak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W61"/>
  <sheetViews>
    <sheetView zoomScale="85" zoomScaleNormal="85" workbookViewId="0">
      <selection activeCell="G54" sqref="G54"/>
    </sheetView>
  </sheetViews>
  <sheetFormatPr defaultRowHeight="12.75" outlineLevelRow="1"/>
  <cols>
    <col min="1" max="1" width="1.75" style="913" customWidth="1"/>
    <col min="2" max="2" width="28.125" style="2012" customWidth="1"/>
    <col min="3" max="3" width="9.25" style="913" customWidth="1"/>
    <col min="4" max="10" width="9" style="913" bestFit="1" customWidth="1"/>
    <col min="11" max="11" width="9.875" style="913" hidden="1" customWidth="1"/>
    <col min="12" max="16384" width="9" style="913"/>
  </cols>
  <sheetData>
    <row r="1" spans="1:23">
      <c r="A1" s="2040"/>
      <c r="B1" s="2041"/>
      <c r="C1" s="2166" t="s">
        <v>814</v>
      </c>
      <c r="D1" s="2166"/>
      <c r="E1" s="2166"/>
      <c r="F1" s="2166"/>
      <c r="G1" s="2166"/>
      <c r="H1" s="2167" t="s">
        <v>815</v>
      </c>
      <c r="I1" s="2167"/>
      <c r="J1" s="2167"/>
      <c r="K1" s="2040"/>
      <c r="L1" s="2040"/>
      <c r="M1" s="2040"/>
      <c r="N1" s="2040"/>
      <c r="O1" s="2040"/>
      <c r="P1" s="2040"/>
      <c r="Q1" s="2040"/>
      <c r="R1" s="2040"/>
      <c r="S1" s="2040"/>
      <c r="T1" s="2040"/>
      <c r="U1" s="2040"/>
      <c r="V1" s="2040"/>
      <c r="W1" s="2040"/>
    </row>
    <row r="2" spans="1:23" s="932" customFormat="1">
      <c r="A2" s="2042"/>
      <c r="B2" s="2043" t="s">
        <v>816</v>
      </c>
      <c r="C2" s="2044">
        <v>2017</v>
      </c>
      <c r="D2" s="2044">
        <v>2018</v>
      </c>
      <c r="E2" s="2044">
        <v>2019</v>
      </c>
      <c r="F2" s="2044">
        <v>2020</v>
      </c>
      <c r="G2" s="2044">
        <v>2021</v>
      </c>
      <c r="H2" s="2013">
        <f>G2+1</f>
        <v>2022</v>
      </c>
      <c r="I2" s="2013">
        <f>H2+1</f>
        <v>2023</v>
      </c>
      <c r="J2" s="2013">
        <f>I2+1</f>
        <v>2024</v>
      </c>
      <c r="K2" s="2013" t="s">
        <v>857</v>
      </c>
      <c r="L2" s="2045"/>
      <c r="M2" s="2045"/>
      <c r="N2" s="2045"/>
      <c r="O2" s="2045"/>
      <c r="P2" s="2042"/>
      <c r="Q2" s="2042"/>
      <c r="R2" s="2042"/>
      <c r="S2" s="2042"/>
      <c r="T2" s="2042"/>
      <c r="U2" s="2042"/>
      <c r="V2" s="2042"/>
      <c r="W2" s="2042"/>
    </row>
    <row r="3" spans="1:23" s="932" customFormat="1">
      <c r="A3" s="2042"/>
      <c r="B3" s="2046"/>
      <c r="C3" s="2045"/>
      <c r="D3" s="2045"/>
      <c r="E3" s="2045"/>
      <c r="F3" s="2045"/>
      <c r="G3" s="2045"/>
      <c r="H3" s="2014"/>
      <c r="I3" s="2014"/>
      <c r="J3" s="2014"/>
      <c r="K3" s="2014"/>
      <c r="L3" s="2045"/>
      <c r="M3" s="2045"/>
      <c r="N3" s="2045"/>
      <c r="O3" s="2045"/>
      <c r="P3" s="2042"/>
      <c r="Q3" s="2042"/>
      <c r="R3" s="2042"/>
      <c r="S3" s="2042"/>
      <c r="T3" s="2042"/>
      <c r="U3" s="2042"/>
      <c r="V3" s="2042"/>
      <c r="W3" s="2042"/>
    </row>
    <row r="4" spans="1:23">
      <c r="A4" s="2040"/>
      <c r="B4" s="2041" t="s">
        <v>525</v>
      </c>
      <c r="C4" s="2047">
        <f>'yrP&amp;L'!X7</f>
        <v>3795.549</v>
      </c>
      <c r="D4" s="2047">
        <f>'yrP&amp;L'!Y7</f>
        <v>3846.3313542304768</v>
      </c>
      <c r="E4" s="2047">
        <f>'yrP&amp;L'!Z7</f>
        <v>3913.2237388919393</v>
      </c>
      <c r="F4" s="2047">
        <f>'yrP&amp;L'!AA7</f>
        <v>3974.8909109841375</v>
      </c>
      <c r="G4" s="2047">
        <f>'yrP&amp;L'!AB7</f>
        <v>3975.1315261343361</v>
      </c>
      <c r="H4" s="2015">
        <f>'yrP&amp;L'!AC7</f>
        <v>3974.661154859115</v>
      </c>
      <c r="I4" s="2015">
        <f>H4*(1+I5)</f>
        <v>3954.7878490848193</v>
      </c>
      <c r="J4" s="2015">
        <f>I4*(1+J5)</f>
        <v>3935.0139098393952</v>
      </c>
      <c r="K4" s="2015">
        <f>J4*(1+K5)</f>
        <v>3915.3388402901983</v>
      </c>
      <c r="L4" s="2040"/>
      <c r="M4" s="2040"/>
      <c r="N4" s="2040"/>
      <c r="O4" s="2040"/>
      <c r="P4" s="2040"/>
      <c r="Q4" s="2040"/>
      <c r="R4" s="2040"/>
      <c r="S4" s="2040"/>
      <c r="T4" s="2040"/>
      <c r="U4" s="2040"/>
      <c r="V4" s="2040"/>
      <c r="W4" s="2040"/>
    </row>
    <row r="5" spans="1:23">
      <c r="A5" s="2040"/>
      <c r="B5" s="2041" t="s">
        <v>611</v>
      </c>
      <c r="C5" s="2048">
        <f>'yrP&amp;L'!X8</f>
        <v>5.1437934659606312E-2</v>
      </c>
      <c r="D5" s="2048">
        <f>D4/C4-1</f>
        <v>1.3379448988928067E-2</v>
      </c>
      <c r="E5" s="2048">
        <f>E4/D4-1</f>
        <v>1.7391217370778422E-2</v>
      </c>
      <c r="F5" s="2048">
        <f>F4/E4-1</f>
        <v>1.5758662475470864E-2</v>
      </c>
      <c r="G5" s="2048">
        <f>G4/F4-1</f>
        <v>6.0533774532967044E-5</v>
      </c>
      <c r="H5" s="2138">
        <f>H4/G4-1</f>
        <v>-1.1832848098958237E-4</v>
      </c>
      <c r="I5" s="2016">
        <v>-5.0000000000000001E-3</v>
      </c>
      <c r="J5" s="2016">
        <v>-5.0000000000000001E-3</v>
      </c>
      <c r="K5" s="2016">
        <v>-5.0000000000000001E-3</v>
      </c>
      <c r="L5" s="2040"/>
      <c r="M5" s="2040"/>
      <c r="N5" s="2040"/>
      <c r="O5" s="2040"/>
      <c r="P5" s="2040"/>
      <c r="Q5" s="2040"/>
      <c r="R5" s="2040"/>
      <c r="S5" s="2040"/>
      <c r="T5" s="2040"/>
      <c r="U5" s="2040"/>
      <c r="V5" s="2040"/>
      <c r="W5" s="2040"/>
    </row>
    <row r="6" spans="1:23">
      <c r="A6" s="2040"/>
      <c r="B6" s="2041" t="s">
        <v>432</v>
      </c>
      <c r="C6" s="2047">
        <f>'yrP&amp;L'!X33</f>
        <v>325.0779999999998</v>
      </c>
      <c r="D6" s="2047">
        <f>'yrP&amp;L'!Y33</f>
        <v>319.97611836278844</v>
      </c>
      <c r="E6" s="2047">
        <f>'yrP&amp;L'!Z33</f>
        <v>320.49302421524965</v>
      </c>
      <c r="F6" s="2047">
        <f>'yrP&amp;L'!AA33</f>
        <v>306.86157832797528</v>
      </c>
      <c r="G6" s="2047">
        <f>'yrP&amp;L'!AB33</f>
        <v>292.5696803234872</v>
      </c>
      <c r="H6" s="2015">
        <f>'yrP&amp;L'!AC33</f>
        <v>270.27695853041985</v>
      </c>
      <c r="I6" s="2015">
        <f>I4*I7</f>
        <v>229.37769524691953</v>
      </c>
      <c r="J6" s="2015">
        <f>J4*J7</f>
        <v>216.42576504116673</v>
      </c>
      <c r="K6" s="2015">
        <f>K4*K7</f>
        <v>215.34363621596091</v>
      </c>
      <c r="L6" s="2040"/>
      <c r="M6" s="2040"/>
      <c r="N6" s="2040"/>
      <c r="O6" s="2040"/>
      <c r="P6" s="2040"/>
      <c r="Q6" s="2040"/>
      <c r="R6" s="2040"/>
      <c r="S6" s="2040"/>
      <c r="T6" s="2040"/>
      <c r="U6" s="2040"/>
      <c r="V6" s="2040"/>
      <c r="W6" s="2040"/>
    </row>
    <row r="7" spans="1:23">
      <c r="A7" s="2040"/>
      <c r="B7" s="2041" t="s">
        <v>817</v>
      </c>
      <c r="C7" s="2048">
        <f t="shared" ref="C7:H7" si="0">C6/C4</f>
        <v>8.5647161978412031E-2</v>
      </c>
      <c r="D7" s="2048">
        <f t="shared" si="0"/>
        <v>8.3189951383376079E-2</v>
      </c>
      <c r="E7" s="2048">
        <f t="shared" si="0"/>
        <v>8.1899999999999959E-2</v>
      </c>
      <c r="F7" s="2048">
        <f t="shared" si="0"/>
        <v>7.7199999999999963E-2</v>
      </c>
      <c r="G7" s="2048">
        <f t="shared" si="0"/>
        <v>7.3600000000000013E-2</v>
      </c>
      <c r="H7" s="2023">
        <f t="shared" si="0"/>
        <v>6.8000000000000005E-2</v>
      </c>
      <c r="I7" s="2016">
        <v>5.8000000000000003E-2</v>
      </c>
      <c r="J7" s="2016">
        <v>5.5E-2</v>
      </c>
      <c r="K7" s="2016">
        <v>5.5E-2</v>
      </c>
      <c r="L7" s="2040"/>
      <c r="M7" s="2040"/>
      <c r="N7" s="2040"/>
      <c r="O7" s="2040"/>
      <c r="P7" s="2040"/>
      <c r="Q7" s="2040"/>
      <c r="R7" s="2040"/>
      <c r="S7" s="2040"/>
      <c r="T7" s="2040"/>
      <c r="U7" s="2040"/>
      <c r="V7" s="2040"/>
      <c r="W7" s="2040"/>
    </row>
    <row r="8" spans="1:23" s="907" customFormat="1">
      <c r="A8" s="2049"/>
      <c r="B8" s="2050" t="s">
        <v>8</v>
      </c>
      <c r="C8" s="2051">
        <f>'yrP&amp;L'!X43</f>
        <v>0.34392190960441327</v>
      </c>
      <c r="D8" s="2051">
        <f>'yrP&amp;L'!Y43</f>
        <v>0.25000000000000044</v>
      </c>
      <c r="E8" s="2051">
        <f>'yrP&amp;L'!Z43</f>
        <v>0.25000000000000044</v>
      </c>
      <c r="F8" s="2051">
        <f>'yrP&amp;L'!AA43</f>
        <v>0.25000000000000044</v>
      </c>
      <c r="G8" s="2051">
        <f>'yrP&amp;L'!AB43</f>
        <v>0.25000000000000044</v>
      </c>
      <c r="H8" s="2139">
        <f>'yrP&amp;L'!AC43</f>
        <v>0.25000000000000044</v>
      </c>
      <c r="I8" s="2017">
        <f>H8</f>
        <v>0.25000000000000044</v>
      </c>
      <c r="J8" s="2017">
        <f>I8</f>
        <v>0.25000000000000044</v>
      </c>
      <c r="K8" s="2017">
        <f>J8</f>
        <v>0.25000000000000044</v>
      </c>
      <c r="L8" s="2049"/>
      <c r="M8" s="2049"/>
      <c r="N8" s="2049"/>
      <c r="O8" s="2049"/>
      <c r="P8" s="2049"/>
      <c r="Q8" s="2049"/>
      <c r="R8" s="2049"/>
      <c r="S8" s="2049"/>
      <c r="T8" s="2049"/>
      <c r="U8" s="2049"/>
      <c r="V8" s="2049"/>
      <c r="W8" s="2049"/>
    </row>
    <row r="9" spans="1:23">
      <c r="A9" s="2040"/>
      <c r="B9" s="2041" t="s">
        <v>818</v>
      </c>
      <c r="C9" s="2052">
        <f t="shared" ref="C9:J9" si="1">-C6*C8</f>
        <v>-111.80144653038339</v>
      </c>
      <c r="D9" s="2052">
        <f t="shared" si="1"/>
        <v>-79.994029590697252</v>
      </c>
      <c r="E9" s="2052">
        <f t="shared" si="1"/>
        <v>-80.123256053812554</v>
      </c>
      <c r="F9" s="2052">
        <f t="shared" si="1"/>
        <v>-76.715394581993962</v>
      </c>
      <c r="G9" s="2052">
        <f t="shared" si="1"/>
        <v>-73.142420080871929</v>
      </c>
      <c r="H9" s="2018">
        <f t="shared" si="1"/>
        <v>-67.569239632605075</v>
      </c>
      <c r="I9" s="2018">
        <f t="shared" si="1"/>
        <v>-57.344423811729982</v>
      </c>
      <c r="J9" s="2018">
        <f t="shared" si="1"/>
        <v>-54.106441260291781</v>
      </c>
      <c r="K9" s="2018">
        <f>-K6*K8</f>
        <v>-53.835909053990321</v>
      </c>
      <c r="L9" s="2040"/>
      <c r="M9" s="2040"/>
      <c r="N9" s="2040"/>
      <c r="O9" s="2040"/>
      <c r="P9" s="2040"/>
      <c r="Q9" s="2040"/>
      <c r="R9" s="2040"/>
      <c r="S9" s="2040"/>
      <c r="T9" s="2040"/>
      <c r="U9" s="2040"/>
      <c r="V9" s="2040"/>
      <c r="W9" s="2040"/>
    </row>
    <row r="10" spans="1:23">
      <c r="A10" s="2040"/>
      <c r="B10" s="2041" t="s">
        <v>793</v>
      </c>
      <c r="C10" s="2053">
        <f>C6+C9</f>
        <v>213.27655346961643</v>
      </c>
      <c r="D10" s="2053">
        <f t="shared" ref="D10:J10" si="2">D6+D9</f>
        <v>239.98208877209117</v>
      </c>
      <c r="E10" s="2053">
        <f t="shared" si="2"/>
        <v>240.36976816143709</v>
      </c>
      <c r="F10" s="2053">
        <f t="shared" si="2"/>
        <v>230.14618374598132</v>
      </c>
      <c r="G10" s="2053">
        <f>G6+G9</f>
        <v>219.42726024261526</v>
      </c>
      <c r="H10" s="2019">
        <f t="shared" si="2"/>
        <v>202.70771889781477</v>
      </c>
      <c r="I10" s="2019">
        <f t="shared" si="2"/>
        <v>172.03327143518953</v>
      </c>
      <c r="J10" s="2019">
        <f t="shared" si="2"/>
        <v>162.31932378087495</v>
      </c>
      <c r="K10" s="2019">
        <f>K6+K9</f>
        <v>161.50772716197059</v>
      </c>
      <c r="L10" s="2040"/>
      <c r="M10" s="2040"/>
      <c r="N10" s="2040"/>
      <c r="O10" s="2040"/>
      <c r="P10" s="2040"/>
      <c r="Q10" s="2040"/>
      <c r="R10" s="2040"/>
      <c r="S10" s="2040"/>
      <c r="T10" s="2040"/>
      <c r="U10" s="2040"/>
      <c r="V10" s="2040"/>
      <c r="W10" s="2040"/>
    </row>
    <row r="11" spans="1:23" s="2021" customFormat="1" hidden="1">
      <c r="A11" s="2054"/>
      <c r="B11" s="2055" t="s">
        <v>819</v>
      </c>
      <c r="C11" s="2056">
        <f t="shared" ref="C11:J11" si="3">C10/C4</f>
        <v>5.6191226478598075E-2</v>
      </c>
      <c r="D11" s="2056">
        <f t="shared" si="3"/>
        <v>6.2392463537532021E-2</v>
      </c>
      <c r="E11" s="2056">
        <f t="shared" si="3"/>
        <v>6.1424999999999931E-2</v>
      </c>
      <c r="F11" s="2056">
        <f t="shared" si="3"/>
        <v>5.7899999999999938E-2</v>
      </c>
      <c r="G11" s="2056">
        <f t="shared" si="3"/>
        <v>5.5199999999999978E-2</v>
      </c>
      <c r="H11" s="2020">
        <f t="shared" si="3"/>
        <v>5.0999999999999976E-2</v>
      </c>
      <c r="I11" s="2020">
        <f t="shared" si="3"/>
        <v>4.3499999999999976E-2</v>
      </c>
      <c r="J11" s="2020">
        <f t="shared" si="3"/>
        <v>4.1249999999999974E-2</v>
      </c>
      <c r="K11" s="2020"/>
      <c r="L11" s="2054"/>
      <c r="M11" s="2054"/>
      <c r="N11" s="2054"/>
      <c r="O11" s="2054"/>
      <c r="P11" s="2054"/>
      <c r="Q11" s="2054"/>
      <c r="R11" s="2054"/>
      <c r="S11" s="2054"/>
      <c r="T11" s="2054"/>
      <c r="U11" s="2054"/>
      <c r="V11" s="2054"/>
      <c r="W11" s="2054"/>
    </row>
    <row r="12" spans="1:23" ht="6.75" customHeight="1">
      <c r="A12" s="2040"/>
      <c r="B12" s="2041"/>
      <c r="C12" s="2040"/>
      <c r="D12" s="2040"/>
      <c r="E12" s="2040"/>
      <c r="F12" s="2040"/>
      <c r="G12" s="2040"/>
      <c r="H12" s="2022"/>
      <c r="I12" s="2022"/>
      <c r="J12" s="2022"/>
      <c r="K12" s="2022"/>
      <c r="L12" s="2040"/>
      <c r="M12" s="2040"/>
      <c r="N12" s="2040"/>
      <c r="O12" s="2040"/>
      <c r="P12" s="2040"/>
      <c r="Q12" s="2040"/>
      <c r="R12" s="2040"/>
      <c r="S12" s="2040"/>
      <c r="T12" s="2040"/>
      <c r="U12" s="2040"/>
      <c r="V12" s="2040"/>
      <c r="W12" s="2040"/>
    </row>
    <row r="13" spans="1:23">
      <c r="A13" s="2040"/>
      <c r="B13" s="2057" t="s">
        <v>820</v>
      </c>
      <c r="C13" s="2052">
        <f>'yrP&amp;L'!X28</f>
        <v>167.42099999999999</v>
      </c>
      <c r="D13" s="2052">
        <f>'yrP&amp;L'!Y28</f>
        <v>178.04414514290619</v>
      </c>
      <c r="E13" s="2052">
        <f>'yrP&amp;L'!Z28</f>
        <v>178.83432486736163</v>
      </c>
      <c r="F13" s="2052">
        <f>'yrP&amp;L'!AA28</f>
        <v>186.81987281625447</v>
      </c>
      <c r="G13" s="2052">
        <f>'yrP&amp;L'!AB28</f>
        <v>190.80631325444813</v>
      </c>
      <c r="H13" s="2018">
        <f>'yrP&amp;L'!AC28</f>
        <v>190.78373543323752</v>
      </c>
      <c r="I13" s="2018">
        <f>H13*(1+I5)</f>
        <v>189.82981675607132</v>
      </c>
      <c r="J13" s="2018">
        <f>I13*(1+J5)</f>
        <v>188.88066767229097</v>
      </c>
      <c r="K13" s="2018">
        <f>J13*(1+K5)</f>
        <v>187.9362643339295</v>
      </c>
      <c r="L13" s="2040"/>
      <c r="M13" s="2040"/>
      <c r="N13" s="2040"/>
      <c r="O13" s="2040"/>
      <c r="P13" s="2040"/>
      <c r="Q13" s="2040"/>
      <c r="R13" s="2040"/>
      <c r="S13" s="2040"/>
      <c r="T13" s="2040"/>
      <c r="U13" s="2040"/>
      <c r="V13" s="2040"/>
      <c r="W13" s="2040"/>
    </row>
    <row r="14" spans="1:23">
      <c r="A14" s="2040"/>
      <c r="B14" s="2041"/>
      <c r="C14" s="2048">
        <f t="shared" ref="C14:J14" si="4">C13/C4</f>
        <v>4.4109824428560929E-2</v>
      </c>
      <c r="D14" s="2048">
        <f t="shared" si="4"/>
        <v>4.6289341386846511E-2</v>
      </c>
      <c r="E14" s="2048">
        <f t="shared" si="4"/>
        <v>4.5699999999999998E-2</v>
      </c>
      <c r="F14" s="2048">
        <f t="shared" si="4"/>
        <v>4.7E-2</v>
      </c>
      <c r="G14" s="2048">
        <f t="shared" si="4"/>
        <v>4.8000000000000001E-2</v>
      </c>
      <c r="H14" s="2023">
        <f t="shared" si="4"/>
        <v>4.8000000000000001E-2</v>
      </c>
      <c r="I14" s="2023">
        <f t="shared" si="4"/>
        <v>4.8000000000000001E-2</v>
      </c>
      <c r="J14" s="2023">
        <f t="shared" si="4"/>
        <v>4.8000000000000001E-2</v>
      </c>
      <c r="K14" s="2023">
        <f>K13/K4</f>
        <v>4.7999999999999994E-2</v>
      </c>
      <c r="L14" s="2040"/>
      <c r="M14" s="2040"/>
      <c r="N14" s="2040"/>
      <c r="O14" s="2040"/>
      <c r="P14" s="2040"/>
      <c r="Q14" s="2040"/>
      <c r="R14" s="2040"/>
      <c r="S14" s="2040"/>
      <c r="T14" s="2040"/>
      <c r="U14" s="2040"/>
      <c r="V14" s="2040"/>
      <c r="W14" s="2040"/>
    </row>
    <row r="15" spans="1:23">
      <c r="A15" s="2040"/>
      <c r="B15" s="2057" t="s">
        <v>526</v>
      </c>
      <c r="C15" s="2047">
        <f>-flow!AU22</f>
        <v>-169</v>
      </c>
      <c r="D15" s="2047">
        <f>-flow!AW22</f>
        <v>-185</v>
      </c>
      <c r="E15" s="2047">
        <f>-flow!AY22</f>
        <v>-185</v>
      </c>
      <c r="F15" s="2047">
        <f>-flow!BA22</f>
        <v>-185</v>
      </c>
      <c r="G15" s="2047">
        <f>-flow!BC22</f>
        <v>-185</v>
      </c>
      <c r="H15" s="2015">
        <f>-flow!BE22</f>
        <v>-185</v>
      </c>
      <c r="I15" s="2024">
        <f>H15</f>
        <v>-185</v>
      </c>
      <c r="J15" s="2015">
        <f>I15</f>
        <v>-185</v>
      </c>
      <c r="K15" s="2015">
        <f>J15</f>
        <v>-185</v>
      </c>
      <c r="L15" s="2040"/>
      <c r="M15" s="2040"/>
      <c r="N15" s="2040"/>
      <c r="O15" s="2040"/>
      <c r="P15" s="2040"/>
      <c r="Q15" s="2040"/>
      <c r="R15" s="2040"/>
      <c r="S15" s="2040"/>
      <c r="T15" s="2040"/>
      <c r="U15" s="2040"/>
      <c r="V15" s="2040"/>
      <c r="W15" s="2040"/>
    </row>
    <row r="16" spans="1:23">
      <c r="A16" s="2040"/>
      <c r="B16" s="2057"/>
      <c r="C16" s="2047"/>
      <c r="D16" s="2058"/>
      <c r="E16" s="2058"/>
      <c r="F16" s="2058"/>
      <c r="G16" s="2058"/>
      <c r="H16" s="2023"/>
      <c r="I16" s="2023"/>
      <c r="J16" s="2023"/>
      <c r="K16" s="2023"/>
      <c r="L16" s="2040"/>
      <c r="M16" s="2040"/>
      <c r="N16" s="2040"/>
      <c r="O16" s="2040"/>
      <c r="P16" s="2040"/>
      <c r="Q16" s="2040"/>
      <c r="R16" s="2040"/>
      <c r="S16" s="2040"/>
      <c r="T16" s="2040"/>
      <c r="U16" s="2040"/>
      <c r="V16" s="2040"/>
      <c r="W16" s="2040"/>
    </row>
    <row r="17" spans="1:23">
      <c r="A17" s="2040"/>
      <c r="B17" s="2057" t="s">
        <v>821</v>
      </c>
      <c r="C17" s="2052">
        <f>flow!AU33</f>
        <v>51.601300000000009</v>
      </c>
      <c r="D17" s="2052">
        <f>flow!AW33</f>
        <v>1.5239655166159238</v>
      </c>
      <c r="E17" s="2052">
        <f>-flow!AY33</f>
        <v>-6.5154310208855364</v>
      </c>
      <c r="F17" s="2052">
        <f>-flow!BA33</f>
        <v>-6.1929912358226176</v>
      </c>
      <c r="G17" s="2052">
        <f>-flow!BC33</f>
        <v>4.6316081418131958</v>
      </c>
      <c r="H17" s="2018">
        <f>-flow!BE33</f>
        <v>6.2701098297290585</v>
      </c>
      <c r="I17" s="2018">
        <f>H17</f>
        <v>6.2701098297290585</v>
      </c>
      <c r="J17" s="2018">
        <f>I17</f>
        <v>6.2701098297290585</v>
      </c>
      <c r="K17" s="2018">
        <f>J17</f>
        <v>6.2701098297290585</v>
      </c>
      <c r="L17" s="2040"/>
      <c r="M17" s="2040"/>
      <c r="N17" s="2040"/>
      <c r="O17" s="2040"/>
      <c r="P17" s="2040"/>
      <c r="Q17" s="2040"/>
      <c r="R17" s="2040"/>
      <c r="S17" s="2040"/>
      <c r="T17" s="2040"/>
      <c r="U17" s="2040"/>
      <c r="V17" s="2040"/>
      <c r="W17" s="2040"/>
    </row>
    <row r="18" spans="1:23">
      <c r="A18" s="2040"/>
      <c r="B18" s="2041" t="s">
        <v>822</v>
      </c>
      <c r="C18" s="2053">
        <f t="shared" ref="C18:J18" si="5">SUM(C15:C17)</f>
        <v>-117.39869999999999</v>
      </c>
      <c r="D18" s="2053">
        <f t="shared" si="5"/>
        <v>-183.47603448338407</v>
      </c>
      <c r="E18" s="2053">
        <f t="shared" si="5"/>
        <v>-191.51543102088553</v>
      </c>
      <c r="F18" s="2053">
        <f t="shared" si="5"/>
        <v>-191.1929912358226</v>
      </c>
      <c r="G18" s="2053">
        <f t="shared" si="5"/>
        <v>-180.36839185818681</v>
      </c>
      <c r="H18" s="2019">
        <f t="shared" si="5"/>
        <v>-178.72989017027095</v>
      </c>
      <c r="I18" s="2019">
        <f t="shared" si="5"/>
        <v>-178.72989017027095</v>
      </c>
      <c r="J18" s="2019">
        <f t="shared" si="5"/>
        <v>-178.72989017027095</v>
      </c>
      <c r="K18" s="2019">
        <f>SUM(K15:K17)</f>
        <v>-178.72989017027095</v>
      </c>
      <c r="L18" s="2040"/>
      <c r="M18" s="2040"/>
      <c r="N18" s="2040"/>
      <c r="O18" s="2040"/>
      <c r="P18" s="2040"/>
      <c r="Q18" s="2040"/>
      <c r="R18" s="2040"/>
      <c r="S18" s="2040"/>
      <c r="T18" s="2040"/>
      <c r="U18" s="2040"/>
      <c r="V18" s="2040"/>
      <c r="W18" s="2040"/>
    </row>
    <row r="19" spans="1:23" s="2021" customFormat="1">
      <c r="A19" s="2054"/>
      <c r="B19" s="2054" t="s">
        <v>823</v>
      </c>
      <c r="C19" s="2059"/>
      <c r="D19" s="2059"/>
      <c r="E19" s="2059"/>
      <c r="F19" s="2059"/>
      <c r="G19" s="2059"/>
      <c r="H19" s="2025"/>
      <c r="I19" s="2025"/>
      <c r="J19" s="2025"/>
      <c r="K19" s="2025"/>
      <c r="L19" s="2054"/>
      <c r="M19" s="2054"/>
      <c r="N19" s="2054"/>
      <c r="O19" s="2054"/>
      <c r="P19" s="2054"/>
      <c r="Q19" s="2054"/>
      <c r="R19" s="2054"/>
      <c r="S19" s="2054"/>
      <c r="T19" s="2054"/>
      <c r="U19" s="2054"/>
      <c r="V19" s="2054"/>
      <c r="W19" s="2054"/>
    </row>
    <row r="20" spans="1:23" ht="9" customHeight="1">
      <c r="A20" s="2040"/>
      <c r="B20" s="2041"/>
      <c r="C20" s="2061"/>
      <c r="D20" s="2061"/>
      <c r="E20" s="2061"/>
      <c r="F20" s="2061"/>
      <c r="G20" s="2061"/>
      <c r="H20" s="2026"/>
      <c r="I20" s="2026"/>
      <c r="J20" s="2026"/>
      <c r="K20" s="2026"/>
      <c r="L20" s="2040"/>
      <c r="M20" s="2040"/>
      <c r="N20" s="2040"/>
      <c r="O20" s="2040"/>
      <c r="P20" s="2040"/>
      <c r="Q20" s="2040"/>
      <c r="R20" s="2040"/>
      <c r="S20" s="2040"/>
      <c r="T20" s="2040"/>
      <c r="U20" s="2040"/>
      <c r="V20" s="2040"/>
      <c r="W20" s="2040"/>
    </row>
    <row r="21" spans="1:23">
      <c r="A21" s="2040"/>
      <c r="B21" s="2046" t="s">
        <v>824</v>
      </c>
      <c r="C21" s="2062">
        <f t="shared" ref="C21:K21" si="6">C10+C13+C18</f>
        <v>263.29885346961646</v>
      </c>
      <c r="D21" s="2062">
        <f t="shared" si="6"/>
        <v>234.55019943161329</v>
      </c>
      <c r="E21" s="2062">
        <f t="shared" si="6"/>
        <v>227.68866200791322</v>
      </c>
      <c r="F21" s="2062">
        <f t="shared" si="6"/>
        <v>225.77306532641319</v>
      </c>
      <c r="G21" s="2062">
        <f t="shared" si="6"/>
        <v>229.86518163887658</v>
      </c>
      <c r="H21" s="2027">
        <f t="shared" si="6"/>
        <v>214.76156416078135</v>
      </c>
      <c r="I21" s="2027">
        <f t="shared" si="6"/>
        <v>183.13319802098994</v>
      </c>
      <c r="J21" s="2027">
        <f t="shared" si="6"/>
        <v>172.47010128289497</v>
      </c>
      <c r="K21" s="2027">
        <f t="shared" si="6"/>
        <v>170.71410132562914</v>
      </c>
      <c r="L21" s="2040"/>
      <c r="M21" s="2040"/>
      <c r="N21" s="2040"/>
      <c r="O21" s="2040"/>
      <c r="P21" s="2040"/>
      <c r="Q21" s="2040"/>
      <c r="R21" s="2040"/>
      <c r="S21" s="2040"/>
      <c r="T21" s="2040"/>
      <c r="U21" s="2040"/>
      <c r="V21" s="2040"/>
      <c r="W21" s="2040"/>
    </row>
    <row r="22" spans="1:23" s="2028" customFormat="1">
      <c r="A22" s="2063"/>
      <c r="B22" s="2059"/>
      <c r="C22" s="2059"/>
      <c r="D22" s="2059"/>
      <c r="E22" s="2059"/>
      <c r="F22" s="2059"/>
      <c r="G22" s="2059"/>
      <c r="H22" s="2060"/>
      <c r="I22" s="2060"/>
      <c r="J22" s="2060"/>
      <c r="K22" s="2063"/>
      <c r="L22" s="2063"/>
      <c r="M22" s="2063"/>
      <c r="N22" s="2063"/>
      <c r="O22" s="2063"/>
      <c r="P22" s="2063"/>
      <c r="Q22" s="2063"/>
      <c r="R22" s="2063"/>
      <c r="S22" s="2063"/>
      <c r="T22" s="2063"/>
      <c r="U22" s="2063"/>
      <c r="V22" s="2063"/>
      <c r="W22" s="2063"/>
    </row>
    <row r="23" spans="1:23" s="2029" customFormat="1" ht="11.25">
      <c r="A23" s="2064"/>
      <c r="B23" s="2065"/>
      <c r="C23" s="2066">
        <v>0</v>
      </c>
      <c r="D23" s="2066">
        <v>1</v>
      </c>
      <c r="E23" s="2066">
        <f t="shared" ref="E23:J23" si="7">D23+1</f>
        <v>2</v>
      </c>
      <c r="F23" s="2066">
        <f t="shared" si="7"/>
        <v>3</v>
      </c>
      <c r="G23" s="2066">
        <f t="shared" si="7"/>
        <v>4</v>
      </c>
      <c r="H23" s="2066">
        <f t="shared" si="7"/>
        <v>5</v>
      </c>
      <c r="I23" s="2066">
        <f t="shared" si="7"/>
        <v>6</v>
      </c>
      <c r="J23" s="2066">
        <f t="shared" si="7"/>
        <v>7</v>
      </c>
      <c r="K23" s="2064"/>
      <c r="L23" s="2064"/>
      <c r="M23" s="2064"/>
      <c r="N23" s="2064"/>
      <c r="O23" s="2064"/>
      <c r="P23" s="2064"/>
      <c r="Q23" s="2064"/>
      <c r="R23" s="2064"/>
      <c r="S23" s="2064"/>
      <c r="T23" s="2064"/>
      <c r="U23" s="2064"/>
      <c r="V23" s="2064"/>
      <c r="W23" s="2064"/>
    </row>
    <row r="24" spans="1:23">
      <c r="A24" s="2040"/>
      <c r="B24" s="2067" t="s">
        <v>825</v>
      </c>
      <c r="C24" s="2068">
        <f>1/(1+$H$39)^C23</f>
        <v>1</v>
      </c>
      <c r="D24" s="2068">
        <f t="shared" ref="D24:J24" si="8">1/(1+$H$39)^D23</f>
        <v>0.91646285296535768</v>
      </c>
      <c r="E24" s="2068">
        <f t="shared" si="8"/>
        <v>0.83990416086540276</v>
      </c>
      <c r="F24" s="2068">
        <f t="shared" si="8"/>
        <v>0.76974096348418175</v>
      </c>
      <c r="G24" s="2068">
        <f t="shared" si="8"/>
        <v>0.70543899943901633</v>
      </c>
      <c r="H24" s="2068">
        <f t="shared" si="8"/>
        <v>0.64650863801890823</v>
      </c>
      <c r="I24" s="2068">
        <f>1/(1+$H$39)^I23</f>
        <v>0.59250115086555633</v>
      </c>
      <c r="J24" s="2068">
        <f t="shared" si="8"/>
        <v>0.5430052951075055</v>
      </c>
      <c r="K24" s="2040"/>
      <c r="L24" s="2040"/>
      <c r="M24" s="2040"/>
      <c r="N24" s="2040"/>
      <c r="O24" s="2040"/>
      <c r="P24" s="2040"/>
      <c r="Q24" s="2040"/>
      <c r="R24" s="2040"/>
      <c r="S24" s="2040"/>
      <c r="T24" s="2040"/>
      <c r="U24" s="2040"/>
      <c r="V24" s="2040"/>
      <c r="W24" s="2040"/>
    </row>
    <row r="25" spans="1:23">
      <c r="B25" s="2031" t="s">
        <v>826</v>
      </c>
      <c r="C25" s="2032">
        <f t="shared" ref="C25:J25" si="9">C21*C24</f>
        <v>263.29885346961646</v>
      </c>
      <c r="D25" s="2032">
        <f t="shared" si="9"/>
        <v>214.95654493468993</v>
      </c>
      <c r="E25" s="2032">
        <f t="shared" si="9"/>
        <v>191.23665460232266</v>
      </c>
      <c r="F25" s="2032">
        <f t="shared" si="9"/>
        <v>173.7867768331304</v>
      </c>
      <c r="G25" s="2032">
        <f t="shared" si="9"/>
        <v>162.15586374119684</v>
      </c>
      <c r="H25" s="2032">
        <f t="shared" si="9"/>
        <v>138.84520634439713</v>
      </c>
      <c r="I25" s="2032">
        <f t="shared" si="9"/>
        <v>108.50663058912636</v>
      </c>
      <c r="J25" s="2033">
        <f t="shared" si="9"/>
        <v>93.652178244339751</v>
      </c>
      <c r="K25" s="2040"/>
      <c r="L25" s="2040"/>
      <c r="M25" s="2040"/>
      <c r="N25" s="2040"/>
      <c r="O25" s="2040"/>
      <c r="P25" s="2040"/>
      <c r="Q25" s="2040"/>
      <c r="R25" s="2040"/>
      <c r="S25" s="2040"/>
      <c r="T25" s="2040"/>
      <c r="U25" s="2040"/>
      <c r="V25" s="2040"/>
      <c r="W25" s="2040"/>
    </row>
    <row r="26" spans="1:23">
      <c r="A26" s="2040"/>
      <c r="B26" s="2067" t="s">
        <v>827</v>
      </c>
      <c r="C26" s="2040"/>
      <c r="D26" s="2040"/>
      <c r="E26" s="2040"/>
      <c r="F26" s="2040"/>
      <c r="G26" s="2040"/>
      <c r="H26" s="2040"/>
      <c r="I26" s="2040"/>
      <c r="J26" s="2067">
        <f>(J21*(1+C28))/(H39-C28)</f>
        <v>1520.6308068813798</v>
      </c>
      <c r="K26" s="2040"/>
      <c r="L26" s="2040"/>
      <c r="M26" s="2040"/>
      <c r="N26" s="2040"/>
      <c r="O26" s="2040"/>
      <c r="P26" s="2040"/>
      <c r="Q26" s="2040"/>
      <c r="R26" s="2040"/>
      <c r="S26" s="2040"/>
      <c r="T26" s="2040"/>
      <c r="U26" s="2040"/>
      <c r="V26" s="2040"/>
      <c r="W26" s="2040"/>
    </row>
    <row r="27" spans="1:23">
      <c r="B27" s="2034" t="s">
        <v>828</v>
      </c>
      <c r="C27" s="2035"/>
      <c r="D27" s="2035"/>
      <c r="E27" s="2035"/>
      <c r="F27" s="2035"/>
      <c r="G27" s="2035"/>
      <c r="H27" s="2035"/>
      <c r="I27" s="2035"/>
      <c r="J27" s="2033">
        <f>J26*J24</f>
        <v>825.71058004018789</v>
      </c>
      <c r="K27" s="2040"/>
      <c r="L27" s="2040"/>
      <c r="M27" s="2040"/>
      <c r="N27" s="2040"/>
      <c r="O27" s="2040"/>
      <c r="P27" s="2040"/>
      <c r="Q27" s="2040"/>
      <c r="R27" s="2040"/>
      <c r="S27" s="2040"/>
      <c r="T27" s="2040"/>
      <c r="U27" s="2040"/>
      <c r="V27" s="2040"/>
      <c r="W27" s="2040"/>
    </row>
    <row r="28" spans="1:23">
      <c r="A28" s="2040"/>
      <c r="B28" s="2067" t="s">
        <v>829</v>
      </c>
      <c r="C28" s="2069">
        <v>-0.02</v>
      </c>
      <c r="D28" s="2040"/>
      <c r="E28" s="2040"/>
      <c r="F28" s="2040"/>
      <c r="G28" s="2040"/>
      <c r="H28" s="2040"/>
      <c r="I28" s="2040"/>
      <c r="J28" s="2040"/>
      <c r="K28" s="2040"/>
      <c r="L28" s="2040"/>
      <c r="M28" s="2040"/>
      <c r="N28" s="2040"/>
      <c r="O28" s="2040"/>
      <c r="P28" s="2040"/>
      <c r="Q28" s="2040"/>
      <c r="R28" s="2040"/>
      <c r="S28" s="2040"/>
      <c r="T28" s="2040"/>
      <c r="U28" s="2040"/>
      <c r="V28" s="2040"/>
      <c r="W28" s="2040"/>
    </row>
    <row r="29" spans="1:23">
      <c r="A29" s="2040"/>
      <c r="B29" s="2067"/>
      <c r="C29" s="2040"/>
      <c r="D29" s="2040"/>
      <c r="E29" s="2040"/>
      <c r="F29" s="2040"/>
      <c r="G29" s="2040"/>
      <c r="H29" s="2048"/>
      <c r="I29" s="2040"/>
      <c r="J29" s="2040"/>
      <c r="K29" s="2040"/>
      <c r="L29" s="2040"/>
      <c r="M29" s="2040"/>
      <c r="N29" s="2040"/>
      <c r="O29" s="2040"/>
      <c r="P29" s="2040"/>
      <c r="Q29" s="2040"/>
      <c r="R29" s="2040"/>
      <c r="S29" s="2040"/>
      <c r="T29" s="2040"/>
      <c r="U29" s="2040"/>
      <c r="V29" s="2040"/>
      <c r="W29" s="2040"/>
    </row>
    <row r="30" spans="1:23">
      <c r="A30" s="2040"/>
      <c r="B30" s="2067" t="s">
        <v>830</v>
      </c>
      <c r="C30" s="2067">
        <f>bal!AY30</f>
        <v>0</v>
      </c>
      <c r="D30" s="2067"/>
      <c r="E30" s="2067" t="s">
        <v>831</v>
      </c>
      <c r="F30" s="2067"/>
      <c r="G30" s="2040"/>
      <c r="H30" s="2070">
        <v>2.4E-2</v>
      </c>
      <c r="I30" s="2040"/>
      <c r="J30" s="2040"/>
      <c r="K30" s="2040"/>
      <c r="L30" s="2040"/>
      <c r="M30" s="2040"/>
      <c r="N30" s="2040"/>
      <c r="O30" s="2040"/>
      <c r="P30" s="2040"/>
      <c r="Q30" s="2040"/>
      <c r="R30" s="2040"/>
      <c r="S30" s="2040"/>
      <c r="T30" s="2040"/>
      <c r="U30" s="2040"/>
      <c r="V30" s="2040"/>
      <c r="W30" s="2040"/>
    </row>
    <row r="31" spans="1:23">
      <c r="A31" s="2040"/>
      <c r="B31" s="2067" t="s">
        <v>832</v>
      </c>
      <c r="C31" s="2071">
        <f>bal!AY8</f>
        <v>559.03281839838087</v>
      </c>
      <c r="D31" s="2067"/>
      <c r="E31" s="2067" t="s">
        <v>833</v>
      </c>
      <c r="F31" s="2067"/>
      <c r="G31" s="2040"/>
      <c r="H31" s="2070">
        <v>5.1299999999999998E-2</v>
      </c>
      <c r="I31" s="2040"/>
      <c r="J31" s="2040"/>
      <c r="K31" s="2040"/>
      <c r="L31" s="2040"/>
      <c r="M31" s="2040"/>
      <c r="N31" s="2040"/>
      <c r="O31" s="2040"/>
      <c r="P31" s="2040"/>
      <c r="Q31" s="2040"/>
      <c r="R31" s="2040"/>
      <c r="S31" s="2040"/>
      <c r="T31" s="2040"/>
      <c r="U31" s="2040"/>
      <c r="V31" s="2040"/>
      <c r="W31" s="2040"/>
    </row>
    <row r="32" spans="1:23">
      <c r="A32" s="2040"/>
      <c r="B32" s="2072" t="s">
        <v>834</v>
      </c>
      <c r="C32" s="2072">
        <f>C30-C31</f>
        <v>-559.03281839838087</v>
      </c>
      <c r="D32" s="2072"/>
      <c r="E32" s="2067" t="s">
        <v>835</v>
      </c>
      <c r="F32" s="2072"/>
      <c r="G32" s="2040"/>
      <c r="H32" s="2084">
        <v>1.3089999999999999</v>
      </c>
      <c r="I32" s="2040"/>
      <c r="J32" s="2040"/>
      <c r="K32" s="2040"/>
      <c r="L32" s="2040"/>
      <c r="M32" s="2040"/>
      <c r="N32" s="2040"/>
      <c r="O32" s="2040"/>
      <c r="P32" s="2040"/>
      <c r="Q32" s="2040"/>
      <c r="R32" s="2040"/>
      <c r="S32" s="2040"/>
      <c r="T32" s="2040"/>
      <c r="U32" s="2040"/>
      <c r="V32" s="2040"/>
      <c r="W32" s="2040"/>
    </row>
    <row r="33" spans="1:23">
      <c r="A33" s="2040"/>
      <c r="B33" s="2073" t="s">
        <v>836</v>
      </c>
      <c r="C33" s="2074">
        <v>0.04</v>
      </c>
      <c r="D33" s="2067"/>
      <c r="E33" s="2067" t="s">
        <v>837</v>
      </c>
      <c r="F33" s="2067"/>
      <c r="G33" s="2040"/>
      <c r="H33" s="2083">
        <f>H30+H32*(H31)</f>
        <v>9.1151700000000002E-2</v>
      </c>
      <c r="I33" s="2040"/>
      <c r="J33" s="2040"/>
      <c r="K33" s="2040"/>
      <c r="L33" s="2040"/>
      <c r="M33" s="2040"/>
      <c r="N33" s="2040"/>
      <c r="O33" s="2040"/>
      <c r="P33" s="2040"/>
      <c r="Q33" s="2040"/>
      <c r="R33" s="2040"/>
      <c r="S33" s="2040"/>
      <c r="T33" s="2040"/>
      <c r="U33" s="2040"/>
      <c r="V33" s="2040"/>
      <c r="W33" s="2040"/>
    </row>
    <row r="34" spans="1:23">
      <c r="A34" s="2040"/>
      <c r="B34" s="2073" t="s">
        <v>838</v>
      </c>
      <c r="C34" s="2075">
        <f>C33*(1-0.35)</f>
        <v>2.6000000000000002E-2</v>
      </c>
      <c r="D34" s="2067"/>
      <c r="E34" s="2067"/>
      <c r="F34" s="2067"/>
      <c r="G34" s="2067"/>
      <c r="H34" s="2067"/>
      <c r="I34" s="2040"/>
      <c r="J34" s="2040"/>
      <c r="K34" s="2040"/>
      <c r="L34" s="2040"/>
      <c r="M34" s="2040"/>
      <c r="N34" s="2040"/>
      <c r="O34" s="2040"/>
      <c r="P34" s="2040"/>
      <c r="Q34" s="2040"/>
      <c r="R34" s="2040"/>
      <c r="S34" s="2040"/>
      <c r="T34" s="2040"/>
      <c r="U34" s="2040"/>
      <c r="V34" s="2040"/>
      <c r="W34" s="2040"/>
    </row>
    <row r="35" spans="1:23">
      <c r="A35" s="2040"/>
      <c r="B35" s="2067"/>
      <c r="C35" s="2067"/>
      <c r="D35" s="2067"/>
      <c r="E35" s="2067"/>
      <c r="F35" s="2067"/>
      <c r="G35" s="2067"/>
      <c r="H35" s="2067"/>
      <c r="I35" s="2040"/>
      <c r="J35" s="2040"/>
      <c r="K35" s="2040"/>
      <c r="L35" s="2040"/>
      <c r="M35" s="2040"/>
      <c r="N35" s="2040"/>
      <c r="O35" s="2040"/>
      <c r="P35" s="2040"/>
      <c r="Q35" s="2040"/>
      <c r="R35" s="2040"/>
      <c r="S35" s="2040"/>
      <c r="T35" s="2040"/>
      <c r="U35" s="2040"/>
      <c r="V35" s="2040"/>
      <c r="W35" s="2040"/>
    </row>
    <row r="36" spans="1:23">
      <c r="A36" s="2040"/>
      <c r="B36" s="2067" t="s">
        <v>839</v>
      </c>
      <c r="C36" s="2067">
        <f>'yrP&amp;L'!Y59</f>
        <v>178.43899999999999</v>
      </c>
      <c r="D36" s="2067"/>
      <c r="E36" s="2067"/>
      <c r="F36" s="2080"/>
      <c r="G36" s="2081"/>
      <c r="H36" s="2081"/>
      <c r="I36" s="2040"/>
      <c r="J36" s="2040"/>
      <c r="K36" s="2040"/>
      <c r="L36" s="2040"/>
      <c r="M36" s="2040"/>
      <c r="N36" s="2040"/>
      <c r="O36" s="2040"/>
      <c r="P36" s="2040"/>
      <c r="Q36" s="2040"/>
      <c r="R36" s="2040"/>
      <c r="S36" s="2040"/>
      <c r="T36" s="2040"/>
      <c r="U36" s="2040"/>
      <c r="V36" s="2040"/>
      <c r="W36" s="2040"/>
    </row>
    <row r="37" spans="1:23">
      <c r="A37" s="2040"/>
      <c r="B37" s="2067" t="s">
        <v>840</v>
      </c>
      <c r="C37" s="2076">
        <v>11.78</v>
      </c>
      <c r="D37" s="2067"/>
      <c r="E37" s="2077"/>
      <c r="F37" s="2082"/>
      <c r="G37" s="2081"/>
      <c r="H37" s="2081"/>
      <c r="I37" s="2040"/>
      <c r="J37" s="2040"/>
      <c r="K37" s="2040"/>
      <c r="L37" s="2040"/>
      <c r="M37" s="2040"/>
      <c r="N37" s="2040"/>
      <c r="O37" s="2040"/>
      <c r="P37" s="2040"/>
      <c r="Q37" s="2040"/>
      <c r="R37" s="2040"/>
      <c r="S37" s="2040"/>
      <c r="T37" s="2040"/>
      <c r="U37" s="2040"/>
      <c r="V37" s="2040"/>
      <c r="W37" s="2040"/>
    </row>
    <row r="38" spans="1:23">
      <c r="A38" s="2040"/>
      <c r="B38" s="2072" t="s">
        <v>374</v>
      </c>
      <c r="C38" s="2072">
        <f>C36*C37</f>
        <v>2102.0114199999998</v>
      </c>
      <c r="D38" s="2067"/>
      <c r="E38" s="2081"/>
      <c r="F38" s="2082"/>
      <c r="G38" s="2081"/>
      <c r="H38" s="2081"/>
      <c r="I38" s="2040"/>
      <c r="J38" s="2040"/>
      <c r="K38" s="2040"/>
      <c r="L38" s="2040"/>
      <c r="M38" s="2040"/>
      <c r="N38" s="2040"/>
      <c r="O38" s="2040"/>
      <c r="P38" s="2040"/>
      <c r="Q38" s="2040"/>
      <c r="R38" s="2040"/>
      <c r="S38" s="2040"/>
      <c r="T38" s="2040"/>
      <c r="U38" s="2040"/>
      <c r="V38" s="2040"/>
      <c r="W38" s="2040"/>
    </row>
    <row r="39" spans="1:23">
      <c r="A39" s="2040"/>
      <c r="B39" s="2072" t="s">
        <v>841</v>
      </c>
      <c r="C39" s="2072">
        <f>C32+C38</f>
        <v>1542.9786016016189</v>
      </c>
      <c r="D39" s="2067"/>
      <c r="E39" s="2031" t="s">
        <v>792</v>
      </c>
      <c r="F39" s="2036"/>
      <c r="G39" s="2036"/>
      <c r="H39" s="2037">
        <f>(C30/(C30+C38))*C34 + (C38/(C30+C38))*H33</f>
        <v>9.1151700000000002E-2</v>
      </c>
      <c r="I39" s="2040"/>
      <c r="J39" s="2040"/>
      <c r="K39" s="2040"/>
      <c r="L39" s="2040"/>
      <c r="M39" s="2040"/>
      <c r="N39" s="2040"/>
      <c r="O39" s="2040"/>
      <c r="P39" s="2040"/>
      <c r="Q39" s="2040"/>
      <c r="R39" s="2040"/>
      <c r="S39" s="2040"/>
      <c r="T39" s="2040"/>
      <c r="U39" s="2040"/>
      <c r="V39" s="2040"/>
      <c r="W39" s="2040"/>
    </row>
    <row r="40" spans="1:23">
      <c r="A40" s="2040"/>
      <c r="B40" s="2067"/>
      <c r="C40" s="2067"/>
      <c r="D40" s="2067"/>
      <c r="E40" s="2067"/>
      <c r="F40" s="2067"/>
      <c r="G40" s="2067"/>
      <c r="H40" s="2067"/>
      <c r="I40" s="2040"/>
      <c r="J40" s="2040"/>
      <c r="K40" s="2040"/>
      <c r="L40" s="2040"/>
      <c r="M40" s="2040"/>
      <c r="N40" s="2040"/>
      <c r="O40" s="2040"/>
      <c r="P40" s="2040"/>
      <c r="Q40" s="2040"/>
      <c r="R40" s="2040"/>
      <c r="S40" s="2040"/>
      <c r="T40" s="2040"/>
      <c r="U40" s="2040"/>
      <c r="V40" s="2040"/>
      <c r="W40" s="2040"/>
    </row>
    <row r="41" spans="1:23">
      <c r="A41" s="2040"/>
      <c r="B41" s="2067" t="s">
        <v>842</v>
      </c>
      <c r="C41" s="2067">
        <f>SUM(C25:J25)</f>
        <v>1346.4387087588195</v>
      </c>
      <c r="D41" s="2067"/>
      <c r="E41" s="2067"/>
      <c r="F41" s="2067"/>
      <c r="G41" s="2067"/>
      <c r="H41" s="2067"/>
      <c r="I41" s="2040"/>
      <c r="J41" s="2040"/>
      <c r="K41" s="2040"/>
      <c r="L41" s="2040"/>
      <c r="M41" s="2040"/>
      <c r="N41" s="2040"/>
      <c r="O41" s="2040"/>
      <c r="P41" s="2040"/>
      <c r="Q41" s="2040"/>
      <c r="R41" s="2040"/>
      <c r="S41" s="2040"/>
      <c r="T41" s="2040"/>
      <c r="U41" s="2040"/>
      <c r="V41" s="2040"/>
      <c r="W41" s="2040"/>
    </row>
    <row r="42" spans="1:23">
      <c r="A42" s="2040"/>
      <c r="B42" s="2067" t="s">
        <v>828</v>
      </c>
      <c r="C42" s="2071">
        <f>J27</f>
        <v>825.71058004018789</v>
      </c>
      <c r="D42" s="2067"/>
      <c r="E42" s="2067"/>
      <c r="F42" s="2067"/>
      <c r="G42" s="2067"/>
      <c r="H42" s="2067"/>
      <c r="I42" s="2040"/>
      <c r="J42" s="2040"/>
      <c r="K42" s="2040"/>
      <c r="L42" s="2040"/>
      <c r="M42" s="2040"/>
      <c r="N42" s="2040"/>
      <c r="O42" s="2040"/>
      <c r="P42" s="2040"/>
      <c r="Q42" s="2040"/>
      <c r="R42" s="2040"/>
      <c r="S42" s="2040"/>
      <c r="T42" s="2040"/>
      <c r="U42" s="2040"/>
      <c r="V42" s="2040"/>
      <c r="W42" s="2040"/>
    </row>
    <row r="43" spans="1:23">
      <c r="A43" s="2040"/>
      <c r="B43" s="2072" t="s">
        <v>843</v>
      </c>
      <c r="C43" s="2072">
        <f>SUM(C41:C42)</f>
        <v>2172.1492887990075</v>
      </c>
      <c r="D43" s="2067"/>
      <c r="E43" s="2067"/>
      <c r="F43" s="2067"/>
      <c r="G43" s="2067"/>
      <c r="H43" s="2067"/>
      <c r="I43" s="2040"/>
      <c r="J43" s="2040"/>
      <c r="K43" s="2040"/>
      <c r="L43" s="2040"/>
      <c r="M43" s="2040"/>
      <c r="N43" s="2040"/>
      <c r="O43" s="2040"/>
      <c r="P43" s="2040"/>
      <c r="Q43" s="2040"/>
      <c r="R43" s="2040"/>
      <c r="S43" s="2040"/>
      <c r="T43" s="2040"/>
      <c r="U43" s="2040"/>
      <c r="V43" s="2040"/>
      <c r="W43" s="2040"/>
    </row>
    <row r="44" spans="1:23">
      <c r="A44" s="2040"/>
      <c r="B44" s="2067" t="s">
        <v>844</v>
      </c>
      <c r="C44" s="2067">
        <f>-C30</f>
        <v>0</v>
      </c>
      <c r="D44" s="2077"/>
      <c r="E44" s="2077"/>
      <c r="F44" s="2077"/>
      <c r="G44" s="2077"/>
      <c r="H44" s="2077"/>
      <c r="I44" s="2077"/>
      <c r="J44" s="2077"/>
      <c r="K44" s="2077"/>
      <c r="L44" s="2040"/>
      <c r="M44" s="2040"/>
      <c r="N44" s="2040"/>
      <c r="O44" s="2040"/>
      <c r="P44" s="2040"/>
      <c r="Q44" s="2040"/>
      <c r="R44" s="2040"/>
      <c r="S44" s="2040"/>
      <c r="T44" s="2040"/>
      <c r="U44" s="2040"/>
      <c r="V44" s="2040"/>
      <c r="W44" s="2040"/>
    </row>
    <row r="45" spans="1:23">
      <c r="A45" s="2040"/>
      <c r="B45" s="2067" t="s">
        <v>845</v>
      </c>
      <c r="C45" s="2078">
        <f>+C31</f>
        <v>559.03281839838087</v>
      </c>
      <c r="D45" s="2067"/>
      <c r="E45" s="2067"/>
      <c r="F45" s="2067"/>
      <c r="G45" s="2067"/>
      <c r="H45" s="2067"/>
      <c r="I45" s="2040"/>
      <c r="J45" s="2040"/>
      <c r="K45" s="2040"/>
      <c r="L45" s="2040"/>
      <c r="M45" s="2040"/>
      <c r="N45" s="2040"/>
      <c r="O45" s="2040"/>
      <c r="P45" s="2040"/>
      <c r="Q45" s="2040"/>
      <c r="R45" s="2040"/>
      <c r="S45" s="2040"/>
      <c r="T45" s="2040"/>
      <c r="U45" s="2040"/>
      <c r="V45" s="2040"/>
      <c r="W45" s="2040"/>
    </row>
    <row r="46" spans="1:23" hidden="1" outlineLevel="1">
      <c r="A46" s="2040"/>
      <c r="B46" s="2067" t="s">
        <v>846</v>
      </c>
      <c r="C46" s="2078">
        <v>0</v>
      </c>
      <c r="D46" s="2067"/>
      <c r="E46" s="2067"/>
      <c r="F46" s="2067"/>
      <c r="G46" s="2067"/>
      <c r="H46" s="2067"/>
      <c r="I46" s="2040"/>
      <c r="J46" s="2040"/>
      <c r="K46" s="2040"/>
      <c r="L46" s="2040"/>
      <c r="M46" s="2040"/>
      <c r="N46" s="2040"/>
      <c r="O46" s="2040"/>
      <c r="P46" s="2040"/>
      <c r="Q46" s="2040"/>
      <c r="R46" s="2040"/>
      <c r="S46" s="2040"/>
      <c r="T46" s="2040"/>
      <c r="U46" s="2040"/>
      <c r="V46" s="2040"/>
      <c r="W46" s="2040"/>
    </row>
    <row r="47" spans="1:23" hidden="1" outlineLevel="1">
      <c r="A47" s="2040"/>
      <c r="B47" s="2067" t="s">
        <v>847</v>
      </c>
      <c r="C47" s="2079" t="s">
        <v>69</v>
      </c>
      <c r="D47" s="2067"/>
      <c r="E47" s="2067"/>
      <c r="F47" s="2067"/>
      <c r="G47" s="2067"/>
      <c r="H47" s="2067"/>
      <c r="I47" s="2040"/>
      <c r="J47" s="2040"/>
      <c r="K47" s="2040"/>
      <c r="L47" s="2040"/>
      <c r="M47" s="2040"/>
      <c r="N47" s="2040"/>
      <c r="O47" s="2040"/>
      <c r="P47" s="2040"/>
      <c r="Q47" s="2040"/>
      <c r="R47" s="2040"/>
      <c r="S47" s="2040"/>
      <c r="T47" s="2040"/>
      <c r="U47" s="2040"/>
      <c r="V47" s="2040"/>
      <c r="W47" s="2040"/>
    </row>
    <row r="48" spans="1:23" collapsed="1">
      <c r="A48" s="2040"/>
      <c r="B48" s="2072" t="s">
        <v>609</v>
      </c>
      <c r="C48" s="2072">
        <f>SUM(C43:C47)</f>
        <v>2731.1821071973882</v>
      </c>
      <c r="D48" s="2067"/>
      <c r="E48" s="2067"/>
      <c r="F48" s="2067"/>
      <c r="G48" s="2067"/>
      <c r="H48" s="2067"/>
      <c r="I48" s="2040"/>
      <c r="J48" s="2040"/>
      <c r="K48" s="2040"/>
      <c r="L48" s="2040"/>
      <c r="M48" s="2040"/>
      <c r="N48" s="2040"/>
      <c r="O48" s="2040"/>
      <c r="P48" s="2040"/>
      <c r="Q48" s="2040"/>
      <c r="R48" s="2040"/>
      <c r="S48" s="2040"/>
      <c r="T48" s="2040"/>
      <c r="U48" s="2040"/>
      <c r="V48" s="2040"/>
      <c r="W48" s="2040"/>
    </row>
    <row r="49" spans="1:23">
      <c r="A49" s="2040"/>
      <c r="B49" s="2038" t="s">
        <v>848</v>
      </c>
      <c r="C49" s="2039">
        <f>C48/C36</f>
        <v>15.305970708182562</v>
      </c>
      <c r="D49" s="2030"/>
      <c r="E49" s="2067"/>
      <c r="F49" s="2067"/>
      <c r="G49" s="2067"/>
      <c r="H49" s="2067"/>
      <c r="I49" s="2040"/>
      <c r="J49" s="2040"/>
      <c r="K49" s="2040"/>
      <c r="L49" s="2040"/>
      <c r="M49" s="2040"/>
      <c r="N49" s="2040"/>
      <c r="O49" s="2040"/>
      <c r="P49" s="2040"/>
      <c r="Q49" s="2040"/>
      <c r="R49" s="2040"/>
      <c r="S49" s="2040"/>
      <c r="T49" s="2040"/>
      <c r="U49" s="2040"/>
      <c r="V49" s="2040"/>
      <c r="W49" s="2040"/>
    </row>
    <row r="50" spans="1:23">
      <c r="A50" s="2040"/>
      <c r="B50" s="2067"/>
      <c r="C50" s="2058"/>
      <c r="D50" s="2040"/>
      <c r="E50" s="2040"/>
      <c r="F50" s="2040"/>
      <c r="G50" s="2040"/>
      <c r="H50" s="2040"/>
      <c r="I50" s="2040"/>
      <c r="J50" s="2040"/>
      <c r="K50" s="2040"/>
      <c r="L50" s="2040"/>
      <c r="M50" s="2040"/>
      <c r="N50" s="2040"/>
      <c r="O50" s="2040"/>
      <c r="P50" s="2040"/>
      <c r="Q50" s="2040"/>
      <c r="R50" s="2040"/>
      <c r="S50" s="2040"/>
      <c r="T50" s="2040"/>
      <c r="U50" s="2040"/>
      <c r="V50" s="2040"/>
      <c r="W50" s="2040"/>
    </row>
    <row r="51" spans="1:23">
      <c r="A51" s="2040"/>
      <c r="B51" s="2067"/>
      <c r="C51" s="2040"/>
      <c r="D51" s="2040"/>
      <c r="E51" s="2040"/>
      <c r="F51" s="2040"/>
      <c r="G51" s="2040"/>
      <c r="H51" s="2040"/>
      <c r="I51" s="2040"/>
      <c r="J51" s="2040"/>
      <c r="K51" s="2040"/>
      <c r="L51" s="2040"/>
      <c r="M51" s="2040"/>
      <c r="N51" s="2040"/>
      <c r="O51" s="2040"/>
      <c r="P51" s="2040"/>
      <c r="Q51" s="2040"/>
      <c r="R51" s="2040"/>
      <c r="S51" s="2040"/>
      <c r="T51" s="2040"/>
      <c r="U51" s="2040"/>
      <c r="V51" s="2040"/>
      <c r="W51" s="2040"/>
    </row>
    <row r="52" spans="1:23">
      <c r="A52" s="2040"/>
      <c r="B52" s="2067"/>
      <c r="C52" s="2040"/>
      <c r="D52" s="2040"/>
      <c r="E52" s="2040"/>
      <c r="F52" s="2040"/>
      <c r="G52" s="2040"/>
      <c r="H52" s="2040"/>
      <c r="I52" s="2040"/>
      <c r="J52" s="2040"/>
      <c r="K52" s="2040"/>
      <c r="L52" s="2040"/>
      <c r="M52" s="2040"/>
      <c r="N52" s="2040"/>
      <c r="O52" s="2040"/>
      <c r="P52" s="2040"/>
      <c r="Q52" s="2040"/>
      <c r="R52" s="2040"/>
      <c r="S52" s="2040"/>
      <c r="T52" s="2040"/>
      <c r="U52" s="2040"/>
      <c r="V52" s="2040"/>
      <c r="W52" s="2040"/>
    </row>
    <row r="53" spans="1:23">
      <c r="A53" s="2040"/>
      <c r="B53" s="2067"/>
      <c r="C53" s="2048"/>
      <c r="D53" s="2048"/>
      <c r="E53" s="2048"/>
      <c r="F53" s="2048"/>
      <c r="G53" s="2048"/>
      <c r="H53" s="2048"/>
      <c r="I53" s="2048"/>
      <c r="J53" s="2048"/>
      <c r="K53" s="2048"/>
      <c r="L53" s="2040"/>
      <c r="M53" s="2040"/>
      <c r="N53" s="2040"/>
      <c r="O53" s="2040"/>
      <c r="P53" s="2040"/>
      <c r="Q53" s="2040"/>
      <c r="R53" s="2040"/>
      <c r="S53" s="2040"/>
      <c r="T53" s="2040"/>
      <c r="U53" s="2040"/>
      <c r="V53" s="2040"/>
      <c r="W53" s="2040"/>
    </row>
    <row r="54" spans="1:23">
      <c r="A54" s="2040"/>
      <c r="B54" s="2067"/>
      <c r="C54" s="2040"/>
      <c r="D54" s="2040"/>
      <c r="E54" s="2040"/>
      <c r="F54" s="2040"/>
      <c r="G54" s="2040"/>
      <c r="H54" s="2040"/>
      <c r="I54" s="2040"/>
      <c r="J54" s="2040"/>
      <c r="K54" s="2040"/>
      <c r="L54" s="2040"/>
      <c r="M54" s="2040"/>
      <c r="N54" s="2040"/>
      <c r="O54" s="2040"/>
      <c r="P54" s="2040"/>
      <c r="Q54" s="2040"/>
      <c r="R54" s="2040"/>
      <c r="S54" s="2040"/>
      <c r="T54" s="2040"/>
      <c r="U54" s="2040"/>
      <c r="V54" s="2040"/>
      <c r="W54" s="2040"/>
    </row>
    <row r="55" spans="1:23">
      <c r="A55" s="2040"/>
      <c r="B55" s="2030"/>
    </row>
    <row r="56" spans="1:23">
      <c r="B56" s="2030"/>
    </row>
    <row r="57" spans="1:23">
      <c r="B57" s="2030"/>
    </row>
    <row r="58" spans="1:23">
      <c r="B58" s="2030"/>
    </row>
    <row r="59" spans="1:23">
      <c r="B59" s="2030"/>
    </row>
    <row r="60" spans="1:23">
      <c r="B60" s="2030"/>
    </row>
    <row r="61" spans="1:23">
      <c r="B61" s="2030"/>
    </row>
  </sheetData>
  <mergeCells count="2">
    <mergeCell ref="C1:G1"/>
    <mergeCell ref="H1:J1"/>
  </mergeCells>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B185"/>
  <sheetViews>
    <sheetView topLeftCell="A33" zoomScaleNormal="100" workbookViewId="0">
      <selection activeCell="Q68" sqref="Q68"/>
    </sheetView>
  </sheetViews>
  <sheetFormatPr defaultRowHeight="12.75" outlineLevelRow="1" outlineLevelCol="1"/>
  <cols>
    <col min="1" max="1" width="19.875" style="11" customWidth="1"/>
    <col min="2" max="2" width="1" style="11" customWidth="1"/>
    <col min="3" max="11" width="8" style="11" hidden="1" customWidth="1" outlineLevel="1"/>
    <col min="12" max="12" width="8" style="11" customWidth="1" collapsed="1"/>
    <col min="13" max="13" width="8" style="11" customWidth="1"/>
    <col min="14" max="15" width="7.25" style="11" customWidth="1"/>
    <col min="16" max="16" width="8" style="11" customWidth="1"/>
    <col min="17" max="19" width="8.25" style="11" customWidth="1"/>
    <col min="20" max="20" width="5.125" style="11" customWidth="1"/>
    <col min="21" max="21" width="7.625" style="11" bestFit="1" customWidth="1"/>
    <col min="22" max="22" width="8.25" style="11" bestFit="1" customWidth="1"/>
    <col min="23" max="23" width="6.5" style="11" customWidth="1"/>
    <col min="24" max="24" width="7.25" style="11" bestFit="1" customWidth="1"/>
    <col min="25" max="16384" width="9" style="11"/>
  </cols>
  <sheetData>
    <row r="1" spans="1:22" ht="11.25" customHeight="1"/>
    <row r="2" spans="1:22" ht="11.25" customHeight="1">
      <c r="U2" s="17" t="s">
        <v>315</v>
      </c>
      <c r="V2" s="61" t="s">
        <v>317</v>
      </c>
    </row>
    <row r="3" spans="1:22" ht="11.25" customHeight="1">
      <c r="A3" s="853" t="s">
        <v>617</v>
      </c>
      <c r="B3" s="17"/>
      <c r="C3" s="854" t="s">
        <v>691</v>
      </c>
      <c r="D3" s="854" t="s">
        <v>260</v>
      </c>
      <c r="E3" s="854" t="s">
        <v>259</v>
      </c>
      <c r="F3" s="854" t="s">
        <v>258</v>
      </c>
      <c r="G3" s="854" t="s">
        <v>257</v>
      </c>
      <c r="H3" s="854" t="s">
        <v>747</v>
      </c>
      <c r="I3" s="854" t="s">
        <v>748</v>
      </c>
      <c r="J3" s="854" t="s">
        <v>141</v>
      </c>
      <c r="K3" s="854" t="s">
        <v>479</v>
      </c>
      <c r="L3" s="854" t="s">
        <v>190</v>
      </c>
      <c r="M3" s="854" t="s">
        <v>187</v>
      </c>
      <c r="N3" s="854" t="s">
        <v>788</v>
      </c>
      <c r="O3" s="854" t="s">
        <v>800</v>
      </c>
      <c r="P3" s="854" t="s">
        <v>804</v>
      </c>
      <c r="Q3" s="854" t="s">
        <v>188</v>
      </c>
      <c r="R3" s="854" t="s">
        <v>787</v>
      </c>
      <c r="S3" s="854" t="s">
        <v>797</v>
      </c>
      <c r="U3" s="875">
        <v>13.65</v>
      </c>
      <c r="V3" s="876">
        <f>X62/-X104</f>
        <v>-0.6254901707381334</v>
      </c>
    </row>
    <row r="4" spans="1:22" ht="11.25" customHeight="1">
      <c r="A4" s="239" t="s">
        <v>778</v>
      </c>
      <c r="B4" s="17"/>
      <c r="C4" s="855" t="s">
        <v>737</v>
      </c>
      <c r="D4" s="855" t="s">
        <v>737</v>
      </c>
      <c r="E4" s="855" t="s">
        <v>737</v>
      </c>
      <c r="F4" s="855" t="s">
        <v>737</v>
      </c>
      <c r="G4" s="855" t="s">
        <v>737</v>
      </c>
      <c r="H4" s="855" t="s">
        <v>737</v>
      </c>
      <c r="I4" s="855" t="s">
        <v>737</v>
      </c>
      <c r="J4" s="855" t="s">
        <v>737</v>
      </c>
      <c r="K4" s="855" t="s">
        <v>737</v>
      </c>
      <c r="L4" s="855" t="s">
        <v>737</v>
      </c>
      <c r="M4" s="855" t="s">
        <v>737</v>
      </c>
      <c r="N4" s="855" t="s">
        <v>737</v>
      </c>
      <c r="O4" s="855" t="s">
        <v>737</v>
      </c>
      <c r="P4" s="855" t="s">
        <v>869</v>
      </c>
      <c r="Q4" s="855" t="s">
        <v>737</v>
      </c>
      <c r="R4" s="855" t="s">
        <v>737</v>
      </c>
      <c r="S4" s="855" t="s">
        <v>737</v>
      </c>
    </row>
    <row r="5" spans="1:22" ht="11.25" customHeight="1">
      <c r="C5" s="17"/>
      <c r="D5" s="17"/>
      <c r="E5" s="17"/>
      <c r="F5" s="17"/>
      <c r="G5" s="17"/>
      <c r="H5" s="17"/>
      <c r="I5" s="17"/>
      <c r="J5" s="17"/>
      <c r="K5" s="17"/>
      <c r="L5" s="17"/>
      <c r="M5" s="17"/>
    </row>
    <row r="6" spans="1:22" ht="11.25" customHeight="1">
      <c r="A6" s="884" t="s">
        <v>779</v>
      </c>
      <c r="C6" s="856">
        <f>'yrP&amp;L'!K7</f>
        <v>1889.6469999999999</v>
      </c>
      <c r="D6" s="856">
        <f>'yrP&amp;L'!L7</f>
        <v>2321.962</v>
      </c>
      <c r="E6" s="856">
        <f>'yrP&amp;L'!M7</f>
        <v>2794.4089999999997</v>
      </c>
      <c r="F6" s="856">
        <f>'yrP&amp;L'!N7</f>
        <v>3055.4189999999999</v>
      </c>
      <c r="G6" s="856">
        <f>'yrP&amp;L'!O7</f>
        <v>2988.866</v>
      </c>
      <c r="H6" s="856">
        <f>'yrP&amp;L'!P7</f>
        <v>2940.2689999999998</v>
      </c>
      <c r="I6" s="856">
        <f>'yrP&amp;L'!Q7</f>
        <v>2945.2939999999999</v>
      </c>
      <c r="J6" s="856">
        <f>'yrP&amp;L'!R7</f>
        <v>3120.0650000000001</v>
      </c>
      <c r="K6" s="856">
        <f>'yrP&amp;L'!S7</f>
        <v>3475.8019999999997</v>
      </c>
      <c r="L6" s="856">
        <f>'yrP&amp;L'!T7</f>
        <v>3305.8019999999997</v>
      </c>
      <c r="M6" s="856">
        <f>'yrP&amp;L'!U7</f>
        <v>3282.8670000000002</v>
      </c>
      <c r="N6" s="856">
        <f>'yrP&amp;L'!V7</f>
        <v>3521.848</v>
      </c>
      <c r="O6" s="856">
        <f>'yrP&amp;L'!W7</f>
        <v>3609.8650000000002</v>
      </c>
      <c r="P6" s="856">
        <f>'yrP&amp;L'!X7</f>
        <v>3795.549</v>
      </c>
      <c r="Q6" s="856">
        <f>'yrP&amp;L'!Y7</f>
        <v>3846.3313542304768</v>
      </c>
      <c r="R6" s="856">
        <f>'yrP&amp;L'!Z7</f>
        <v>3913.2237388919393</v>
      </c>
      <c r="S6" s="856">
        <f>'yrP&amp;L'!AA7</f>
        <v>3974.8909109841375</v>
      </c>
    </row>
    <row r="7" spans="1:22" ht="11.25" hidden="1" customHeight="1" outlineLevel="1">
      <c r="A7" s="884"/>
      <c r="C7" s="567"/>
      <c r="D7" s="567"/>
      <c r="E7" s="567"/>
      <c r="F7" s="567"/>
      <c r="G7" s="567"/>
      <c r="H7" s="567"/>
      <c r="I7" s="567"/>
      <c r="J7" s="567"/>
      <c r="K7" s="567"/>
      <c r="L7" s="567"/>
      <c r="M7" s="567"/>
    </row>
    <row r="8" spans="1:22" ht="11.25" hidden="1" customHeight="1" outlineLevel="1">
      <c r="A8" s="884" t="s">
        <v>780</v>
      </c>
      <c r="C8" s="856">
        <f>'yrP&amp;L'!K11</f>
        <v>1008.4589999999999</v>
      </c>
      <c r="D8" s="856">
        <f>'yrP&amp;L'!L11</f>
        <v>1244.213</v>
      </c>
      <c r="E8" s="856">
        <f>'yrP&amp;L'!M11</f>
        <v>1453.98</v>
      </c>
      <c r="F8" s="856">
        <f>'yrP&amp;L'!N11</f>
        <v>1632.2810000000002</v>
      </c>
      <c r="G8" s="856">
        <f>'yrP&amp;L'!O11</f>
        <v>1814.7660000000001</v>
      </c>
      <c r="H8" s="856">
        <f>'yrP&amp;L'!P11</f>
        <v>1766.8389999999999</v>
      </c>
      <c r="I8" s="856">
        <f>'yrP&amp;L'!Q11</f>
        <v>1763.1433999999999</v>
      </c>
      <c r="J8" s="856">
        <f>'yrP&amp;L'!R11</f>
        <v>1975.471</v>
      </c>
      <c r="K8" s="856">
        <f>'yrP&amp;L'!S11</f>
        <v>2084.5869999999995</v>
      </c>
      <c r="L8" s="856">
        <f>'yrP&amp;L'!T11</f>
        <v>2163.1790000000001</v>
      </c>
      <c r="M8" s="856">
        <f>'yrP&amp;L'!U11</f>
        <v>2128.1930000000002</v>
      </c>
      <c r="N8" s="856">
        <f>'yrP&amp;L'!V11</f>
        <v>2219.114</v>
      </c>
      <c r="O8" s="856">
        <f>'yrP&amp;L'!W11</f>
        <v>2243</v>
      </c>
      <c r="P8" s="856">
        <f>'yrP&amp;L'!X11</f>
        <v>2423.3650000000002</v>
      </c>
      <c r="Q8" s="856">
        <f>'yrP&amp;L'!Y11</f>
        <v>2452.6299158005886</v>
      </c>
      <c r="R8" s="856">
        <f>'yrP&amp;L'!Z11</f>
        <v>2500.5499691519494</v>
      </c>
      <c r="S8" s="856">
        <f>'yrP&amp;L'!AA11</f>
        <v>2547.9050739408322</v>
      </c>
    </row>
    <row r="9" spans="1:22" ht="11.25" hidden="1" customHeight="1" outlineLevel="1">
      <c r="A9" s="884"/>
      <c r="C9" s="567"/>
      <c r="D9" s="567"/>
      <c r="E9" s="567"/>
      <c r="F9" s="567"/>
      <c r="G9" s="567"/>
      <c r="H9" s="567"/>
      <c r="I9" s="567"/>
      <c r="J9" s="567"/>
      <c r="K9" s="567"/>
      <c r="L9" s="567"/>
      <c r="M9" s="567"/>
    </row>
    <row r="10" spans="1:22" ht="11.25" customHeight="1" collapsed="1">
      <c r="A10" s="884" t="s">
        <v>781</v>
      </c>
      <c r="C10" s="856">
        <f t="shared" ref="C10:P10" si="0">C6-C8</f>
        <v>881.18799999999999</v>
      </c>
      <c r="D10" s="856">
        <f t="shared" si="0"/>
        <v>1077.749</v>
      </c>
      <c r="E10" s="856">
        <f t="shared" si="0"/>
        <v>1340.4289999999996</v>
      </c>
      <c r="F10" s="856">
        <f t="shared" si="0"/>
        <v>1423.1379999999997</v>
      </c>
      <c r="G10" s="856">
        <f t="shared" si="0"/>
        <v>1174.0999999999999</v>
      </c>
      <c r="H10" s="856">
        <f t="shared" si="0"/>
        <v>1173.4299999999998</v>
      </c>
      <c r="I10" s="856">
        <f t="shared" si="0"/>
        <v>1182.1505999999999</v>
      </c>
      <c r="J10" s="856">
        <f t="shared" si="0"/>
        <v>1144.5940000000001</v>
      </c>
      <c r="K10" s="856">
        <f>K6-K8</f>
        <v>1391.2150000000001</v>
      </c>
      <c r="L10" s="856">
        <f t="shared" si="0"/>
        <v>1142.6229999999996</v>
      </c>
      <c r="M10" s="856">
        <f t="shared" si="0"/>
        <v>1154.674</v>
      </c>
      <c r="N10" s="856">
        <f t="shared" si="0"/>
        <v>1302.7339999999999</v>
      </c>
      <c r="O10" s="856">
        <f t="shared" si="0"/>
        <v>1366.8650000000002</v>
      </c>
      <c r="P10" s="856">
        <f t="shared" ref="P10" si="1">P6-P8</f>
        <v>1372.1839999999997</v>
      </c>
      <c r="Q10" s="856">
        <f>Q6-Q8</f>
        <v>1393.7014384298882</v>
      </c>
      <c r="R10" s="856">
        <f>R6-R8</f>
        <v>1412.6737697399899</v>
      </c>
      <c r="S10" s="856">
        <f>S6-S8</f>
        <v>1426.9858370433053</v>
      </c>
    </row>
    <row r="11" spans="1:22" ht="11.25" customHeight="1">
      <c r="A11" s="884" t="s">
        <v>782</v>
      </c>
      <c r="C11" s="567">
        <f>'yrP&amp;L'!K19</f>
        <v>450.77699999999999</v>
      </c>
      <c r="D11" s="567">
        <f>'yrP&amp;L'!L19</f>
        <v>540.33199999999999</v>
      </c>
      <c r="E11" s="567">
        <f>'yrP&amp;L'!M19</f>
        <v>665.60700000000008</v>
      </c>
      <c r="F11" s="567">
        <f>'yrP&amp;L'!N19</f>
        <v>715.18000000000006</v>
      </c>
      <c r="G11" s="567">
        <f>'yrP&amp;L'!O19</f>
        <v>734.04099999999994</v>
      </c>
      <c r="H11" s="567">
        <f>'yrP&amp;L'!P19</f>
        <v>725.27800000000002</v>
      </c>
      <c r="I11" s="567">
        <f>'yrP&amp;L'!Q19</f>
        <v>702.92399999999998</v>
      </c>
      <c r="J11" s="567">
        <f>'yrP&amp;L'!R19</f>
        <v>712.58699999999999</v>
      </c>
      <c r="K11" s="567">
        <f>'yrP&amp;L'!S19</f>
        <v>828.55499999999995</v>
      </c>
      <c r="L11" s="567">
        <f>'yrP&amp;L'!T19</f>
        <v>788.66499999999996</v>
      </c>
      <c r="M11" s="567">
        <f>'yrP&amp;L'!U19</f>
        <v>806.49799999999993</v>
      </c>
      <c r="N11" s="567">
        <f>'yrP&amp;L'!V19</f>
        <v>834.7</v>
      </c>
      <c r="O11" s="567">
        <f>'yrP&amp;L'!W19</f>
        <v>857.5</v>
      </c>
      <c r="P11" s="567">
        <f>'yrP&amp;L'!X19</f>
        <v>879.68499999999995</v>
      </c>
      <c r="Q11" s="567">
        <f>'yrP&amp;L'!Y19</f>
        <v>895.68117492419356</v>
      </c>
      <c r="R11" s="567">
        <f>'yrP&amp;L'!Z19</f>
        <v>913.34642065737864</v>
      </c>
      <c r="S11" s="567">
        <f>'yrP&amp;L'!AA19</f>
        <v>933.30438589907556</v>
      </c>
    </row>
    <row r="12" spans="1:22" ht="11.25" hidden="1" customHeight="1" outlineLevel="1">
      <c r="A12" s="884" t="s">
        <v>618</v>
      </c>
      <c r="C12" s="567">
        <f>'yrP&amp;L'!K28</f>
        <v>69.442999999999998</v>
      </c>
      <c r="D12" s="567">
        <f>'yrP&amp;L'!L28</f>
        <v>78.727999999999994</v>
      </c>
      <c r="E12" s="567">
        <f>'yrP&amp;L'!M28</f>
        <v>88.033000000000001</v>
      </c>
      <c r="F12" s="567">
        <f>'yrP&amp;L'!N28</f>
        <v>109.203</v>
      </c>
      <c r="G12" s="567">
        <f>'yrP&amp;L'!O28</f>
        <v>131.21899999999999</v>
      </c>
      <c r="H12" s="567">
        <f>'yrP&amp;L'!P28</f>
        <v>137.76000000000002</v>
      </c>
      <c r="I12" s="567">
        <f>'yrP&amp;L'!Q28</f>
        <v>139.67499999999998</v>
      </c>
      <c r="J12" s="567">
        <f>'yrP&amp;L'!R28</f>
        <v>137.95799999999997</v>
      </c>
      <c r="K12" s="567">
        <f>'yrP&amp;L'!S28</f>
        <v>125.536</v>
      </c>
      <c r="L12" s="567">
        <f>'yrP&amp;L'!T28</f>
        <v>120.25</v>
      </c>
      <c r="M12" s="567">
        <f>'yrP&amp;L'!U28</f>
        <v>141.19099999999997</v>
      </c>
      <c r="N12" s="567">
        <f>'yrP&amp;L'!V28</f>
        <v>148.154</v>
      </c>
      <c r="O12" s="567">
        <f>'yrP&amp;L'!W28</f>
        <v>156.72199999999998</v>
      </c>
      <c r="P12" s="567">
        <f>'yrP&amp;L'!X28</f>
        <v>167.42099999999999</v>
      </c>
      <c r="Q12" s="567">
        <f>'yrP&amp;L'!Y28</f>
        <v>178.04414514290619</v>
      </c>
      <c r="R12" s="567">
        <f>'yrP&amp;L'!Z28</f>
        <v>178.83432486736163</v>
      </c>
      <c r="S12" s="567">
        <f>'yrP&amp;L'!AA28</f>
        <v>186.81987281625447</v>
      </c>
    </row>
    <row r="13" spans="1:22" ht="11.25" customHeight="1" collapsed="1">
      <c r="A13" s="885" t="s">
        <v>14</v>
      </c>
      <c r="C13" s="856">
        <f t="shared" ref="C13:K13" si="2">C10-C11-C12</f>
        <v>360.96800000000002</v>
      </c>
      <c r="D13" s="856">
        <f t="shared" si="2"/>
        <v>458.68900000000002</v>
      </c>
      <c r="E13" s="856">
        <f t="shared" si="2"/>
        <v>586.78899999999953</v>
      </c>
      <c r="F13" s="856">
        <f t="shared" si="2"/>
        <v>598.75499999999965</v>
      </c>
      <c r="G13" s="856">
        <f t="shared" si="2"/>
        <v>308.83999999999997</v>
      </c>
      <c r="H13" s="856">
        <f t="shared" si="2"/>
        <v>310.39199999999983</v>
      </c>
      <c r="I13" s="856">
        <f t="shared" si="2"/>
        <v>339.55160000000001</v>
      </c>
      <c r="J13" s="856">
        <f t="shared" si="2"/>
        <v>294.04900000000009</v>
      </c>
      <c r="K13" s="856">
        <f t="shared" si="2"/>
        <v>437.12400000000019</v>
      </c>
      <c r="L13" s="856">
        <f t="shared" ref="L13:Q13" si="3">L10-L11-L12</f>
        <v>233.70799999999963</v>
      </c>
      <c r="M13" s="856">
        <f t="shared" si="3"/>
        <v>206.98500000000007</v>
      </c>
      <c r="N13" s="856">
        <f t="shared" si="3"/>
        <v>319.87999999999988</v>
      </c>
      <c r="O13" s="856">
        <f t="shared" si="3"/>
        <v>352.64300000000026</v>
      </c>
      <c r="P13" s="856">
        <f t="shared" ref="P13" si="4">P10-P11-P12</f>
        <v>325.0779999999998</v>
      </c>
      <c r="Q13" s="856">
        <f t="shared" si="3"/>
        <v>319.97611836278844</v>
      </c>
      <c r="R13" s="856">
        <f>R10-R11-R12</f>
        <v>320.49302421524965</v>
      </c>
      <c r="S13" s="856">
        <f>S10-S11-S12</f>
        <v>306.86157832797528</v>
      </c>
    </row>
    <row r="14" spans="1:22" ht="11.25" hidden="1" customHeight="1" outlineLevel="1">
      <c r="A14" s="884"/>
      <c r="C14" s="567"/>
      <c r="D14" s="567"/>
      <c r="E14" s="567"/>
      <c r="F14" s="567"/>
      <c r="G14" s="567"/>
      <c r="H14" s="567"/>
      <c r="I14" s="567"/>
      <c r="J14" s="567"/>
      <c r="K14" s="567"/>
      <c r="L14" s="567"/>
      <c r="M14" s="567"/>
    </row>
    <row r="15" spans="1:22" ht="11.25" hidden="1" customHeight="1" outlineLevel="1">
      <c r="A15" s="884" t="s">
        <v>619</v>
      </c>
      <c r="C15" s="567">
        <f>'yrP&amp;L'!K36</f>
        <v>-5.867</v>
      </c>
      <c r="D15" s="567">
        <f>'yrP&amp;L'!L36</f>
        <v>-18.277999999999999</v>
      </c>
      <c r="E15" s="567">
        <f>'yrP&amp;L'!M36</f>
        <v>-42.277999999999992</v>
      </c>
      <c r="F15" s="567">
        <f>'yrP&amp;L'!N36</f>
        <v>-37.626000000000005</v>
      </c>
      <c r="G15" s="567">
        <f>'yrP&amp;L'!O36</f>
        <v>-17.805999999999997</v>
      </c>
      <c r="H15" s="567">
        <f>'yrP&amp;L'!P36</f>
        <v>3.2679999999999998</v>
      </c>
      <c r="I15" s="567">
        <f>'yrP&amp;L'!Q36</f>
        <v>-2.024</v>
      </c>
      <c r="J15" s="567">
        <f>'yrP&amp;L'!R36</f>
        <v>-5.8739999999999997</v>
      </c>
      <c r="K15" s="567">
        <f>'yrP&amp;L'!S36</f>
        <v>-7.4320000000000004</v>
      </c>
      <c r="L15" s="567">
        <f>'yrP&amp;L'!T36</f>
        <v>-2.5369999999999999</v>
      </c>
      <c r="M15" s="567">
        <f>'yrP&amp;L'!U36</f>
        <v>-3.6080000000000001</v>
      </c>
      <c r="N15" s="567">
        <f>'yrP&amp;L'!V36</f>
        <v>-1.9919999999999995</v>
      </c>
      <c r="O15" s="567">
        <f>'yrP&amp;L'!W36</f>
        <v>-3.7839999999999998</v>
      </c>
      <c r="P15" s="567">
        <f>'yrP&amp;L'!X36</f>
        <v>7.6509999999999998</v>
      </c>
      <c r="Q15" s="567">
        <f>'yrP&amp;L'!Y36</f>
        <v>-2</v>
      </c>
      <c r="R15" s="567">
        <f>'yrP&amp;L'!Z36</f>
        <v>-6.3853062776180705E-2</v>
      </c>
      <c r="S15" s="567">
        <f>'yrP&amp;L'!AA36</f>
        <v>-6.4859301640495581E-2</v>
      </c>
    </row>
    <row r="16" spans="1:22" ht="11.25" hidden="1" customHeight="1" outlineLevel="1">
      <c r="A16" s="885" t="s">
        <v>620</v>
      </c>
      <c r="C16" s="856">
        <f t="shared" ref="C16:M16" si="5">C13-C15</f>
        <v>366.83500000000004</v>
      </c>
      <c r="D16" s="856">
        <f t="shared" si="5"/>
        <v>476.96700000000004</v>
      </c>
      <c r="E16" s="856">
        <f t="shared" si="5"/>
        <v>629.06699999999955</v>
      </c>
      <c r="F16" s="856">
        <f t="shared" si="5"/>
        <v>636.38099999999963</v>
      </c>
      <c r="G16" s="856">
        <f t="shared" si="5"/>
        <v>326.64599999999996</v>
      </c>
      <c r="H16" s="856">
        <f t="shared" si="5"/>
        <v>307.12399999999985</v>
      </c>
      <c r="I16" s="856">
        <f t="shared" si="5"/>
        <v>341.57560000000001</v>
      </c>
      <c r="J16" s="856">
        <f t="shared" si="5"/>
        <v>299.92300000000012</v>
      </c>
      <c r="K16" s="856">
        <f t="shared" si="5"/>
        <v>444.55600000000021</v>
      </c>
      <c r="L16" s="856">
        <f t="shared" si="5"/>
        <v>236.24499999999964</v>
      </c>
      <c r="M16" s="856">
        <f t="shared" si="5"/>
        <v>210.59300000000007</v>
      </c>
      <c r="N16" s="856">
        <f t="shared" ref="N16:S16" si="6">N13-N15</f>
        <v>321.8719999999999</v>
      </c>
      <c r="O16" s="856">
        <f t="shared" si="6"/>
        <v>356.42700000000025</v>
      </c>
      <c r="P16" s="856">
        <f t="shared" ref="P16" si="7">P13-P15</f>
        <v>317.42699999999979</v>
      </c>
      <c r="Q16" s="856">
        <f t="shared" si="6"/>
        <v>321.97611836278844</v>
      </c>
      <c r="R16" s="856">
        <f t="shared" si="6"/>
        <v>320.55687727802581</v>
      </c>
      <c r="S16" s="856">
        <f t="shared" si="6"/>
        <v>306.92643762961575</v>
      </c>
    </row>
    <row r="17" spans="1:24" ht="11.25" hidden="1" customHeight="1" outlineLevel="1">
      <c r="A17" s="884"/>
      <c r="C17" s="567"/>
      <c r="D17" s="567"/>
      <c r="E17" s="567"/>
      <c r="F17" s="567"/>
      <c r="G17" s="567"/>
      <c r="H17" s="567"/>
      <c r="I17" s="567"/>
      <c r="J17" s="567"/>
      <c r="K17" s="567"/>
      <c r="L17" s="567"/>
      <c r="M17" s="567"/>
    </row>
    <row r="18" spans="1:24" ht="11.25" customHeight="1" collapsed="1">
      <c r="A18" s="884" t="s">
        <v>786</v>
      </c>
      <c r="C18" s="567">
        <f>'yrP&amp;L'!K42</f>
        <v>142.60300000000001</v>
      </c>
      <c r="D18" s="567">
        <f>'yrP&amp;L'!L42</f>
        <v>183.25600000000003</v>
      </c>
      <c r="E18" s="567">
        <f>'yrP&amp;L'!M42</f>
        <v>241.708</v>
      </c>
      <c r="F18" s="567">
        <f>'yrP&amp;L'!N42</f>
        <v>236.36200000000002</v>
      </c>
      <c r="G18" s="567">
        <f>'yrP&amp;L'!O42</f>
        <v>121.6679</v>
      </c>
      <c r="H18" s="567">
        <f>'yrP&amp;L'!P42</f>
        <v>99.248999999999995</v>
      </c>
      <c r="I18" s="567">
        <f>'yrP&amp;L'!Q42</f>
        <v>121.64400000000001</v>
      </c>
      <c r="J18" s="567">
        <f>'yrP&amp;L'!R42</f>
        <v>109.40304</v>
      </c>
      <c r="K18" s="567">
        <f>'yrP&amp;L'!S42</f>
        <v>165.86799999999999</v>
      </c>
      <c r="L18" s="567">
        <f>'yrP&amp;L'!T42</f>
        <v>91.656999999999996</v>
      </c>
      <c r="M18" s="567">
        <f>'yrP&amp;L'!U42</f>
        <v>87.737111999999996</v>
      </c>
      <c r="N18" s="567">
        <f>'yrP&amp;L'!V42</f>
        <v>108.58099999999999</v>
      </c>
      <c r="O18" s="567">
        <f>'yrP&amp;L'!W42</f>
        <v>125.90100000000001</v>
      </c>
      <c r="P18" s="567">
        <f>'yrP&amp;L'!X42</f>
        <v>109.17010000000002</v>
      </c>
      <c r="Q18" s="567">
        <f>'yrP&amp;L'!Y42</f>
        <v>80.494029590697252</v>
      </c>
      <c r="R18" s="567">
        <f>'yrP&amp;L'!Z42</f>
        <v>80.139219319506594</v>
      </c>
      <c r="S18" s="567">
        <f>'yrP&amp;L'!AA42</f>
        <v>76.731609407404079</v>
      </c>
      <c r="U18" s="17" t="s">
        <v>312</v>
      </c>
      <c r="V18" s="17" t="s">
        <v>313</v>
      </c>
      <c r="W18" s="17" t="s">
        <v>314</v>
      </c>
      <c r="X18" s="17" t="s">
        <v>319</v>
      </c>
    </row>
    <row r="19" spans="1:24" ht="11.25" hidden="1" customHeight="1" outlineLevel="1">
      <c r="A19" s="884"/>
      <c r="C19" s="567"/>
      <c r="D19" s="567"/>
      <c r="E19" s="567"/>
      <c r="F19" s="567"/>
      <c r="G19" s="567"/>
      <c r="H19" s="567"/>
      <c r="I19" s="567"/>
      <c r="J19" s="567"/>
      <c r="K19" s="567"/>
      <c r="L19" s="567"/>
      <c r="M19" s="567"/>
      <c r="U19" s="17"/>
      <c r="V19" s="17"/>
      <c r="W19" s="17"/>
    </row>
    <row r="20" spans="1:24" ht="11.25" hidden="1" customHeight="1" outlineLevel="1">
      <c r="A20" s="884"/>
      <c r="C20" s="567"/>
      <c r="D20" s="567"/>
      <c r="E20" s="567"/>
      <c r="F20" s="567"/>
      <c r="G20" s="567"/>
      <c r="H20" s="567"/>
      <c r="I20" s="567"/>
      <c r="J20" s="567"/>
      <c r="K20" s="567"/>
      <c r="L20" s="567"/>
      <c r="M20" s="567"/>
      <c r="U20" s="17"/>
      <c r="V20" s="17"/>
      <c r="W20" s="17"/>
    </row>
    <row r="21" spans="1:24" ht="11.25" hidden="1" customHeight="1" outlineLevel="1">
      <c r="A21" s="884" t="s">
        <v>621</v>
      </c>
      <c r="C21" s="856">
        <f>C16-C18</f>
        <v>224.23200000000003</v>
      </c>
      <c r="D21" s="856">
        <f t="shared" ref="D21:P21" si="8">D16-D18</f>
        <v>293.71100000000001</v>
      </c>
      <c r="E21" s="856">
        <f t="shared" si="8"/>
        <v>387.35899999999958</v>
      </c>
      <c r="F21" s="856">
        <f t="shared" si="8"/>
        <v>400.01899999999961</v>
      </c>
      <c r="G21" s="856">
        <f t="shared" si="8"/>
        <v>204.97809999999996</v>
      </c>
      <c r="H21" s="856">
        <f t="shared" si="8"/>
        <v>207.87499999999986</v>
      </c>
      <c r="I21" s="856">
        <f t="shared" si="8"/>
        <v>219.9316</v>
      </c>
      <c r="J21" s="856">
        <f>J16-J18</f>
        <v>190.51996000000011</v>
      </c>
      <c r="K21" s="856">
        <f>K16-K18</f>
        <v>278.68800000000022</v>
      </c>
      <c r="L21" s="856">
        <f t="shared" si="8"/>
        <v>144.58799999999962</v>
      </c>
      <c r="M21" s="856">
        <f t="shared" si="8"/>
        <v>122.85588800000008</v>
      </c>
      <c r="N21" s="856">
        <f t="shared" si="8"/>
        <v>213.29099999999991</v>
      </c>
      <c r="O21" s="856">
        <f t="shared" si="8"/>
        <v>230.52600000000024</v>
      </c>
      <c r="P21" s="856">
        <f t="shared" ref="P21" si="9">P16-P18</f>
        <v>208.25689999999977</v>
      </c>
      <c r="Q21" s="856">
        <f>Q16-Q18</f>
        <v>241.48208877209117</v>
      </c>
      <c r="R21" s="856">
        <f>R16-R18</f>
        <v>240.41765795851921</v>
      </c>
      <c r="S21" s="856">
        <f>S16-S18</f>
        <v>230.19482822221167</v>
      </c>
      <c r="U21" s="17"/>
      <c r="V21" s="17"/>
      <c r="W21" s="17"/>
    </row>
    <row r="22" spans="1:24" ht="11.25" hidden="1" customHeight="1" outlineLevel="1">
      <c r="A22" s="884"/>
      <c r="C22" s="567"/>
      <c r="D22" s="567"/>
      <c r="E22" s="567"/>
      <c r="F22" s="567"/>
      <c r="G22" s="567"/>
      <c r="H22" s="567"/>
      <c r="I22" s="567"/>
      <c r="J22" s="567"/>
      <c r="K22" s="567"/>
      <c r="L22" s="567"/>
      <c r="M22" s="567"/>
      <c r="U22" s="17"/>
      <c r="V22" s="17"/>
      <c r="W22" s="17"/>
    </row>
    <row r="23" spans="1:24" ht="11.25" customHeight="1" collapsed="1">
      <c r="A23" s="252" t="s">
        <v>622</v>
      </c>
      <c r="B23" s="252"/>
      <c r="C23" s="851">
        <f t="shared" ref="C23:P23" si="10">C21/C24</f>
        <v>0.99496818508559426</v>
      </c>
      <c r="D23" s="851">
        <f t="shared" si="10"/>
        <v>1.2603945397822607</v>
      </c>
      <c r="E23" s="851">
        <f t="shared" si="10"/>
        <v>1.6960864158610043</v>
      </c>
      <c r="F23" s="851">
        <f t="shared" si="10"/>
        <v>1.815956963864171</v>
      </c>
      <c r="G23" s="851">
        <f t="shared" si="10"/>
        <v>0.98745604146794985</v>
      </c>
      <c r="H23" s="851">
        <f t="shared" si="10"/>
        <v>0.99218660506319378</v>
      </c>
      <c r="I23" s="851">
        <f t="shared" si="10"/>
        <v>1.0897521529298675</v>
      </c>
      <c r="J23" s="851">
        <f t="shared" si="10"/>
        <v>0.9706675633574452</v>
      </c>
      <c r="K23" s="851">
        <f>K21/K24</f>
        <v>1.3888221662970635</v>
      </c>
      <c r="L23" s="851">
        <f t="shared" si="10"/>
        <v>0.74347859622059198</v>
      </c>
      <c r="M23" s="851">
        <f t="shared" si="10"/>
        <v>0.62959432187972475</v>
      </c>
      <c r="N23" s="851">
        <f>N21/N24</f>
        <v>1.0869051198295934</v>
      </c>
      <c r="O23" s="851">
        <f t="shared" si="10"/>
        <v>1.2539831914488548</v>
      </c>
      <c r="P23" s="851">
        <f t="shared" ref="P23" si="11">P21/P24</f>
        <v>1.155980927640488</v>
      </c>
      <c r="Q23" s="851">
        <f>Q21/Q24</f>
        <v>1.3533033068560751</v>
      </c>
      <c r="R23" s="851">
        <f>R21/R24</f>
        <v>1.3549313170076434</v>
      </c>
      <c r="S23" s="851">
        <f>S21/S24</f>
        <v>1.3046708960162532</v>
      </c>
      <c r="U23" s="875">
        <f>M23</f>
        <v>0.62959432187972475</v>
      </c>
      <c r="V23" s="17">
        <v>13</v>
      </c>
      <c r="W23" s="875">
        <f>U23*V23</f>
        <v>8.1847261844364212</v>
      </c>
      <c r="X23" s="877">
        <f>W23/$U$3-1</f>
        <v>-0.40038636011454787</v>
      </c>
    </row>
    <row r="24" spans="1:24" ht="11.25" customHeight="1">
      <c r="A24" s="884" t="s">
        <v>623</v>
      </c>
      <c r="C24" s="567">
        <f>'yrP&amp;L'!K59</f>
        <v>225.36599999999999</v>
      </c>
      <c r="D24" s="567">
        <f>'yrP&amp;L'!L59</f>
        <v>233.03100000000001</v>
      </c>
      <c r="E24" s="567">
        <f>'yrP&amp;L'!M59</f>
        <v>228.38399999999999</v>
      </c>
      <c r="F24" s="567">
        <f>'yrP&amp;L'!N59</f>
        <v>220.28</v>
      </c>
      <c r="G24" s="567">
        <f>'yrP&amp;L'!O59</f>
        <v>207.58199999999999</v>
      </c>
      <c r="H24" s="567">
        <f>'yrP&amp;L'!P59</f>
        <v>209.512</v>
      </c>
      <c r="I24" s="567">
        <f>'yrP&amp;L'!Q59</f>
        <v>201.81800000000001</v>
      </c>
      <c r="J24" s="567">
        <f>'yrP&amp;L'!R59</f>
        <v>196.27725000000001</v>
      </c>
      <c r="K24" s="567">
        <f>'yrP&amp;L'!S59</f>
        <v>200.66499999999999</v>
      </c>
      <c r="L24" s="567">
        <f>'yrP&amp;L'!T59</f>
        <v>194.47499999999999</v>
      </c>
      <c r="M24" s="567">
        <f>'yrP&amp;L'!U59</f>
        <v>195.13499999999999</v>
      </c>
      <c r="N24" s="567">
        <f>'yrP&amp;L'!V59</f>
        <v>196.23699999999999</v>
      </c>
      <c r="O24" s="567">
        <f>'yrP&amp;L'!W59</f>
        <v>183.83500000000001</v>
      </c>
      <c r="P24" s="567">
        <f>'yrP&amp;L'!X59</f>
        <v>180.15600000000001</v>
      </c>
      <c r="Q24" s="567">
        <f>'yrP&amp;L'!Y59</f>
        <v>178.43899999999999</v>
      </c>
      <c r="R24" s="567">
        <f>'yrP&amp;L'!Z59</f>
        <v>177.43899999999999</v>
      </c>
      <c r="S24" s="567">
        <f>'yrP&amp;L'!AA59</f>
        <v>176.43899999999999</v>
      </c>
    </row>
    <row r="25" spans="1:24" ht="11.25" hidden="1" customHeight="1" outlineLevel="1">
      <c r="A25" s="884"/>
      <c r="C25" s="567"/>
      <c r="D25" s="567"/>
      <c r="E25" s="567"/>
      <c r="F25" s="567"/>
      <c r="G25" s="567"/>
      <c r="H25" s="567"/>
      <c r="I25" s="567"/>
      <c r="J25" s="567"/>
      <c r="K25" s="567"/>
      <c r="L25" s="567"/>
      <c r="M25" s="567"/>
    </row>
    <row r="26" spans="1:24" ht="11.25" hidden="1" customHeight="1" outlineLevel="1">
      <c r="A26" s="884" t="s">
        <v>16</v>
      </c>
      <c r="C26" s="856">
        <f>C13+C12</f>
        <v>430.411</v>
      </c>
      <c r="D26" s="856">
        <f t="shared" ref="D26:P26" si="12">D13+D12</f>
        <v>537.41700000000003</v>
      </c>
      <c r="E26" s="856">
        <f t="shared" si="12"/>
        <v>674.82199999999955</v>
      </c>
      <c r="F26" s="856">
        <f t="shared" si="12"/>
        <v>707.95799999999963</v>
      </c>
      <c r="G26" s="856">
        <f t="shared" si="12"/>
        <v>440.05899999999997</v>
      </c>
      <c r="H26" s="856">
        <f t="shared" si="12"/>
        <v>448.15199999999982</v>
      </c>
      <c r="I26" s="856">
        <f t="shared" si="12"/>
        <v>479.22659999999996</v>
      </c>
      <c r="J26" s="856">
        <f t="shared" si="12"/>
        <v>432.00700000000006</v>
      </c>
      <c r="K26" s="856">
        <f>K13+K12</f>
        <v>562.6600000000002</v>
      </c>
      <c r="L26" s="856">
        <f t="shared" si="12"/>
        <v>353.95799999999963</v>
      </c>
      <c r="M26" s="856">
        <f t="shared" si="12"/>
        <v>348.17600000000004</v>
      </c>
      <c r="N26" s="856">
        <f t="shared" si="12"/>
        <v>468.03399999999988</v>
      </c>
      <c r="O26" s="856">
        <f t="shared" si="12"/>
        <v>509.36500000000024</v>
      </c>
      <c r="P26" s="856">
        <f t="shared" ref="P26" si="13">P13+P12</f>
        <v>492.4989999999998</v>
      </c>
      <c r="Q26" s="856">
        <f>Q13+Q12</f>
        <v>498.02026350569463</v>
      </c>
      <c r="R26" s="856">
        <f>R13+R12</f>
        <v>499.32734908261125</v>
      </c>
      <c r="S26" s="856">
        <f>S13+S12</f>
        <v>493.68145114422975</v>
      </c>
    </row>
    <row r="27" spans="1:24" ht="11.25" customHeight="1" collapsed="1">
      <c r="A27" s="884"/>
      <c r="C27" s="567"/>
      <c r="D27" s="567"/>
      <c r="E27" s="567"/>
      <c r="F27" s="567"/>
      <c r="G27" s="567"/>
      <c r="H27" s="567"/>
      <c r="I27" s="567"/>
      <c r="J27" s="567"/>
      <c r="K27" s="567"/>
      <c r="L27" s="567"/>
      <c r="M27" s="567"/>
    </row>
    <row r="28" spans="1:24" ht="11.25" customHeight="1">
      <c r="A28" s="886" t="s">
        <v>3</v>
      </c>
      <c r="C28" s="567"/>
      <c r="D28" s="567"/>
      <c r="E28" s="567"/>
      <c r="F28" s="567"/>
      <c r="G28" s="567"/>
      <c r="H28" s="567"/>
      <c r="I28" s="567"/>
      <c r="J28" s="567"/>
      <c r="K28" s="567"/>
      <c r="L28" s="567"/>
      <c r="M28" s="567"/>
    </row>
    <row r="29" spans="1:24" ht="11.25" customHeight="1">
      <c r="A29" s="884" t="s">
        <v>32</v>
      </c>
      <c r="C29" s="857">
        <f>C10/C6</f>
        <v>0.46632413355510316</v>
      </c>
      <c r="D29" s="857">
        <f t="shared" ref="D29:M29" si="14">D10/D6</f>
        <v>0.46415445214004364</v>
      </c>
      <c r="E29" s="857">
        <f t="shared" si="14"/>
        <v>0.47968246595255021</v>
      </c>
      <c r="F29" s="857">
        <f t="shared" si="14"/>
        <v>0.46577507045678507</v>
      </c>
      <c r="G29" s="857">
        <f t="shared" si="14"/>
        <v>0.39282456958592321</v>
      </c>
      <c r="H29" s="857">
        <f t="shared" si="14"/>
        <v>0.39908933502342808</v>
      </c>
      <c r="I29" s="857">
        <f t="shared" si="14"/>
        <v>0.40136930303052937</v>
      </c>
      <c r="J29" s="857">
        <f t="shared" si="14"/>
        <v>0.36684940858603909</v>
      </c>
      <c r="K29" s="857">
        <f>K10/K6</f>
        <v>0.40025726436661246</v>
      </c>
      <c r="L29" s="857">
        <f t="shared" si="14"/>
        <v>0.34564169299915715</v>
      </c>
      <c r="M29" s="857">
        <f t="shared" si="14"/>
        <v>0.35172731639752691</v>
      </c>
      <c r="N29" s="857">
        <f t="shared" ref="N29:S29" si="15">N10/N6</f>
        <v>0.36990068850217273</v>
      </c>
      <c r="O29" s="857">
        <f t="shared" si="15"/>
        <v>0.37864712392291683</v>
      </c>
      <c r="P29" s="857">
        <f t="shared" ref="P29" si="16">P10/P6</f>
        <v>0.36152451200076713</v>
      </c>
      <c r="Q29" s="857">
        <f t="shared" si="15"/>
        <v>0.36234565097907995</v>
      </c>
      <c r="R29" s="857">
        <f t="shared" si="15"/>
        <v>0.36099999999999993</v>
      </c>
      <c r="S29" s="857">
        <f t="shared" si="15"/>
        <v>0.35899999999999999</v>
      </c>
    </row>
    <row r="30" spans="1:24" ht="11.25" customHeight="1">
      <c r="A30" s="884" t="s">
        <v>5</v>
      </c>
      <c r="C30" s="857">
        <f>C11/C6</f>
        <v>0.23855090395190212</v>
      </c>
      <c r="D30" s="857">
        <f t="shared" ref="D30:M30" si="17">D11/D6</f>
        <v>0.23270492798762427</v>
      </c>
      <c r="E30" s="857">
        <f t="shared" si="17"/>
        <v>0.23819240490565274</v>
      </c>
      <c r="F30" s="857">
        <f t="shared" si="17"/>
        <v>0.23406936986383867</v>
      </c>
      <c r="G30" s="857">
        <f t="shared" si="17"/>
        <v>0.24559180639078498</v>
      </c>
      <c r="H30" s="857">
        <f t="shared" si="17"/>
        <v>0.2466706277554877</v>
      </c>
      <c r="I30" s="857">
        <f t="shared" si="17"/>
        <v>0.23866004548272601</v>
      </c>
      <c r="J30" s="857">
        <f t="shared" si="17"/>
        <v>0.22838851113678721</v>
      </c>
      <c r="K30" s="857">
        <f>K11/K6</f>
        <v>0.23837807792273555</v>
      </c>
      <c r="L30" s="857">
        <f t="shared" si="17"/>
        <v>0.23856994460043282</v>
      </c>
      <c r="M30" s="857">
        <f t="shared" si="17"/>
        <v>0.24566880108149367</v>
      </c>
      <c r="N30" s="857">
        <f t="shared" ref="N30:S30" si="18">N11/N6</f>
        <v>0.23700625353507593</v>
      </c>
      <c r="O30" s="857">
        <f t="shared" si="18"/>
        <v>0.23754350924480555</v>
      </c>
      <c r="P30" s="857">
        <f t="shared" ref="P30" si="19">P11/P6</f>
        <v>0.23176752559379418</v>
      </c>
      <c r="Q30" s="857">
        <f t="shared" si="18"/>
        <v>0.23286635820885734</v>
      </c>
      <c r="R30" s="857">
        <f t="shared" si="18"/>
        <v>0.2334</v>
      </c>
      <c r="S30" s="857">
        <f t="shared" si="18"/>
        <v>0.23480000000000001</v>
      </c>
    </row>
    <row r="31" spans="1:24" ht="11.25" customHeight="1">
      <c r="A31" s="884" t="s">
        <v>6</v>
      </c>
      <c r="C31" s="857">
        <f>C13/C6</f>
        <v>0.19102403782293731</v>
      </c>
      <c r="D31" s="857">
        <f t="shared" ref="D31:M31" si="20">D13/D6</f>
        <v>0.19754371518569211</v>
      </c>
      <c r="E31" s="857">
        <f t="shared" si="20"/>
        <v>0.20998679863971223</v>
      </c>
      <c r="F31" s="857">
        <f t="shared" si="20"/>
        <v>0.1959649396694855</v>
      </c>
      <c r="G31" s="857">
        <f t="shared" si="20"/>
        <v>0.10333015933133168</v>
      </c>
      <c r="H31" s="857">
        <f t="shared" si="20"/>
        <v>0.10556585128775628</v>
      </c>
      <c r="I31" s="857">
        <f t="shared" si="20"/>
        <v>0.11528614800423999</v>
      </c>
      <c r="J31" s="857">
        <f t="shared" si="20"/>
        <v>9.4244510931663306E-2</v>
      </c>
      <c r="K31" s="857">
        <f>K13/K6</f>
        <v>0.12576205434026455</v>
      </c>
      <c r="L31" s="857">
        <f t="shared" si="20"/>
        <v>7.0696309095341969E-2</v>
      </c>
      <c r="M31" s="898">
        <f t="shared" si="20"/>
        <v>6.3050071781768816E-2</v>
      </c>
      <c r="N31" s="898">
        <f t="shared" ref="N31:S31" si="21">N13/N6</f>
        <v>9.0827315659278846E-2</v>
      </c>
      <c r="O31" s="898">
        <f t="shared" si="21"/>
        <v>9.768869472958136E-2</v>
      </c>
      <c r="P31" s="898">
        <f t="shared" ref="P31" si="22">P13/P6</f>
        <v>8.5647161978412031E-2</v>
      </c>
      <c r="Q31" s="898">
        <f t="shared" si="21"/>
        <v>8.3189951383376079E-2</v>
      </c>
      <c r="R31" s="898">
        <f t="shared" si="21"/>
        <v>8.1899999999999959E-2</v>
      </c>
      <c r="S31" s="898">
        <f t="shared" si="21"/>
        <v>7.7199999999999963E-2</v>
      </c>
    </row>
    <row r="32" spans="1:24" ht="11.25" customHeight="1">
      <c r="A32" s="884" t="s">
        <v>8</v>
      </c>
      <c r="C32" s="857">
        <f>C18/C16</f>
        <v>0.38873880627530089</v>
      </c>
      <c r="D32" s="857">
        <f t="shared" ref="D32:M32" si="23">D18/D16</f>
        <v>0.38421106701302188</v>
      </c>
      <c r="E32" s="857">
        <f t="shared" si="23"/>
        <v>0.38423252213198306</v>
      </c>
      <c r="F32" s="857">
        <f t="shared" si="23"/>
        <v>0.37141586565280887</v>
      </c>
      <c r="G32" s="857">
        <f t="shared" si="23"/>
        <v>0.37247631993044461</v>
      </c>
      <c r="H32" s="857">
        <f t="shared" si="23"/>
        <v>0.32315611935244409</v>
      </c>
      <c r="I32" s="857">
        <f t="shared" si="23"/>
        <v>0.35612614015755223</v>
      </c>
      <c r="J32" s="857">
        <f t="shared" si="23"/>
        <v>0.36477042440893148</v>
      </c>
      <c r="K32" s="857">
        <f>K18/K16</f>
        <v>0.37310934955326197</v>
      </c>
      <c r="L32" s="857">
        <f t="shared" si="23"/>
        <v>0.38797434866346436</v>
      </c>
      <c r="M32" s="857">
        <f t="shared" si="23"/>
        <v>0.41661931783107686</v>
      </c>
      <c r="N32" s="857">
        <f t="shared" ref="N32:S32" si="24">N18/N16</f>
        <v>0.33734217328627536</v>
      </c>
      <c r="O32" s="857">
        <f t="shared" si="24"/>
        <v>0.35323081584728411</v>
      </c>
      <c r="P32" s="857">
        <f t="shared" ref="P32" si="25">P18/P16</f>
        <v>0.34392190960441327</v>
      </c>
      <c r="Q32" s="857">
        <f t="shared" si="24"/>
        <v>0.25000000000000044</v>
      </c>
      <c r="R32" s="857">
        <f t="shared" si="24"/>
        <v>0.25000000000000044</v>
      </c>
      <c r="S32" s="857">
        <f t="shared" si="24"/>
        <v>0.25000000000000044</v>
      </c>
    </row>
    <row r="33" spans="1:19" ht="11.25" customHeight="1">
      <c r="A33" s="884"/>
      <c r="C33" s="567"/>
      <c r="D33" s="567"/>
      <c r="E33" s="567"/>
      <c r="F33" s="567"/>
      <c r="G33" s="567"/>
      <c r="H33" s="567"/>
      <c r="I33" s="567"/>
      <c r="J33" s="567"/>
      <c r="K33" s="567"/>
      <c r="L33" s="567"/>
      <c r="M33" s="567"/>
    </row>
    <row r="34" spans="1:19" ht="11.25" customHeight="1">
      <c r="A34" s="886" t="s">
        <v>11</v>
      </c>
      <c r="C34" s="567"/>
      <c r="D34" s="567"/>
      <c r="E34" s="567"/>
      <c r="F34" s="567"/>
      <c r="G34" s="567"/>
      <c r="H34" s="567"/>
      <c r="I34" s="567"/>
      <c r="J34" s="567"/>
      <c r="K34" s="567"/>
      <c r="L34" s="567"/>
      <c r="M34" s="567"/>
    </row>
    <row r="35" spans="1:19" ht="11.25" customHeight="1">
      <c r="A35" s="884" t="s">
        <v>738</v>
      </c>
      <c r="C35" s="858" t="s">
        <v>69</v>
      </c>
      <c r="D35" s="857">
        <f>((D6/C6)-1)</f>
        <v>0.22878082520174403</v>
      </c>
      <c r="E35" s="857">
        <f t="shared" ref="E35:M35" si="26">((E6/D6)-1)</f>
        <v>0.20346887675164349</v>
      </c>
      <c r="F35" s="857">
        <f t="shared" si="26"/>
        <v>9.3404365645830767E-2</v>
      </c>
      <c r="G35" s="857">
        <f t="shared" si="26"/>
        <v>-2.1781955273564746E-2</v>
      </c>
      <c r="H35" s="857">
        <f t="shared" si="26"/>
        <v>-1.6259343844789331E-2</v>
      </c>
      <c r="I35" s="857">
        <f t="shared" si="26"/>
        <v>1.7090273032842607E-3</v>
      </c>
      <c r="J35" s="857">
        <f t="shared" si="26"/>
        <v>5.9339067678812363E-2</v>
      </c>
      <c r="K35" s="857">
        <f t="shared" si="26"/>
        <v>0.11401589389964628</v>
      </c>
      <c r="L35" s="857">
        <f t="shared" si="26"/>
        <v>-4.8909575401590799E-2</v>
      </c>
      <c r="M35" s="857">
        <f t="shared" si="26"/>
        <v>-6.9378020825202613E-3</v>
      </c>
      <c r="N35" s="857">
        <f t="shared" ref="N35:S35" si="27">((N6/M6)-1)</f>
        <v>7.2796430680865054E-2</v>
      </c>
      <c r="O35" s="857">
        <f t="shared" si="27"/>
        <v>2.4991708898282949E-2</v>
      </c>
      <c r="P35" s="857">
        <f t="shared" si="27"/>
        <v>5.1437934659606332E-2</v>
      </c>
      <c r="Q35" s="857">
        <f t="shared" si="27"/>
        <v>1.3379448988928067E-2</v>
      </c>
      <c r="R35" s="857">
        <f t="shared" si="27"/>
        <v>1.7391217370778422E-2</v>
      </c>
      <c r="S35" s="857">
        <f t="shared" si="27"/>
        <v>1.5758662475470864E-2</v>
      </c>
    </row>
    <row r="36" spans="1:19" ht="11.25" customHeight="1">
      <c r="A36" s="884" t="s">
        <v>624</v>
      </c>
      <c r="C36" s="857">
        <f>yrSales!L43</f>
        <v>0.214</v>
      </c>
      <c r="D36" s="857">
        <f>yrSales!M43</f>
        <v>0.155</v>
      </c>
      <c r="E36" s="857">
        <f>yrSales!N43</f>
        <v>0.12</v>
      </c>
      <c r="F36" s="857">
        <f>yrSales!O43</f>
        <v>1.5272651879374904E-2</v>
      </c>
      <c r="G36" s="857">
        <f>yrSales!P43</f>
        <v>-0.1</v>
      </c>
      <c r="H36" s="857">
        <f>yrSales!Q43</f>
        <v>-0.04</v>
      </c>
      <c r="I36" s="857">
        <f>yrSales!R43</f>
        <v>-0.01</v>
      </c>
      <c r="J36" s="857">
        <f>yrSales!S43</f>
        <v>0.04</v>
      </c>
      <c r="K36" s="857">
        <f>yrSales!T43</f>
        <v>0.09</v>
      </c>
      <c r="L36" s="857">
        <f>yrSales!U43</f>
        <v>-0.06</v>
      </c>
      <c r="M36" s="857">
        <f>yrSales!V43</f>
        <v>-0.05</v>
      </c>
      <c r="N36" s="857">
        <f>yrSales!W43</f>
        <v>7.0000000000000007E-2</v>
      </c>
      <c r="O36" s="857">
        <f>yrSales!X43</f>
        <v>0.03</v>
      </c>
      <c r="P36" s="857">
        <f>yrSales!Y43</f>
        <v>0.04</v>
      </c>
      <c r="Q36" s="857">
        <f>yrSales!Z43</f>
        <v>2.0712879278911158E-2</v>
      </c>
      <c r="R36" s="857">
        <f>yrSales!AA43</f>
        <v>0.01</v>
      </c>
      <c r="S36" s="857">
        <f>yrSales!AB43</f>
        <v>0.01</v>
      </c>
    </row>
    <row r="37" spans="1:19" ht="11.25" customHeight="1">
      <c r="A37" s="884" t="s">
        <v>782</v>
      </c>
      <c r="C37" s="859" t="s">
        <v>69</v>
      </c>
      <c r="D37" s="857">
        <f>((D11/C11)-1)</f>
        <v>0.19866807756385096</v>
      </c>
      <c r="E37" s="857">
        <f t="shared" ref="E37:M37" si="28">((E11/D11)-1)</f>
        <v>0.23184819703441595</v>
      </c>
      <c r="F37" s="857">
        <f t="shared" si="28"/>
        <v>7.4477882594383704E-2</v>
      </c>
      <c r="G37" s="857">
        <f t="shared" si="28"/>
        <v>2.6372381778013709E-2</v>
      </c>
      <c r="H37" s="857">
        <f t="shared" si="28"/>
        <v>-1.1938025260169294E-2</v>
      </c>
      <c r="I37" s="857">
        <f t="shared" si="28"/>
        <v>-3.0821285079652316E-2</v>
      </c>
      <c r="J37" s="857">
        <f t="shared" si="28"/>
        <v>1.3746863103265783E-2</v>
      </c>
      <c r="K37" s="857">
        <f t="shared" si="28"/>
        <v>0.16274223357989959</v>
      </c>
      <c r="L37" s="857">
        <f t="shared" si="28"/>
        <v>-4.814405802873678E-2</v>
      </c>
      <c r="M37" s="857">
        <f t="shared" si="28"/>
        <v>2.2611628511471915E-2</v>
      </c>
      <c r="N37" s="857">
        <f t="shared" ref="N37:S37" si="29">((N11/M11)-1)</f>
        <v>3.4968468613685522E-2</v>
      </c>
      <c r="O37" s="857">
        <f t="shared" si="29"/>
        <v>2.7315203066970106E-2</v>
      </c>
      <c r="P37" s="857">
        <f t="shared" si="29"/>
        <v>2.5871720116618091E-2</v>
      </c>
      <c r="Q37" s="857">
        <f t="shared" si="29"/>
        <v>1.8183980543255318E-2</v>
      </c>
      <c r="R37" s="857">
        <f t="shared" si="29"/>
        <v>1.9722693998431184E-2</v>
      </c>
      <c r="S37" s="857">
        <f t="shared" si="29"/>
        <v>2.1851473647131803E-2</v>
      </c>
    </row>
    <row r="38" spans="1:19" ht="11.25" customHeight="1">
      <c r="A38" s="884" t="s">
        <v>14</v>
      </c>
      <c r="C38" s="859" t="s">
        <v>69</v>
      </c>
      <c r="D38" s="857">
        <f>((D13/C13)-1)</f>
        <v>0.27071928813634449</v>
      </c>
      <c r="E38" s="857">
        <f t="shared" ref="E38:M38" si="30">((E13/D13)-1)</f>
        <v>0.27927419231766959</v>
      </c>
      <c r="F38" s="857">
        <f t="shared" si="30"/>
        <v>2.0392338643021812E-2</v>
      </c>
      <c r="G38" s="857">
        <f t="shared" si="30"/>
        <v>-0.4841963741430132</v>
      </c>
      <c r="H38" s="857">
        <f t="shared" si="30"/>
        <v>5.0252557958809785E-3</v>
      </c>
      <c r="I38" s="857">
        <f t="shared" si="30"/>
        <v>9.3944431557515085E-2</v>
      </c>
      <c r="J38" s="857">
        <f t="shared" si="30"/>
        <v>-0.13400790925444006</v>
      </c>
      <c r="K38" s="857">
        <f t="shared" si="30"/>
        <v>0.48656856510309532</v>
      </c>
      <c r="L38" s="857">
        <f t="shared" si="30"/>
        <v>-0.46535079291002202</v>
      </c>
      <c r="M38" s="857">
        <f t="shared" si="30"/>
        <v>-0.11434353980180223</v>
      </c>
      <c r="N38" s="857">
        <f t="shared" ref="N38:S38" si="31">((N13/M13)-1)</f>
        <v>0.54542599705292538</v>
      </c>
      <c r="O38" s="857">
        <f t="shared" si="31"/>
        <v>0.10242278354383005</v>
      </c>
      <c r="P38" s="857">
        <f t="shared" si="31"/>
        <v>-7.8166871311781128E-2</v>
      </c>
      <c r="Q38" s="857">
        <f t="shared" si="31"/>
        <v>-1.569433070589632E-2</v>
      </c>
      <c r="R38" s="857">
        <f t="shared" si="31"/>
        <v>1.6154513502633083E-3</v>
      </c>
      <c r="S38" s="857">
        <f t="shared" si="31"/>
        <v>-4.2532738179409502E-2</v>
      </c>
    </row>
    <row r="39" spans="1:19" ht="11.25" customHeight="1">
      <c r="A39" s="884" t="s">
        <v>15</v>
      </c>
      <c r="C39" s="859" t="s">
        <v>69</v>
      </c>
      <c r="D39" s="857">
        <f>((D23/C23)-1)</f>
        <v>0.26676868534628828</v>
      </c>
      <c r="E39" s="857">
        <f t="shared" ref="E39:M39" si="32">((E23/D23)-1)</f>
        <v>0.34567896188602298</v>
      </c>
      <c r="F39" s="857">
        <f t="shared" si="32"/>
        <v>7.0674788078127104E-2</v>
      </c>
      <c r="G39" s="857">
        <f t="shared" si="32"/>
        <v>-0.45623378685872373</v>
      </c>
      <c r="H39" s="857">
        <f t="shared" si="32"/>
        <v>4.790657403048959E-3</v>
      </c>
      <c r="I39" s="857">
        <f t="shared" si="32"/>
        <v>9.8333869222573922E-2</v>
      </c>
      <c r="J39" s="857">
        <f t="shared" si="32"/>
        <v>-0.10927676467741387</v>
      </c>
      <c r="K39" s="857">
        <f t="shared" si="32"/>
        <v>0.43079074517877358</v>
      </c>
      <c r="L39" s="857">
        <f t="shared" si="32"/>
        <v>-0.46466969331078134</v>
      </c>
      <c r="M39" s="857">
        <f t="shared" si="32"/>
        <v>-0.15317760984618511</v>
      </c>
      <c r="N39" s="857">
        <f t="shared" ref="N39:S39" si="33">((N23/M23)-1)</f>
        <v>0.72635788166658766</v>
      </c>
      <c r="O39" s="857">
        <f t="shared" si="33"/>
        <v>0.15371909522834537</v>
      </c>
      <c r="P39" s="857">
        <f t="shared" si="33"/>
        <v>-7.8152773080741866E-2</v>
      </c>
      <c r="Q39" s="857">
        <f t="shared" si="33"/>
        <v>0.17069691592433855</v>
      </c>
      <c r="R39" s="857">
        <f t="shared" si="33"/>
        <v>1.202989856982084E-3</v>
      </c>
      <c r="S39" s="857">
        <f t="shared" si="33"/>
        <v>-3.7094441880928697E-2</v>
      </c>
    </row>
    <row r="40" spans="1:19" ht="11.25" customHeight="1">
      <c r="A40" s="884" t="s">
        <v>16</v>
      </c>
      <c r="C40" s="859" t="s">
        <v>69</v>
      </c>
      <c r="D40" s="857">
        <f>((D26/C26)-1)</f>
        <v>0.24861353450539148</v>
      </c>
      <c r="E40" s="857">
        <f t="shared" ref="E40:M40" si="34">((E26/D26)-1)</f>
        <v>0.25567669054011977</v>
      </c>
      <c r="F40" s="857">
        <f t="shared" si="34"/>
        <v>4.910331909748078E-2</v>
      </c>
      <c r="G40" s="857">
        <f t="shared" si="34"/>
        <v>-0.37841086618132691</v>
      </c>
      <c r="H40" s="857">
        <f t="shared" si="34"/>
        <v>1.8390715790382206E-2</v>
      </c>
      <c r="I40" s="857">
        <f t="shared" si="34"/>
        <v>6.9339420553740982E-2</v>
      </c>
      <c r="J40" s="857">
        <f t="shared" si="34"/>
        <v>-9.8532927846659346E-2</v>
      </c>
      <c r="K40" s="857">
        <f t="shared" si="34"/>
        <v>0.30243259947176804</v>
      </c>
      <c r="L40" s="857">
        <f t="shared" si="34"/>
        <v>-0.37092027156719953</v>
      </c>
      <c r="M40" s="857">
        <f t="shared" si="34"/>
        <v>-1.633527141638158E-2</v>
      </c>
      <c r="N40" s="857">
        <f t="shared" ref="N40:S40" si="35">((N26/M26)-1)</f>
        <v>0.34424543908827676</v>
      </c>
      <c r="O40" s="857">
        <f t="shared" si="35"/>
        <v>8.8307687048377659E-2</v>
      </c>
      <c r="P40" s="857">
        <f t="shared" si="35"/>
        <v>-3.3111815692088098E-2</v>
      </c>
      <c r="Q40" s="857">
        <f t="shared" si="35"/>
        <v>1.1210710084070818E-2</v>
      </c>
      <c r="R40" s="857">
        <f t="shared" si="35"/>
        <v>2.6245630402981224E-3</v>
      </c>
      <c r="S40" s="857">
        <f t="shared" si="35"/>
        <v>-1.1307007214314213E-2</v>
      </c>
    </row>
    <row r="41" spans="1:19" ht="11.25" customHeight="1">
      <c r="A41" s="887"/>
      <c r="B41" s="887"/>
      <c r="C41" s="887"/>
      <c r="D41" s="887"/>
      <c r="E41" s="887"/>
      <c r="F41" s="887"/>
      <c r="G41" s="887"/>
      <c r="H41" s="887"/>
      <c r="I41" s="887"/>
      <c r="J41" s="887"/>
      <c r="K41" s="887"/>
      <c r="L41" s="887"/>
      <c r="M41" s="887"/>
      <c r="N41" s="887"/>
      <c r="O41" s="887"/>
      <c r="P41" s="887"/>
      <c r="Q41" s="887"/>
      <c r="R41" s="887"/>
      <c r="S41" s="887"/>
    </row>
    <row r="42" spans="1:19" ht="11.25" customHeight="1">
      <c r="A42" s="853" t="s">
        <v>625</v>
      </c>
      <c r="C42" s="327" t="s">
        <v>691</v>
      </c>
      <c r="D42" s="327" t="s">
        <v>260</v>
      </c>
      <c r="E42" s="327" t="s">
        <v>259</v>
      </c>
      <c r="F42" s="327" t="s">
        <v>258</v>
      </c>
      <c r="G42" s="327" t="s">
        <v>257</v>
      </c>
      <c r="H42" s="327" t="s">
        <v>747</v>
      </c>
      <c r="I42" s="327" t="s">
        <v>748</v>
      </c>
      <c r="J42" s="327" t="s">
        <v>141</v>
      </c>
      <c r="K42" s="327" t="s">
        <v>479</v>
      </c>
      <c r="L42" s="327" t="s">
        <v>190</v>
      </c>
      <c r="M42" s="327" t="str">
        <f>M3</f>
        <v>2014A</v>
      </c>
      <c r="N42" s="327" t="str">
        <f>N3</f>
        <v>2015A</v>
      </c>
      <c r="O42" s="327" t="str">
        <f>O3</f>
        <v>2016A</v>
      </c>
      <c r="P42" s="327" t="str">
        <f>P3</f>
        <v>2017A</v>
      </c>
      <c r="Q42" s="327" t="s">
        <v>188</v>
      </c>
      <c r="R42" s="327" t="s">
        <v>787</v>
      </c>
      <c r="S42" s="327" t="s">
        <v>797</v>
      </c>
    </row>
    <row r="43" spans="1:19" ht="11.25" customHeight="1">
      <c r="A43" s="239" t="s">
        <v>778</v>
      </c>
      <c r="C43" s="855" t="s">
        <v>737</v>
      </c>
      <c r="D43" s="855" t="s">
        <v>737</v>
      </c>
      <c r="E43" s="855" t="s">
        <v>737</v>
      </c>
      <c r="F43" s="855" t="s">
        <v>737</v>
      </c>
      <c r="G43" s="855" t="s">
        <v>737</v>
      </c>
      <c r="H43" s="855" t="s">
        <v>737</v>
      </c>
      <c r="I43" s="855" t="s">
        <v>737</v>
      </c>
      <c r="J43" s="855" t="s">
        <v>737</v>
      </c>
      <c r="K43" s="855" t="s">
        <v>737</v>
      </c>
      <c r="L43" s="855" t="s">
        <v>737</v>
      </c>
      <c r="M43" s="855" t="s">
        <v>737</v>
      </c>
      <c r="N43" s="855" t="s">
        <v>737</v>
      </c>
      <c r="O43" s="855" t="s">
        <v>737</v>
      </c>
      <c r="P43" s="855" t="s">
        <v>869</v>
      </c>
      <c r="Q43" s="855" t="s">
        <v>737</v>
      </c>
      <c r="R43" s="855" t="s">
        <v>737</v>
      </c>
      <c r="S43" s="855" t="s">
        <v>737</v>
      </c>
    </row>
    <row r="44" spans="1:19" ht="11.25" customHeight="1">
      <c r="A44" s="17"/>
    </row>
    <row r="45" spans="1:19" ht="11.25" customHeight="1">
      <c r="A45" s="17" t="s">
        <v>779</v>
      </c>
      <c r="C45" s="852">
        <f>C6</f>
        <v>1889.6469999999999</v>
      </c>
      <c r="D45" s="852">
        <f t="shared" ref="D45:J45" si="36">D6</f>
        <v>2321.962</v>
      </c>
      <c r="E45" s="852">
        <f t="shared" si="36"/>
        <v>2794.4089999999997</v>
      </c>
      <c r="F45" s="852">
        <f t="shared" si="36"/>
        <v>3055.4189999999999</v>
      </c>
      <c r="G45" s="852">
        <f t="shared" si="36"/>
        <v>2988.866</v>
      </c>
      <c r="H45" s="852">
        <f t="shared" si="36"/>
        <v>2940.2689999999998</v>
      </c>
      <c r="I45" s="852">
        <f t="shared" si="36"/>
        <v>2945.2939999999999</v>
      </c>
      <c r="J45" s="852">
        <f t="shared" si="36"/>
        <v>3120.0650000000001</v>
      </c>
      <c r="K45" s="852">
        <f>K6</f>
        <v>3475.8019999999997</v>
      </c>
      <c r="L45" s="852">
        <f>L6</f>
        <v>3305.8019999999997</v>
      </c>
      <c r="M45" s="852">
        <f>M6</f>
        <v>3282.8670000000002</v>
      </c>
      <c r="N45" s="852">
        <f>N6</f>
        <v>3521.848</v>
      </c>
      <c r="O45" s="852">
        <f>O6</f>
        <v>3609.8650000000002</v>
      </c>
      <c r="P45" s="852">
        <f>P6</f>
        <v>3795.549</v>
      </c>
      <c r="Q45" s="852">
        <f>(P45*(1+Q74))</f>
        <v>3938.5143109962851</v>
      </c>
      <c r="R45" s="852">
        <f>(Q45*(1+R74))</f>
        <v>4144.8578703816129</v>
      </c>
      <c r="S45" s="852">
        <f>(R45*(1+S74))</f>
        <v>4355.245312033112</v>
      </c>
    </row>
    <row r="46" spans="1:19" ht="11.25" hidden="1" customHeight="1" outlineLevel="1">
      <c r="A46" s="17"/>
      <c r="C46" s="25"/>
      <c r="D46" s="25"/>
      <c r="E46" s="25"/>
      <c r="F46" s="25"/>
      <c r="G46" s="25"/>
      <c r="H46" s="25"/>
      <c r="I46" s="25"/>
      <c r="J46" s="25"/>
      <c r="K46" s="25"/>
      <c r="L46" s="25"/>
      <c r="M46" s="25"/>
      <c r="N46" s="25"/>
      <c r="O46" s="25"/>
      <c r="P46" s="25"/>
    </row>
    <row r="47" spans="1:19" ht="11.25" hidden="1" customHeight="1" outlineLevel="1">
      <c r="A47" s="17" t="s">
        <v>780</v>
      </c>
      <c r="C47" s="852">
        <f>C8</f>
        <v>1008.4589999999999</v>
      </c>
      <c r="D47" s="852">
        <f t="shared" ref="D47:J47" si="37">D8</f>
        <v>1244.213</v>
      </c>
      <c r="E47" s="852">
        <f t="shared" si="37"/>
        <v>1453.98</v>
      </c>
      <c r="F47" s="852">
        <f t="shared" si="37"/>
        <v>1632.2810000000002</v>
      </c>
      <c r="G47" s="852">
        <f t="shared" si="37"/>
        <v>1814.7660000000001</v>
      </c>
      <c r="H47" s="852">
        <f t="shared" si="37"/>
        <v>1766.8389999999999</v>
      </c>
      <c r="I47" s="852">
        <f t="shared" si="37"/>
        <v>1763.1433999999999</v>
      </c>
      <c r="J47" s="852">
        <f t="shared" si="37"/>
        <v>1975.471</v>
      </c>
      <c r="K47" s="852">
        <f>K8</f>
        <v>2084.5869999999995</v>
      </c>
      <c r="L47" s="852">
        <f>L8</f>
        <v>2163.1790000000001</v>
      </c>
      <c r="M47" s="852">
        <f>M8</f>
        <v>2128.1930000000002</v>
      </c>
      <c r="N47" s="852">
        <f>N8</f>
        <v>2219.114</v>
      </c>
      <c r="O47" s="852">
        <f>O8</f>
        <v>2243</v>
      </c>
      <c r="P47" s="852">
        <f>P8</f>
        <v>2423.3650000000002</v>
      </c>
      <c r="Q47" s="852">
        <f>Q45-Q49</f>
        <v>2491.0137608393379</v>
      </c>
      <c r="R47" s="852">
        <f>R45-R49</f>
        <v>2613.2312885163083</v>
      </c>
      <c r="S47" s="852">
        <f>S45-S49</f>
        <v>2737.1649228363813</v>
      </c>
    </row>
    <row r="48" spans="1:19" ht="11.25" hidden="1" customHeight="1" outlineLevel="1">
      <c r="A48" s="17"/>
      <c r="C48" s="25"/>
      <c r="D48" s="25"/>
      <c r="E48" s="25"/>
      <c r="F48" s="25"/>
      <c r="G48" s="25"/>
      <c r="H48" s="25"/>
      <c r="I48" s="25"/>
      <c r="J48" s="25"/>
      <c r="K48" s="25"/>
      <c r="L48" s="25"/>
      <c r="M48" s="25"/>
      <c r="N48" s="25"/>
      <c r="O48" s="25"/>
      <c r="P48" s="25"/>
    </row>
    <row r="49" spans="1:24" ht="11.25" customHeight="1" collapsed="1">
      <c r="A49" s="17" t="s">
        <v>781</v>
      </c>
      <c r="C49" s="852">
        <f>C45-C47</f>
        <v>881.18799999999999</v>
      </c>
      <c r="D49" s="852">
        <f t="shared" ref="D49:J49" si="38">D45-D47</f>
        <v>1077.749</v>
      </c>
      <c r="E49" s="852">
        <f t="shared" si="38"/>
        <v>1340.4289999999996</v>
      </c>
      <c r="F49" s="852">
        <f t="shared" si="38"/>
        <v>1423.1379999999997</v>
      </c>
      <c r="G49" s="852">
        <f t="shared" si="38"/>
        <v>1174.0999999999999</v>
      </c>
      <c r="H49" s="852">
        <f t="shared" si="38"/>
        <v>1173.4299999999998</v>
      </c>
      <c r="I49" s="852">
        <f t="shared" si="38"/>
        <v>1182.1505999999999</v>
      </c>
      <c r="J49" s="852">
        <f t="shared" si="38"/>
        <v>1144.5940000000001</v>
      </c>
      <c r="K49" s="852">
        <f>K45-K47</f>
        <v>1391.2150000000001</v>
      </c>
      <c r="L49" s="852">
        <f>L45-L47</f>
        <v>1142.6229999999996</v>
      </c>
      <c r="M49" s="852">
        <f>M45-M47</f>
        <v>1154.674</v>
      </c>
      <c r="N49" s="852">
        <f>N45-N47</f>
        <v>1302.7339999999999</v>
      </c>
      <c r="O49" s="852">
        <f>O45-O47</f>
        <v>1366.8650000000002</v>
      </c>
      <c r="P49" s="852">
        <f>P45-P47</f>
        <v>1372.1839999999997</v>
      </c>
      <c r="Q49" s="852">
        <f>Q45*Q68</f>
        <v>1447.5005501569474</v>
      </c>
      <c r="R49" s="852">
        <f>R45*R68</f>
        <v>1531.6265818653044</v>
      </c>
      <c r="S49" s="852">
        <f>S45*S68</f>
        <v>1618.0803891967307</v>
      </c>
    </row>
    <row r="50" spans="1:24" ht="11.25" customHeight="1">
      <c r="A50" s="17" t="s">
        <v>782</v>
      </c>
      <c r="C50" s="25">
        <f>C11</f>
        <v>450.77699999999999</v>
      </c>
      <c r="D50" s="25">
        <f t="shared" ref="D50:J50" si="39">D11</f>
        <v>540.33199999999999</v>
      </c>
      <c r="E50" s="25">
        <f t="shared" si="39"/>
        <v>665.60700000000008</v>
      </c>
      <c r="F50" s="25">
        <f t="shared" si="39"/>
        <v>715.18000000000006</v>
      </c>
      <c r="G50" s="25">
        <f t="shared" si="39"/>
        <v>734.04099999999994</v>
      </c>
      <c r="H50" s="25">
        <f t="shared" si="39"/>
        <v>725.27800000000002</v>
      </c>
      <c r="I50" s="25">
        <f t="shared" si="39"/>
        <v>702.92399999999998</v>
      </c>
      <c r="J50" s="25">
        <f t="shared" si="39"/>
        <v>712.58699999999999</v>
      </c>
      <c r="K50" s="25">
        <f t="shared" ref="K50:M51" si="40">K11</f>
        <v>828.55499999999995</v>
      </c>
      <c r="L50" s="25">
        <f t="shared" si="40"/>
        <v>788.66499999999996</v>
      </c>
      <c r="M50" s="25">
        <f t="shared" si="40"/>
        <v>806.49799999999993</v>
      </c>
      <c r="N50" s="25">
        <f>N11</f>
        <v>834.7</v>
      </c>
      <c r="O50" s="25">
        <f>O11</f>
        <v>857.5</v>
      </c>
      <c r="P50" s="25">
        <f>P11</f>
        <v>879.68499999999995</v>
      </c>
      <c r="Q50" s="25">
        <f>Q45*Q69</f>
        <v>897.06565913137104</v>
      </c>
      <c r="R50" s="25">
        <f>R45*R69</f>
        <v>935.77430533402003</v>
      </c>
      <c r="S50" s="25">
        <f>S45*S69</f>
        <v>983.27295745168772</v>
      </c>
    </row>
    <row r="51" spans="1:24" ht="11.25" hidden="1" customHeight="1" outlineLevel="1">
      <c r="A51" s="17" t="s">
        <v>618</v>
      </c>
      <c r="C51" s="25">
        <f>C12</f>
        <v>69.442999999999998</v>
      </c>
      <c r="D51" s="25">
        <f t="shared" ref="D51:P51" si="41">D12</f>
        <v>78.727999999999994</v>
      </c>
      <c r="E51" s="25">
        <f t="shared" si="41"/>
        <v>88.033000000000001</v>
      </c>
      <c r="F51" s="25">
        <f t="shared" si="41"/>
        <v>109.203</v>
      </c>
      <c r="G51" s="25">
        <f t="shared" si="41"/>
        <v>131.21899999999999</v>
      </c>
      <c r="H51" s="25">
        <f t="shared" si="41"/>
        <v>137.76000000000002</v>
      </c>
      <c r="I51" s="25">
        <f t="shared" si="41"/>
        <v>139.67499999999998</v>
      </c>
      <c r="J51" s="25">
        <f t="shared" si="41"/>
        <v>137.95799999999997</v>
      </c>
      <c r="K51" s="25">
        <f t="shared" si="40"/>
        <v>125.536</v>
      </c>
      <c r="L51" s="25">
        <f t="shared" si="40"/>
        <v>120.25</v>
      </c>
      <c r="M51" s="25">
        <f t="shared" si="40"/>
        <v>141.19099999999997</v>
      </c>
      <c r="N51" s="25">
        <f>N12</f>
        <v>148.154</v>
      </c>
      <c r="O51" s="25">
        <f>O12</f>
        <v>156.72199999999998</v>
      </c>
      <c r="P51" s="25">
        <f>P12</f>
        <v>167.42099999999999</v>
      </c>
      <c r="Q51" s="25">
        <f>Q12</f>
        <v>178.04414514290619</v>
      </c>
      <c r="R51" s="25">
        <f>R12</f>
        <v>178.83432486736163</v>
      </c>
      <c r="S51" s="25">
        <f>S12</f>
        <v>186.81987281625447</v>
      </c>
    </row>
    <row r="52" spans="1:24" ht="11.25" customHeight="1" collapsed="1">
      <c r="A52" s="888" t="s">
        <v>14</v>
      </c>
      <c r="C52" s="852">
        <f t="shared" ref="C52:L52" si="42">C49-C50-C51</f>
        <v>360.96800000000002</v>
      </c>
      <c r="D52" s="852">
        <f t="shared" si="42"/>
        <v>458.68900000000002</v>
      </c>
      <c r="E52" s="852">
        <f t="shared" si="42"/>
        <v>586.78899999999953</v>
      </c>
      <c r="F52" s="852">
        <f t="shared" si="42"/>
        <v>598.75499999999965</v>
      </c>
      <c r="G52" s="852">
        <f t="shared" si="42"/>
        <v>308.83999999999997</v>
      </c>
      <c r="H52" s="852">
        <f t="shared" si="42"/>
        <v>310.39199999999983</v>
      </c>
      <c r="I52" s="852">
        <f t="shared" si="42"/>
        <v>339.55160000000001</v>
      </c>
      <c r="J52" s="852">
        <f t="shared" si="42"/>
        <v>294.04900000000009</v>
      </c>
      <c r="K52" s="852">
        <f t="shared" si="42"/>
        <v>437.12400000000019</v>
      </c>
      <c r="L52" s="852">
        <f t="shared" si="42"/>
        <v>233.70799999999963</v>
      </c>
      <c r="M52" s="852">
        <f t="shared" ref="M52:R52" si="43">M49-M50-M51</f>
        <v>206.98500000000007</v>
      </c>
      <c r="N52" s="852">
        <f t="shared" si="43"/>
        <v>319.87999999999988</v>
      </c>
      <c r="O52" s="852">
        <f>O49-O50-O51</f>
        <v>352.64300000000026</v>
      </c>
      <c r="P52" s="852">
        <f>P49-P50-P51</f>
        <v>325.0779999999998</v>
      </c>
      <c r="Q52" s="852">
        <f t="shared" si="43"/>
        <v>372.39074588267016</v>
      </c>
      <c r="R52" s="852">
        <f t="shared" si="43"/>
        <v>417.01795166392276</v>
      </c>
      <c r="S52" s="852">
        <f>S49-S50-S51</f>
        <v>447.98755892878853</v>
      </c>
    </row>
    <row r="53" spans="1:24" ht="11.25" hidden="1" customHeight="1" outlineLevel="1">
      <c r="A53" s="17"/>
      <c r="C53" s="25"/>
      <c r="D53" s="25"/>
      <c r="E53" s="25"/>
      <c r="F53" s="25"/>
      <c r="G53" s="25"/>
      <c r="H53" s="25"/>
      <c r="I53" s="25"/>
      <c r="J53" s="25"/>
      <c r="K53" s="25"/>
      <c r="L53" s="25"/>
      <c r="M53" s="25"/>
      <c r="N53" s="25"/>
      <c r="O53" s="25"/>
      <c r="P53" s="25"/>
    </row>
    <row r="54" spans="1:24" ht="11.25" hidden="1" customHeight="1" outlineLevel="1">
      <c r="A54" s="17" t="s">
        <v>619</v>
      </c>
      <c r="C54" s="25">
        <f>C15</f>
        <v>-5.867</v>
      </c>
      <c r="D54" s="25">
        <f t="shared" ref="D54:P54" si="44">D15</f>
        <v>-18.277999999999999</v>
      </c>
      <c r="E54" s="25">
        <f t="shared" si="44"/>
        <v>-42.277999999999992</v>
      </c>
      <c r="F54" s="25">
        <f t="shared" si="44"/>
        <v>-37.626000000000005</v>
      </c>
      <c r="G54" s="25">
        <f t="shared" si="44"/>
        <v>-17.805999999999997</v>
      </c>
      <c r="H54" s="25">
        <f t="shared" si="44"/>
        <v>3.2679999999999998</v>
      </c>
      <c r="I54" s="25">
        <f t="shared" si="44"/>
        <v>-2.024</v>
      </c>
      <c r="J54" s="25">
        <f t="shared" si="44"/>
        <v>-5.8739999999999997</v>
      </c>
      <c r="K54" s="25">
        <f>K15</f>
        <v>-7.4320000000000004</v>
      </c>
      <c r="L54" s="25">
        <f>L15</f>
        <v>-2.5369999999999999</v>
      </c>
      <c r="M54" s="25">
        <f>M15</f>
        <v>-3.6080000000000001</v>
      </c>
      <c r="N54" s="25">
        <f>N15</f>
        <v>-1.9919999999999995</v>
      </c>
      <c r="O54" s="25">
        <f>O15</f>
        <v>-3.7839999999999998</v>
      </c>
      <c r="P54" s="25">
        <f>P15</f>
        <v>7.6509999999999998</v>
      </c>
      <c r="Q54" s="25">
        <f>Q15</f>
        <v>-2</v>
      </c>
      <c r="R54" s="25">
        <f>R15</f>
        <v>-6.3853062776180705E-2</v>
      </c>
      <c r="S54" s="25">
        <f>S15</f>
        <v>-6.4859301640495581E-2</v>
      </c>
    </row>
    <row r="55" spans="1:24" ht="11.25" hidden="1" customHeight="1" outlineLevel="1">
      <c r="A55" s="888" t="s">
        <v>620</v>
      </c>
      <c r="C55" s="852">
        <f>C52-C54</f>
        <v>366.83500000000004</v>
      </c>
      <c r="D55" s="852">
        <f t="shared" ref="D55:L55" si="45">D52-D54</f>
        <v>476.96700000000004</v>
      </c>
      <c r="E55" s="852">
        <f t="shared" si="45"/>
        <v>629.06699999999955</v>
      </c>
      <c r="F55" s="852">
        <f t="shared" si="45"/>
        <v>636.38099999999963</v>
      </c>
      <c r="G55" s="852">
        <f t="shared" si="45"/>
        <v>326.64599999999996</v>
      </c>
      <c r="H55" s="852">
        <f t="shared" si="45"/>
        <v>307.12399999999985</v>
      </c>
      <c r="I55" s="852">
        <f t="shared" si="45"/>
        <v>341.57560000000001</v>
      </c>
      <c r="J55" s="852">
        <f t="shared" si="45"/>
        <v>299.92300000000012</v>
      </c>
      <c r="K55" s="852">
        <f t="shared" si="45"/>
        <v>444.55600000000021</v>
      </c>
      <c r="L55" s="852">
        <f t="shared" si="45"/>
        <v>236.24499999999964</v>
      </c>
      <c r="M55" s="852">
        <f t="shared" ref="M55:R55" si="46">M52-M54</f>
        <v>210.59300000000007</v>
      </c>
      <c r="N55" s="852">
        <f t="shared" si="46"/>
        <v>321.8719999999999</v>
      </c>
      <c r="O55" s="852">
        <f>O52-O54</f>
        <v>356.42700000000025</v>
      </c>
      <c r="P55" s="852">
        <f>P52-P54</f>
        <v>317.42699999999979</v>
      </c>
      <c r="Q55" s="852">
        <f t="shared" si="46"/>
        <v>374.39074588267016</v>
      </c>
      <c r="R55" s="852">
        <f t="shared" si="46"/>
        <v>417.08180472669892</v>
      </c>
      <c r="S55" s="852">
        <f>S52-S54</f>
        <v>448.052418230429</v>
      </c>
    </row>
    <row r="56" spans="1:24" ht="11.25" hidden="1" customHeight="1" outlineLevel="1">
      <c r="A56" s="17"/>
      <c r="C56" s="25"/>
      <c r="D56" s="25"/>
      <c r="E56" s="25"/>
      <c r="F56" s="25"/>
      <c r="G56" s="25"/>
      <c r="H56" s="25"/>
      <c r="I56" s="25"/>
      <c r="J56" s="25"/>
      <c r="K56" s="25"/>
      <c r="L56" s="25"/>
      <c r="M56" s="25"/>
      <c r="N56" s="25"/>
      <c r="O56" s="25"/>
      <c r="P56" s="25"/>
    </row>
    <row r="57" spans="1:24" ht="11.25" customHeight="1" collapsed="1">
      <c r="A57" s="17" t="s">
        <v>786</v>
      </c>
      <c r="C57" s="25">
        <f>C18</f>
        <v>142.60300000000001</v>
      </c>
      <c r="D57" s="25">
        <f t="shared" ref="D57:J57" si="47">D18</f>
        <v>183.25600000000003</v>
      </c>
      <c r="E57" s="25">
        <f t="shared" si="47"/>
        <v>241.708</v>
      </c>
      <c r="F57" s="25">
        <f t="shared" si="47"/>
        <v>236.36200000000002</v>
      </c>
      <c r="G57" s="25">
        <f t="shared" si="47"/>
        <v>121.6679</v>
      </c>
      <c r="H57" s="25">
        <f t="shared" si="47"/>
        <v>99.248999999999995</v>
      </c>
      <c r="I57" s="25">
        <f t="shared" si="47"/>
        <v>121.64400000000001</v>
      </c>
      <c r="J57" s="25">
        <f t="shared" si="47"/>
        <v>109.40304</v>
      </c>
      <c r="K57" s="25">
        <f>K18</f>
        <v>165.86799999999999</v>
      </c>
      <c r="L57" s="25">
        <f>L18</f>
        <v>91.656999999999996</v>
      </c>
      <c r="M57" s="25">
        <f>M18</f>
        <v>87.737111999999996</v>
      </c>
      <c r="N57" s="25">
        <f>N18</f>
        <v>108.58099999999999</v>
      </c>
      <c r="O57" s="25">
        <f>O18</f>
        <v>125.90100000000001</v>
      </c>
      <c r="P57" s="25">
        <f>P18</f>
        <v>109.17010000000002</v>
      </c>
      <c r="Q57" s="25">
        <f>Q55*Q71</f>
        <v>89.853779011840999</v>
      </c>
      <c r="R57" s="25">
        <f>R55*R71</f>
        <v>100.09963313440792</v>
      </c>
      <c r="S57" s="25">
        <f>S55*S71</f>
        <v>107.53258037530316</v>
      </c>
      <c r="U57" s="17" t="s">
        <v>312</v>
      </c>
      <c r="V57" s="17" t="s">
        <v>313</v>
      </c>
      <c r="W57" s="17" t="s">
        <v>314</v>
      </c>
      <c r="X57" s="17" t="s">
        <v>316</v>
      </c>
    </row>
    <row r="58" spans="1:24" ht="11.25" hidden="1" customHeight="1" outlineLevel="1">
      <c r="A58" s="17"/>
      <c r="C58" s="25"/>
      <c r="D58" s="25"/>
      <c r="E58" s="25"/>
      <c r="F58" s="25"/>
      <c r="G58" s="25"/>
      <c r="H58" s="25"/>
      <c r="I58" s="25"/>
      <c r="J58" s="25"/>
      <c r="K58" s="25"/>
      <c r="L58" s="25"/>
      <c r="M58" s="25"/>
      <c r="N58" s="25"/>
      <c r="O58" s="25"/>
      <c r="P58" s="25"/>
      <c r="U58" s="17"/>
      <c r="V58" s="17"/>
      <c r="W58" s="17"/>
    </row>
    <row r="59" spans="1:24" ht="11.25" hidden="1" customHeight="1" outlineLevel="1">
      <c r="A59" s="17"/>
      <c r="C59" s="25"/>
      <c r="D59" s="25"/>
      <c r="E59" s="25"/>
      <c r="F59" s="25"/>
      <c r="G59" s="25"/>
      <c r="H59" s="25"/>
      <c r="I59" s="25"/>
      <c r="J59" s="25"/>
      <c r="K59" s="25"/>
      <c r="L59" s="25"/>
      <c r="M59" s="25"/>
      <c r="N59" s="25"/>
      <c r="O59" s="25"/>
      <c r="P59" s="25"/>
      <c r="U59" s="17"/>
      <c r="V59" s="17"/>
      <c r="W59" s="17"/>
    </row>
    <row r="60" spans="1:24" ht="11.25" hidden="1" customHeight="1" outlineLevel="1">
      <c r="A60" s="17" t="s">
        <v>621</v>
      </c>
      <c r="C60" s="852">
        <f>C55-C57</f>
        <v>224.23200000000003</v>
      </c>
      <c r="D60" s="852">
        <f t="shared" ref="D60:P60" si="48">D55-D57</f>
        <v>293.71100000000001</v>
      </c>
      <c r="E60" s="852">
        <f t="shared" si="48"/>
        <v>387.35899999999958</v>
      </c>
      <c r="F60" s="852">
        <f t="shared" si="48"/>
        <v>400.01899999999961</v>
      </c>
      <c r="G60" s="852">
        <f t="shared" si="48"/>
        <v>204.97809999999996</v>
      </c>
      <c r="H60" s="852">
        <f t="shared" si="48"/>
        <v>207.87499999999986</v>
      </c>
      <c r="I60" s="852">
        <f t="shared" si="48"/>
        <v>219.9316</v>
      </c>
      <c r="J60" s="852">
        <f t="shared" si="48"/>
        <v>190.51996000000011</v>
      </c>
      <c r="K60" s="852">
        <f>K55-K57</f>
        <v>278.68800000000022</v>
      </c>
      <c r="L60" s="852">
        <f>L55-L57</f>
        <v>144.58799999999962</v>
      </c>
      <c r="M60" s="852">
        <f>M55-M57</f>
        <v>122.85588800000008</v>
      </c>
      <c r="N60" s="852">
        <f>N55-N57</f>
        <v>213.29099999999991</v>
      </c>
      <c r="O60" s="852">
        <f>O55-O57</f>
        <v>230.52600000000024</v>
      </c>
      <c r="P60" s="852">
        <f>P55-P57</f>
        <v>208.25689999999977</v>
      </c>
      <c r="Q60" s="852">
        <f>Q55-Q57</f>
        <v>284.53696687082913</v>
      </c>
      <c r="R60" s="852">
        <f>R55-R57</f>
        <v>316.98217159229102</v>
      </c>
      <c r="S60" s="852">
        <f>S55-S57</f>
        <v>340.51983785512584</v>
      </c>
      <c r="U60" s="17"/>
      <c r="V60" s="17"/>
      <c r="W60" s="17"/>
    </row>
    <row r="61" spans="1:24" ht="11.25" hidden="1" customHeight="1" outlineLevel="1">
      <c r="A61" s="17"/>
      <c r="C61" s="25"/>
      <c r="D61" s="25"/>
      <c r="E61" s="25"/>
      <c r="F61" s="25"/>
      <c r="G61" s="25"/>
      <c r="H61" s="25"/>
      <c r="I61" s="25"/>
      <c r="J61" s="25"/>
      <c r="K61" s="25"/>
      <c r="L61" s="25"/>
      <c r="M61" s="25"/>
      <c r="N61" s="25"/>
      <c r="O61" s="25"/>
      <c r="P61" s="25"/>
      <c r="U61" s="17"/>
      <c r="V61" s="17"/>
      <c r="W61" s="17"/>
    </row>
    <row r="62" spans="1:24" ht="11.25" customHeight="1" collapsed="1">
      <c r="A62" s="252" t="s">
        <v>622</v>
      </c>
      <c r="B62" s="252"/>
      <c r="C62" s="851">
        <f>C60/C63</f>
        <v>0.99496818508559426</v>
      </c>
      <c r="D62" s="851">
        <f t="shared" ref="D62:J62" si="49">D60/D63</f>
        <v>1.2603945397822607</v>
      </c>
      <c r="E62" s="851">
        <f t="shared" si="49"/>
        <v>1.6960864158610043</v>
      </c>
      <c r="F62" s="851">
        <f t="shared" si="49"/>
        <v>1.815956963864171</v>
      </c>
      <c r="G62" s="851">
        <f t="shared" si="49"/>
        <v>0.98745604146794985</v>
      </c>
      <c r="H62" s="851">
        <f t="shared" si="49"/>
        <v>0.99218660506319378</v>
      </c>
      <c r="I62" s="851">
        <f t="shared" si="49"/>
        <v>1.0897521529298675</v>
      </c>
      <c r="J62" s="851">
        <f t="shared" si="49"/>
        <v>0.9706675633574452</v>
      </c>
      <c r="K62" s="851">
        <f t="shared" ref="K62:Q62" si="50">K60/K63</f>
        <v>1.3888221662970635</v>
      </c>
      <c r="L62" s="851">
        <f t="shared" si="50"/>
        <v>0.74347859622059198</v>
      </c>
      <c r="M62" s="851">
        <f>M60/M63</f>
        <v>0.62959432187972475</v>
      </c>
      <c r="N62" s="851">
        <f>N60/N63</f>
        <v>1.0869051198295934</v>
      </c>
      <c r="O62" s="851">
        <f>O60/O63</f>
        <v>1.2539831914488548</v>
      </c>
      <c r="P62" s="851">
        <f>P60/P63</f>
        <v>1.155980927640488</v>
      </c>
      <c r="Q62" s="851">
        <f t="shared" si="50"/>
        <v>1.6035762536467695</v>
      </c>
      <c r="R62" s="851">
        <f>R60/R63</f>
        <v>1.7965538888357508</v>
      </c>
      <c r="S62" s="851">
        <f>S60/S63</f>
        <v>1.9409586115694109</v>
      </c>
      <c r="U62" s="875">
        <f>M62</f>
        <v>0.62959432187972475</v>
      </c>
      <c r="V62" s="17">
        <v>15</v>
      </c>
      <c r="W62" s="875">
        <f>U62*V62</f>
        <v>9.4439148281958705</v>
      </c>
      <c r="X62" s="65">
        <f>W62/$U$3-1</f>
        <v>-0.30813810782447837</v>
      </c>
    </row>
    <row r="63" spans="1:24" ht="11.25" customHeight="1">
      <c r="A63" s="17" t="s">
        <v>623</v>
      </c>
      <c r="C63" s="25">
        <f>C24</f>
        <v>225.36599999999999</v>
      </c>
      <c r="D63" s="25">
        <f t="shared" ref="D63:J63" si="51">D24</f>
        <v>233.03100000000001</v>
      </c>
      <c r="E63" s="25">
        <f t="shared" si="51"/>
        <v>228.38399999999999</v>
      </c>
      <c r="F63" s="25">
        <f t="shared" si="51"/>
        <v>220.28</v>
      </c>
      <c r="G63" s="25">
        <f t="shared" si="51"/>
        <v>207.58199999999999</v>
      </c>
      <c r="H63" s="25">
        <f t="shared" si="51"/>
        <v>209.512</v>
      </c>
      <c r="I63" s="25">
        <f t="shared" si="51"/>
        <v>201.81800000000001</v>
      </c>
      <c r="J63" s="25">
        <f t="shared" si="51"/>
        <v>196.27725000000001</v>
      </c>
      <c r="K63" s="25">
        <f>K24</f>
        <v>200.66499999999999</v>
      </c>
      <c r="L63" s="25">
        <f>L24</f>
        <v>194.47499999999999</v>
      </c>
      <c r="M63" s="25">
        <f>M24</f>
        <v>195.13499999999999</v>
      </c>
      <c r="N63" s="25">
        <f>N24</f>
        <v>196.23699999999999</v>
      </c>
      <c r="O63" s="25">
        <f>O24</f>
        <v>183.83500000000001</v>
      </c>
      <c r="P63" s="25">
        <f>P24</f>
        <v>180.15600000000001</v>
      </c>
      <c r="Q63" s="59">
        <f>Q24-1</f>
        <v>177.43899999999999</v>
      </c>
      <c r="R63" s="59">
        <f t="shared" ref="R63:S63" si="52">R24-1</f>
        <v>176.43899999999999</v>
      </c>
      <c r="S63" s="59">
        <f t="shared" si="52"/>
        <v>175.43899999999999</v>
      </c>
    </row>
    <row r="64" spans="1:24" ht="11.25" customHeight="1" outlineLevel="1">
      <c r="A64" s="17"/>
    </row>
    <row r="65" spans="1:19" ht="11.25" customHeight="1" outlineLevel="1">
      <c r="A65" s="17" t="s">
        <v>16</v>
      </c>
      <c r="C65" s="852">
        <f>C51+C52</f>
        <v>430.411</v>
      </c>
      <c r="D65" s="852">
        <f t="shared" ref="D65:P65" si="53">D51+D52</f>
        <v>537.41700000000003</v>
      </c>
      <c r="E65" s="852">
        <f t="shared" si="53"/>
        <v>674.82199999999955</v>
      </c>
      <c r="F65" s="852">
        <f t="shared" si="53"/>
        <v>707.95799999999963</v>
      </c>
      <c r="G65" s="852">
        <f t="shared" si="53"/>
        <v>440.05899999999997</v>
      </c>
      <c r="H65" s="852">
        <f t="shared" si="53"/>
        <v>448.15199999999982</v>
      </c>
      <c r="I65" s="852">
        <f t="shared" si="53"/>
        <v>479.22659999999996</v>
      </c>
      <c r="J65" s="852">
        <f t="shared" si="53"/>
        <v>432.00700000000006</v>
      </c>
      <c r="K65" s="852">
        <f>K51+K52</f>
        <v>562.6600000000002</v>
      </c>
      <c r="L65" s="852">
        <f>L51+L52</f>
        <v>353.95799999999963</v>
      </c>
      <c r="M65" s="852">
        <f>M51+M52</f>
        <v>348.17600000000004</v>
      </c>
      <c r="N65" s="852">
        <f>N51+N52</f>
        <v>468.03399999999988</v>
      </c>
      <c r="O65" s="852">
        <f>O51+O52</f>
        <v>509.36500000000024</v>
      </c>
      <c r="P65" s="852">
        <f>P51+P52</f>
        <v>492.4989999999998</v>
      </c>
      <c r="Q65" s="852">
        <f>Q51+Q52</f>
        <v>550.43489102557635</v>
      </c>
      <c r="R65" s="852">
        <f>R51+R52</f>
        <v>595.85227653128436</v>
      </c>
      <c r="S65" s="852">
        <f>S51+S52</f>
        <v>634.807431745043</v>
      </c>
    </row>
    <row r="66" spans="1:19" ht="11.25" customHeight="1">
      <c r="A66" s="17"/>
    </row>
    <row r="67" spans="1:19" ht="11.25" customHeight="1">
      <c r="A67" s="239" t="s">
        <v>3</v>
      </c>
    </row>
    <row r="68" spans="1:19" ht="11.25" customHeight="1">
      <c r="A68" s="17" t="s">
        <v>32</v>
      </c>
      <c r="C68" s="65">
        <f>C49/C45</f>
        <v>0.46632413355510316</v>
      </c>
      <c r="D68" s="65">
        <f t="shared" ref="D68:J68" si="54">D49/D45</f>
        <v>0.46415445214004364</v>
      </c>
      <c r="E68" s="65">
        <f t="shared" si="54"/>
        <v>0.47968246595255021</v>
      </c>
      <c r="F68" s="65">
        <f t="shared" si="54"/>
        <v>0.46577507045678507</v>
      </c>
      <c r="G68" s="65">
        <f t="shared" si="54"/>
        <v>0.39282456958592321</v>
      </c>
      <c r="H68" s="65">
        <f t="shared" si="54"/>
        <v>0.39908933502342808</v>
      </c>
      <c r="I68" s="65">
        <f t="shared" si="54"/>
        <v>0.40136930303052937</v>
      </c>
      <c r="J68" s="65">
        <f t="shared" si="54"/>
        <v>0.36684940858603909</v>
      </c>
      <c r="K68" s="65">
        <f>K49/K45</f>
        <v>0.40025726436661246</v>
      </c>
      <c r="L68" s="65">
        <f>L49/L45</f>
        <v>0.34564169299915715</v>
      </c>
      <c r="M68" s="65">
        <f>M49/M45</f>
        <v>0.35172731639752691</v>
      </c>
      <c r="N68" s="65">
        <f>N49/N45</f>
        <v>0.36990068850217273</v>
      </c>
      <c r="O68" s="65">
        <f>O49/O45</f>
        <v>0.37864712392291683</v>
      </c>
      <c r="P68" s="65">
        <f>P49/P45</f>
        <v>0.36152451200076713</v>
      </c>
      <c r="Q68" s="289">
        <f>+P68+0.006</f>
        <v>0.36752451200076713</v>
      </c>
      <c r="R68" s="289">
        <f>+Q68+0.002</f>
        <v>0.36952451200076714</v>
      </c>
      <c r="S68" s="289">
        <f>+R68+0.002</f>
        <v>0.37152451200076714</v>
      </c>
    </row>
    <row r="69" spans="1:19" ht="11.25" customHeight="1">
      <c r="A69" s="17" t="s">
        <v>5</v>
      </c>
      <c r="C69" s="65">
        <f>C50/C45</f>
        <v>0.23855090395190212</v>
      </c>
      <c r="D69" s="65">
        <f t="shared" ref="D69:J69" si="55">D50/D45</f>
        <v>0.23270492798762427</v>
      </c>
      <c r="E69" s="65">
        <f t="shared" si="55"/>
        <v>0.23819240490565274</v>
      </c>
      <c r="F69" s="65">
        <f t="shared" si="55"/>
        <v>0.23406936986383867</v>
      </c>
      <c r="G69" s="65">
        <f t="shared" si="55"/>
        <v>0.24559180639078498</v>
      </c>
      <c r="H69" s="65">
        <f t="shared" si="55"/>
        <v>0.2466706277554877</v>
      </c>
      <c r="I69" s="65">
        <f t="shared" si="55"/>
        <v>0.23866004548272601</v>
      </c>
      <c r="J69" s="65">
        <f t="shared" si="55"/>
        <v>0.22838851113678721</v>
      </c>
      <c r="K69" s="65">
        <f>K50/K45</f>
        <v>0.23837807792273555</v>
      </c>
      <c r="L69" s="65">
        <f>L50/L45</f>
        <v>0.23856994460043282</v>
      </c>
      <c r="M69" s="65">
        <f>M50/M45</f>
        <v>0.24566880108149367</v>
      </c>
      <c r="N69" s="65">
        <f>N50/N45</f>
        <v>0.23700625353507593</v>
      </c>
      <c r="O69" s="65">
        <f>O50/O45</f>
        <v>0.23754350924480555</v>
      </c>
      <c r="P69" s="65">
        <f>P50/P45</f>
        <v>0.23176752559379418</v>
      </c>
      <c r="Q69" s="289">
        <f>+P69-0.004</f>
        <v>0.22776752559379418</v>
      </c>
      <c r="R69" s="289">
        <f>+Q69-0.002</f>
        <v>0.22576752559379418</v>
      </c>
      <c r="S69" s="289">
        <f>+R69</f>
        <v>0.22576752559379418</v>
      </c>
    </row>
    <row r="70" spans="1:19" ht="11.25" customHeight="1">
      <c r="A70" s="17" t="s">
        <v>6</v>
      </c>
      <c r="C70" s="65">
        <f>C52/C45</f>
        <v>0.19102403782293731</v>
      </c>
      <c r="D70" s="65">
        <f t="shared" ref="D70:J70" si="56">D52/D45</f>
        <v>0.19754371518569211</v>
      </c>
      <c r="E70" s="65">
        <f t="shared" si="56"/>
        <v>0.20998679863971223</v>
      </c>
      <c r="F70" s="65">
        <f t="shared" si="56"/>
        <v>0.1959649396694855</v>
      </c>
      <c r="G70" s="65">
        <f t="shared" si="56"/>
        <v>0.10333015933133168</v>
      </c>
      <c r="H70" s="65">
        <f t="shared" si="56"/>
        <v>0.10556585128775628</v>
      </c>
      <c r="I70" s="65">
        <f t="shared" si="56"/>
        <v>0.11528614800423999</v>
      </c>
      <c r="J70" s="65">
        <f t="shared" si="56"/>
        <v>9.4244510931663306E-2</v>
      </c>
      <c r="K70" s="65">
        <f t="shared" ref="K70:R70" si="57">K52/K45</f>
        <v>0.12576205434026455</v>
      </c>
      <c r="L70" s="65">
        <f t="shared" si="57"/>
        <v>7.0696309095341969E-2</v>
      </c>
      <c r="M70" s="65">
        <f t="shared" si="57"/>
        <v>6.3050071781768816E-2</v>
      </c>
      <c r="N70" s="65">
        <f t="shared" si="57"/>
        <v>9.0827315659278846E-2</v>
      </c>
      <c r="O70" s="65">
        <f t="shared" si="57"/>
        <v>9.768869472958136E-2</v>
      </c>
      <c r="P70" s="65">
        <f t="shared" ref="P70" si="58">P52/P45</f>
        <v>8.5647161978412031E-2</v>
      </c>
      <c r="Q70" s="502">
        <f t="shared" si="57"/>
        <v>9.4551070905838683E-2</v>
      </c>
      <c r="R70" s="502">
        <f t="shared" si="57"/>
        <v>0.10061091711825774</v>
      </c>
      <c r="S70" s="502">
        <f>S52/S45</f>
        <v>0.10286161325770633</v>
      </c>
    </row>
    <row r="71" spans="1:19" ht="11.25" customHeight="1">
      <c r="A71" s="17" t="s">
        <v>8</v>
      </c>
      <c r="C71" s="65">
        <f>C57/C55</f>
        <v>0.38873880627530089</v>
      </c>
      <c r="D71" s="65">
        <f t="shared" ref="D71:J71" si="59">D57/D55</f>
        <v>0.38421106701302188</v>
      </c>
      <c r="E71" s="65">
        <f t="shared" si="59"/>
        <v>0.38423252213198306</v>
      </c>
      <c r="F71" s="65">
        <f t="shared" si="59"/>
        <v>0.37141586565280887</v>
      </c>
      <c r="G71" s="65">
        <f t="shared" si="59"/>
        <v>0.37247631993044461</v>
      </c>
      <c r="H71" s="65">
        <f t="shared" si="59"/>
        <v>0.32315611935244409</v>
      </c>
      <c r="I71" s="65">
        <f t="shared" si="59"/>
        <v>0.35612614015755223</v>
      </c>
      <c r="J71" s="65">
        <f t="shared" si="59"/>
        <v>0.36477042440893148</v>
      </c>
      <c r="K71" s="65">
        <f>K57/K55</f>
        <v>0.37310934955326197</v>
      </c>
      <c r="L71" s="65">
        <f>L57/L55</f>
        <v>0.38797434866346436</v>
      </c>
      <c r="M71" s="65">
        <f>M57/M55</f>
        <v>0.41661931783107686</v>
      </c>
      <c r="N71" s="65">
        <f>N57/N55</f>
        <v>0.33734217328627536</v>
      </c>
      <c r="O71" s="65">
        <f>O57/O55</f>
        <v>0.35323081584728411</v>
      </c>
      <c r="P71" s="65">
        <f>P57/P55</f>
        <v>0.34392190960441327</v>
      </c>
      <c r="Q71" s="289">
        <f>Q32-0.01</f>
        <v>0.24000000000000044</v>
      </c>
      <c r="R71" s="289">
        <f t="shared" ref="R71:S71" si="60">R32-0.01</f>
        <v>0.24000000000000044</v>
      </c>
      <c r="S71" s="289">
        <f t="shared" si="60"/>
        <v>0.24000000000000044</v>
      </c>
    </row>
    <row r="72" spans="1:19" ht="11.25" customHeight="1">
      <c r="A72" s="17"/>
    </row>
    <row r="73" spans="1:19" ht="11.25" customHeight="1">
      <c r="A73" s="239" t="s">
        <v>11</v>
      </c>
    </row>
    <row r="74" spans="1:19" ht="11.25" customHeight="1">
      <c r="A74" s="17" t="s">
        <v>738</v>
      </c>
      <c r="C74" s="860" t="s">
        <v>69</v>
      </c>
      <c r="D74" s="65">
        <f>((D45/C45)-1)</f>
        <v>0.22878082520174403</v>
      </c>
      <c r="E74" s="65">
        <f t="shared" ref="E74:P74" si="61">((E45/D45)-1)</f>
        <v>0.20346887675164349</v>
      </c>
      <c r="F74" s="65">
        <f t="shared" si="61"/>
        <v>9.3404365645830767E-2</v>
      </c>
      <c r="G74" s="65">
        <f t="shared" si="61"/>
        <v>-2.1781955273564746E-2</v>
      </c>
      <c r="H74" s="65">
        <f t="shared" si="61"/>
        <v>-1.6259343844789331E-2</v>
      </c>
      <c r="I74" s="65">
        <f t="shared" si="61"/>
        <v>1.7090273032842607E-3</v>
      </c>
      <c r="J74" s="65">
        <f t="shared" si="61"/>
        <v>5.9339067678812363E-2</v>
      </c>
      <c r="K74" s="65">
        <f t="shared" si="61"/>
        <v>0.11401589389964628</v>
      </c>
      <c r="L74" s="65">
        <f t="shared" si="61"/>
        <v>-4.8909575401590799E-2</v>
      </c>
      <c r="M74" s="65">
        <f t="shared" si="61"/>
        <v>-6.9378020825202613E-3</v>
      </c>
      <c r="N74" s="65">
        <f t="shared" si="61"/>
        <v>7.2796430680865054E-2</v>
      </c>
      <c r="O74" s="65">
        <f t="shared" si="61"/>
        <v>2.4991708898282949E-2</v>
      </c>
      <c r="P74" s="65">
        <f t="shared" si="61"/>
        <v>5.1437934659606332E-2</v>
      </c>
      <c r="Q74" s="65">
        <f>Q75+Q81</f>
        <v>3.766656971001691E-2</v>
      </c>
      <c r="R74" s="65">
        <f>R75+R81</f>
        <v>5.2391217370778426E-2</v>
      </c>
      <c r="S74" s="65">
        <f>S75+S81</f>
        <v>5.0758662475470867E-2</v>
      </c>
    </row>
    <row r="75" spans="1:19" ht="11.25" customHeight="1">
      <c r="A75" s="17" t="s">
        <v>624</v>
      </c>
      <c r="C75" s="65">
        <f>C36</f>
        <v>0.214</v>
      </c>
      <c r="D75" s="65">
        <f t="shared" ref="D75:J75" si="62">D36</f>
        <v>0.155</v>
      </c>
      <c r="E75" s="65">
        <f t="shared" si="62"/>
        <v>0.12</v>
      </c>
      <c r="F75" s="65">
        <f t="shared" si="62"/>
        <v>1.5272651879374904E-2</v>
      </c>
      <c r="G75" s="65">
        <f t="shared" si="62"/>
        <v>-0.1</v>
      </c>
      <c r="H75" s="65">
        <f t="shared" si="62"/>
        <v>-0.04</v>
      </c>
      <c r="I75" s="65">
        <f t="shared" si="62"/>
        <v>-0.01</v>
      </c>
      <c r="J75" s="65">
        <f t="shared" si="62"/>
        <v>0.04</v>
      </c>
      <c r="K75" s="65">
        <f>K36</f>
        <v>0.09</v>
      </c>
      <c r="L75" s="65">
        <f>L36</f>
        <v>-0.06</v>
      </c>
      <c r="M75" s="65">
        <f>M36</f>
        <v>-0.05</v>
      </c>
      <c r="N75" s="65">
        <f>N36</f>
        <v>7.0000000000000007E-2</v>
      </c>
      <c r="O75" s="65">
        <f>O36</f>
        <v>0.03</v>
      </c>
      <c r="P75" s="65">
        <f>P36</f>
        <v>0.04</v>
      </c>
      <c r="Q75" s="289">
        <v>0.04</v>
      </c>
      <c r="R75" s="289">
        <v>0.04</v>
      </c>
      <c r="S75" s="289">
        <v>0.04</v>
      </c>
    </row>
    <row r="76" spans="1:19" ht="11.25" customHeight="1">
      <c r="A76" s="17" t="s">
        <v>782</v>
      </c>
      <c r="C76" s="860" t="s">
        <v>69</v>
      </c>
      <c r="D76" s="65">
        <f>((D50/C50)-1)</f>
        <v>0.19866807756385096</v>
      </c>
      <c r="E76" s="65">
        <f t="shared" ref="E76:P76" si="63">((E50/D50)-1)</f>
        <v>0.23184819703441595</v>
      </c>
      <c r="F76" s="65">
        <f t="shared" si="63"/>
        <v>7.4477882594383704E-2</v>
      </c>
      <c r="G76" s="65">
        <f t="shared" si="63"/>
        <v>2.6372381778013709E-2</v>
      </c>
      <c r="H76" s="65">
        <f t="shared" si="63"/>
        <v>-1.1938025260169294E-2</v>
      </c>
      <c r="I76" s="65">
        <f t="shared" si="63"/>
        <v>-3.0821285079652316E-2</v>
      </c>
      <c r="J76" s="65">
        <f t="shared" si="63"/>
        <v>1.3746863103265783E-2</v>
      </c>
      <c r="K76" s="65">
        <f t="shared" si="63"/>
        <v>0.16274223357989959</v>
      </c>
      <c r="L76" s="65">
        <f t="shared" si="63"/>
        <v>-4.814405802873678E-2</v>
      </c>
      <c r="M76" s="65">
        <f t="shared" si="63"/>
        <v>2.2611628511471915E-2</v>
      </c>
      <c r="N76" s="65">
        <f t="shared" si="63"/>
        <v>3.4968468613685522E-2</v>
      </c>
      <c r="O76" s="65">
        <f t="shared" si="63"/>
        <v>2.7315203066970106E-2</v>
      </c>
      <c r="P76" s="65">
        <f t="shared" si="63"/>
        <v>2.5871720116618091E-2</v>
      </c>
      <c r="Q76" s="65">
        <f>((Q50/P50)-1)</f>
        <v>1.9757821414905452E-2</v>
      </c>
      <c r="R76" s="65">
        <f>((R50/Q50)-1)</f>
        <v>4.3150293190501232E-2</v>
      </c>
      <c r="S76" s="65">
        <f>((S50/R50)-1)</f>
        <v>5.0758662475470784E-2</v>
      </c>
    </row>
    <row r="77" spans="1:19" ht="11.25" customHeight="1">
      <c r="A77" s="17" t="s">
        <v>14</v>
      </c>
      <c r="C77" s="860" t="s">
        <v>69</v>
      </c>
      <c r="D77" s="65">
        <f>((D52/C52)-1)</f>
        <v>0.27071928813634449</v>
      </c>
      <c r="E77" s="65">
        <f t="shared" ref="E77:P77" si="64">((E52/D52)-1)</f>
        <v>0.27927419231766959</v>
      </c>
      <c r="F77" s="65">
        <f t="shared" si="64"/>
        <v>2.0392338643021812E-2</v>
      </c>
      <c r="G77" s="65">
        <f t="shared" si="64"/>
        <v>-0.4841963741430132</v>
      </c>
      <c r="H77" s="65">
        <f t="shared" si="64"/>
        <v>5.0252557958809785E-3</v>
      </c>
      <c r="I77" s="65">
        <f t="shared" si="64"/>
        <v>9.3944431557515085E-2</v>
      </c>
      <c r="J77" s="65">
        <f t="shared" si="64"/>
        <v>-0.13400790925444006</v>
      </c>
      <c r="K77" s="65">
        <f t="shared" si="64"/>
        <v>0.48656856510309532</v>
      </c>
      <c r="L77" s="65">
        <f t="shared" si="64"/>
        <v>-0.46535079291002202</v>
      </c>
      <c r="M77" s="65">
        <f t="shared" si="64"/>
        <v>-0.11434353980180223</v>
      </c>
      <c r="N77" s="65">
        <f t="shared" si="64"/>
        <v>0.54542599705292538</v>
      </c>
      <c r="O77" s="65">
        <f t="shared" si="64"/>
        <v>0.10242278354383005</v>
      </c>
      <c r="P77" s="65">
        <f t="shared" si="64"/>
        <v>-7.8166871311781128E-2</v>
      </c>
      <c r="Q77" s="65">
        <f>((Q52/P52)-1)</f>
        <v>0.14554274937913481</v>
      </c>
      <c r="R77" s="65">
        <f>((R52/Q52)-1)</f>
        <v>0.11983972822813738</v>
      </c>
      <c r="S77" s="65">
        <f>((S52/R52)-1)</f>
        <v>7.426444626974793E-2</v>
      </c>
    </row>
    <row r="78" spans="1:19" ht="11.25" customHeight="1">
      <c r="A78" s="17" t="s">
        <v>15</v>
      </c>
      <c r="C78" s="860" t="s">
        <v>69</v>
      </c>
      <c r="D78" s="65">
        <f t="shared" ref="D78:P78" si="65">((D62/C62)-1)</f>
        <v>0.26676868534628828</v>
      </c>
      <c r="E78" s="65">
        <f t="shared" si="65"/>
        <v>0.34567896188602298</v>
      </c>
      <c r="F78" s="65">
        <f t="shared" si="65"/>
        <v>7.0674788078127104E-2</v>
      </c>
      <c r="G78" s="65">
        <f t="shared" si="65"/>
        <v>-0.45623378685872373</v>
      </c>
      <c r="H78" s="65">
        <f t="shared" si="65"/>
        <v>4.790657403048959E-3</v>
      </c>
      <c r="I78" s="65">
        <f t="shared" si="65"/>
        <v>9.8333869222573922E-2</v>
      </c>
      <c r="J78" s="65">
        <f t="shared" si="65"/>
        <v>-0.10927676467741387</v>
      </c>
      <c r="K78" s="65">
        <f t="shared" si="65"/>
        <v>0.43079074517877358</v>
      </c>
      <c r="L78" s="65">
        <f t="shared" si="65"/>
        <v>-0.46466969331078134</v>
      </c>
      <c r="M78" s="65">
        <f t="shared" si="65"/>
        <v>-0.15317760984618511</v>
      </c>
      <c r="N78" s="65">
        <f t="shared" si="65"/>
        <v>0.72635788166658766</v>
      </c>
      <c r="O78" s="65">
        <f t="shared" si="65"/>
        <v>0.15371909522834537</v>
      </c>
      <c r="P78" s="65">
        <f t="shared" si="65"/>
        <v>-7.8152773080741866E-2</v>
      </c>
      <c r="Q78" s="65">
        <f>((Q62/P62)-1)</f>
        <v>0.38719957683028872</v>
      </c>
      <c r="R78" s="65">
        <f>((R62/Q62)-1)</f>
        <v>0.12034203845942582</v>
      </c>
      <c r="S78" s="65">
        <f>((S62/R62)-1)</f>
        <v>8.0378731543221837E-2</v>
      </c>
    </row>
    <row r="79" spans="1:19" ht="11.25" hidden="1" customHeight="1" outlineLevel="1">
      <c r="A79" s="17" t="s">
        <v>16</v>
      </c>
      <c r="C79" s="860" t="s">
        <v>69</v>
      </c>
      <c r="D79" s="65">
        <f t="shared" ref="D79:P79" si="66">((D65/C65)-1)</f>
        <v>0.24861353450539148</v>
      </c>
      <c r="E79" s="65">
        <f t="shared" si="66"/>
        <v>0.25567669054011977</v>
      </c>
      <c r="F79" s="65">
        <f t="shared" si="66"/>
        <v>4.910331909748078E-2</v>
      </c>
      <c r="G79" s="65">
        <f t="shared" si="66"/>
        <v>-0.37841086618132691</v>
      </c>
      <c r="H79" s="65">
        <f t="shared" si="66"/>
        <v>1.8390715790382206E-2</v>
      </c>
      <c r="I79" s="65">
        <f t="shared" si="66"/>
        <v>6.9339420553740982E-2</v>
      </c>
      <c r="J79" s="65">
        <f t="shared" si="66"/>
        <v>-9.8532927846659346E-2</v>
      </c>
      <c r="K79" s="65">
        <f t="shared" si="66"/>
        <v>0.30243259947176804</v>
      </c>
      <c r="L79" s="65">
        <f t="shared" si="66"/>
        <v>-0.37092027156719953</v>
      </c>
      <c r="M79" s="65">
        <f t="shared" si="66"/>
        <v>-1.633527141638158E-2</v>
      </c>
      <c r="N79" s="65">
        <f t="shared" si="66"/>
        <v>0.34424543908827676</v>
      </c>
      <c r="O79" s="65">
        <f t="shared" si="66"/>
        <v>8.8307687048377659E-2</v>
      </c>
      <c r="P79" s="65">
        <f t="shared" si="66"/>
        <v>-3.3111815692088098E-2</v>
      </c>
      <c r="Q79" s="65">
        <f>((Q65/P65)-1)</f>
        <v>0.11763656581145665</v>
      </c>
      <c r="R79" s="65">
        <f>((R65/Q65)-1)</f>
        <v>8.2511821554563491E-2</v>
      </c>
      <c r="S79" s="65">
        <f>((S65/R65)-1)</f>
        <v>6.5377202954620905E-2</v>
      </c>
    </row>
    <row r="80" spans="1:19" ht="11.25" customHeight="1" collapsed="1">
      <c r="A80" s="17" t="s">
        <v>626</v>
      </c>
      <c r="C80" s="860" t="s">
        <v>69</v>
      </c>
      <c r="D80" s="65">
        <f>D35-D36</f>
        <v>7.3780825201744032E-2</v>
      </c>
      <c r="E80" s="65">
        <f t="shared" ref="E80:P80" si="67">E35-E36</f>
        <v>8.3468876751643495E-2</v>
      </c>
      <c r="F80" s="65">
        <f t="shared" si="67"/>
        <v>7.8131713766455863E-2</v>
      </c>
      <c r="G80" s="65">
        <f t="shared" si="67"/>
        <v>7.821804472643526E-2</v>
      </c>
      <c r="H80" s="65">
        <f t="shared" si="67"/>
        <v>2.374065615521067E-2</v>
      </c>
      <c r="I80" s="65">
        <f t="shared" si="67"/>
        <v>1.1709027303284261E-2</v>
      </c>
      <c r="J80" s="65">
        <f t="shared" si="67"/>
        <v>1.9339067678812362E-2</v>
      </c>
      <c r="K80" s="65">
        <f>K35-K36</f>
        <v>2.4015893899646285E-2</v>
      </c>
      <c r="L80" s="65">
        <f>L35-L36</f>
        <v>1.1090424598409199E-2</v>
      </c>
      <c r="M80" s="65">
        <f>M35-M36</f>
        <v>4.3062197917479741E-2</v>
      </c>
      <c r="N80" s="65">
        <f>N35-N36</f>
        <v>2.7964306808650474E-3</v>
      </c>
      <c r="O80" s="65">
        <f>O35-O36</f>
        <v>-5.0082911017170495E-3</v>
      </c>
      <c r="P80" s="65">
        <f>P35-P36</f>
        <v>1.1437934659606332E-2</v>
      </c>
      <c r="Q80" s="65">
        <f>Q35-Q36</f>
        <v>-7.3334302899830915E-3</v>
      </c>
      <c r="R80" s="65">
        <f>R35-R36</f>
        <v>7.3912173707784221E-3</v>
      </c>
      <c r="S80" s="502">
        <f>S35-S36</f>
        <v>5.7586624754708635E-3</v>
      </c>
    </row>
    <row r="81" spans="1:19" ht="11.25" customHeight="1">
      <c r="A81" s="17" t="s">
        <v>627</v>
      </c>
      <c r="C81" s="860" t="s">
        <v>69</v>
      </c>
      <c r="D81" s="65">
        <f>D80</f>
        <v>7.3780825201744032E-2</v>
      </c>
      <c r="E81" s="65">
        <f t="shared" ref="E81:L81" si="68">E80</f>
        <v>8.3468876751643495E-2</v>
      </c>
      <c r="F81" s="65">
        <f t="shared" si="68"/>
        <v>7.8131713766455863E-2</v>
      </c>
      <c r="G81" s="65">
        <f t="shared" si="68"/>
        <v>7.821804472643526E-2</v>
      </c>
      <c r="H81" s="65">
        <f t="shared" si="68"/>
        <v>2.374065615521067E-2</v>
      </c>
      <c r="I81" s="65">
        <f t="shared" si="68"/>
        <v>1.1709027303284261E-2</v>
      </c>
      <c r="J81" s="65">
        <f t="shared" si="68"/>
        <v>1.9339067678812362E-2</v>
      </c>
      <c r="K81" s="65">
        <f t="shared" si="68"/>
        <v>2.4015893899646285E-2</v>
      </c>
      <c r="L81" s="65">
        <f t="shared" si="68"/>
        <v>1.1090424598409199E-2</v>
      </c>
      <c r="M81" s="65">
        <f>M80</f>
        <v>4.3062197917479741E-2</v>
      </c>
      <c r="N81" s="65">
        <f>N80</f>
        <v>2.7964306808650474E-3</v>
      </c>
      <c r="O81" s="65">
        <f>O80</f>
        <v>-5.0082911017170495E-3</v>
      </c>
      <c r="P81" s="65">
        <f>P80</f>
        <v>1.1437934659606332E-2</v>
      </c>
      <c r="Q81" s="289">
        <f>Q80+0.5%</f>
        <v>-2.3334302899830914E-3</v>
      </c>
      <c r="R81" s="289">
        <f>R80+0.5%</f>
        <v>1.2391217370778421E-2</v>
      </c>
      <c r="S81" s="2132">
        <f>S80+0.5%</f>
        <v>1.0758662475470863E-2</v>
      </c>
    </row>
    <row r="82" spans="1:19" ht="11.25" customHeight="1">
      <c r="A82" s="887"/>
      <c r="B82" s="887"/>
      <c r="C82" s="887"/>
      <c r="D82" s="887"/>
      <c r="E82" s="887"/>
      <c r="F82" s="887"/>
      <c r="G82" s="887"/>
      <c r="H82" s="887"/>
      <c r="I82" s="887"/>
      <c r="J82" s="887"/>
      <c r="K82" s="887"/>
      <c r="L82" s="887"/>
      <c r="M82" s="887"/>
      <c r="N82" s="887"/>
      <c r="O82" s="887"/>
      <c r="P82" s="887"/>
      <c r="Q82" s="887"/>
      <c r="R82" s="887"/>
      <c r="S82" s="887"/>
    </row>
    <row r="83" spans="1:19" ht="11.25" customHeight="1">
      <c r="A83" s="853" t="s">
        <v>628</v>
      </c>
      <c r="C83" s="327" t="s">
        <v>691</v>
      </c>
      <c r="D83" s="327" t="s">
        <v>260</v>
      </c>
      <c r="E83" s="327" t="s">
        <v>259</v>
      </c>
      <c r="F83" s="327" t="s">
        <v>258</v>
      </c>
      <c r="G83" s="327" t="s">
        <v>257</v>
      </c>
      <c r="H83" s="327" t="s">
        <v>747</v>
      </c>
      <c r="I83" s="327" t="s">
        <v>748</v>
      </c>
      <c r="J83" s="327" t="s">
        <v>141</v>
      </c>
      <c r="K83" s="327" t="s">
        <v>479</v>
      </c>
      <c r="L83" s="327" t="s">
        <v>190</v>
      </c>
      <c r="M83" s="327" t="str">
        <f>M42</f>
        <v>2014A</v>
      </c>
      <c r="N83" s="327" t="str">
        <f>N42</f>
        <v>2015A</v>
      </c>
      <c r="O83" s="327" t="str">
        <f>O42</f>
        <v>2016A</v>
      </c>
      <c r="P83" s="327" t="str">
        <f>P42</f>
        <v>2017A</v>
      </c>
      <c r="Q83" s="327" t="s">
        <v>188</v>
      </c>
      <c r="R83" s="327" t="s">
        <v>787</v>
      </c>
      <c r="S83" s="327" t="s">
        <v>797</v>
      </c>
    </row>
    <row r="84" spans="1:19" ht="11.25" customHeight="1">
      <c r="A84" s="239" t="s">
        <v>778</v>
      </c>
      <c r="C84" s="855" t="s">
        <v>737</v>
      </c>
      <c r="D84" s="855" t="s">
        <v>737</v>
      </c>
      <c r="E84" s="855" t="s">
        <v>737</v>
      </c>
      <c r="F84" s="855" t="s">
        <v>737</v>
      </c>
      <c r="G84" s="855" t="s">
        <v>737</v>
      </c>
      <c r="H84" s="855" t="s">
        <v>737</v>
      </c>
      <c r="I84" s="855" t="s">
        <v>737</v>
      </c>
      <c r="J84" s="855" t="s">
        <v>737</v>
      </c>
      <c r="K84" s="855" t="s">
        <v>737</v>
      </c>
      <c r="L84" s="855" t="s">
        <v>737</v>
      </c>
      <c r="M84" s="855" t="s">
        <v>737</v>
      </c>
      <c r="N84" s="855" t="s">
        <v>737</v>
      </c>
      <c r="O84" s="855" t="s">
        <v>737</v>
      </c>
      <c r="P84" s="855" t="s">
        <v>869</v>
      </c>
      <c r="Q84" s="855" t="s">
        <v>737</v>
      </c>
      <c r="R84" s="855" t="s">
        <v>737</v>
      </c>
      <c r="S84" s="855" t="s">
        <v>737</v>
      </c>
    </row>
    <row r="85" spans="1:19" ht="11.25" customHeight="1">
      <c r="A85" s="17"/>
    </row>
    <row r="86" spans="1:19" ht="11.25" customHeight="1">
      <c r="A86" s="17" t="s">
        <v>779</v>
      </c>
      <c r="C86" s="852">
        <f>C6</f>
        <v>1889.6469999999999</v>
      </c>
      <c r="D86" s="852">
        <f t="shared" ref="D86:J86" si="69">D6</f>
        <v>2321.962</v>
      </c>
      <c r="E86" s="852">
        <f t="shared" si="69"/>
        <v>2794.4089999999997</v>
      </c>
      <c r="F86" s="852">
        <f t="shared" si="69"/>
        <v>3055.4189999999999</v>
      </c>
      <c r="G86" s="852">
        <f t="shared" si="69"/>
        <v>2988.866</v>
      </c>
      <c r="H86" s="852">
        <f t="shared" si="69"/>
        <v>2940.2689999999998</v>
      </c>
      <c r="I86" s="852">
        <f t="shared" si="69"/>
        <v>2945.2939999999999</v>
      </c>
      <c r="J86" s="852">
        <f t="shared" si="69"/>
        <v>3120.0650000000001</v>
      </c>
      <c r="K86" s="852">
        <f>K6</f>
        <v>3475.8019999999997</v>
      </c>
      <c r="L86" s="852">
        <f>L6</f>
        <v>3305.8019999999997</v>
      </c>
      <c r="M86" s="852">
        <f>M6</f>
        <v>3282.8670000000002</v>
      </c>
      <c r="N86" s="852">
        <f>N6</f>
        <v>3521.848</v>
      </c>
      <c r="O86" s="852">
        <f>O6</f>
        <v>3609.8650000000002</v>
      </c>
      <c r="P86" s="852">
        <f>P6</f>
        <v>3795.549</v>
      </c>
      <c r="Q86" s="852">
        <f>(P86*(1+Q116))</f>
        <v>3689.9058514962849</v>
      </c>
      <c r="R86" s="852">
        <f>(Q86*(1+R116))</f>
        <v>3641.5356777667275</v>
      </c>
      <c r="S86" s="852">
        <f>(R86*(1+S116))</f>
        <v>3641.5356777667275</v>
      </c>
    </row>
    <row r="87" spans="1:19" ht="11.25" hidden="1" customHeight="1" outlineLevel="1">
      <c r="A87" s="17"/>
      <c r="C87" s="25"/>
      <c r="D87" s="25"/>
      <c r="E87" s="25"/>
      <c r="F87" s="25"/>
      <c r="G87" s="25"/>
      <c r="H87" s="25"/>
      <c r="I87" s="25"/>
      <c r="J87" s="25"/>
      <c r="K87" s="25"/>
      <c r="L87" s="25"/>
      <c r="M87" s="25"/>
      <c r="N87" s="25"/>
      <c r="O87" s="25"/>
      <c r="P87" s="25"/>
    </row>
    <row r="88" spans="1:19" ht="11.25" hidden="1" customHeight="1" outlineLevel="1">
      <c r="A88" s="17" t="s">
        <v>780</v>
      </c>
      <c r="C88" s="852">
        <f>C8</f>
        <v>1008.4589999999999</v>
      </c>
      <c r="D88" s="852">
        <f t="shared" ref="D88:J88" si="70">D8</f>
        <v>1244.213</v>
      </c>
      <c r="E88" s="852">
        <f t="shared" si="70"/>
        <v>1453.98</v>
      </c>
      <c r="F88" s="852">
        <f t="shared" si="70"/>
        <v>1632.2810000000002</v>
      </c>
      <c r="G88" s="852">
        <f t="shared" si="70"/>
        <v>1814.7660000000001</v>
      </c>
      <c r="H88" s="852">
        <f t="shared" si="70"/>
        <v>1766.8389999999999</v>
      </c>
      <c r="I88" s="852">
        <f t="shared" si="70"/>
        <v>1763.1433999999999</v>
      </c>
      <c r="J88" s="852">
        <f t="shared" si="70"/>
        <v>1975.471</v>
      </c>
      <c r="K88" s="852">
        <f>K8</f>
        <v>2084.5869999999995</v>
      </c>
      <c r="L88" s="852">
        <f>L8</f>
        <v>2163.1790000000001</v>
      </c>
      <c r="M88" s="852">
        <f>M8</f>
        <v>2128.1930000000002</v>
      </c>
      <c r="N88" s="852">
        <f>N8</f>
        <v>2219.114</v>
      </c>
      <c r="O88" s="852">
        <f>O8</f>
        <v>2243</v>
      </c>
      <c r="P88" s="852">
        <f>P8</f>
        <v>2423.3650000000002</v>
      </c>
      <c r="Q88" s="852">
        <f>Q86-Q90</f>
        <v>2374.3639684627969</v>
      </c>
      <c r="R88" s="852">
        <f>R86-R90</f>
        <v>2354.1635543508623</v>
      </c>
      <c r="S88" s="852">
        <f>S86-S90</f>
        <v>2368.7296970619291</v>
      </c>
    </row>
    <row r="89" spans="1:19" ht="11.25" hidden="1" customHeight="1" outlineLevel="1">
      <c r="A89" s="17"/>
      <c r="C89" s="25"/>
      <c r="D89" s="25"/>
      <c r="E89" s="25"/>
      <c r="F89" s="25"/>
      <c r="G89" s="25"/>
      <c r="H89" s="25"/>
      <c r="I89" s="25"/>
      <c r="J89" s="25"/>
      <c r="K89" s="25"/>
      <c r="L89" s="25"/>
      <c r="M89" s="25"/>
      <c r="N89" s="25"/>
      <c r="O89" s="25"/>
      <c r="P89" s="25"/>
    </row>
    <row r="90" spans="1:19" ht="11.25" customHeight="1" collapsed="1">
      <c r="A90" s="17" t="s">
        <v>781</v>
      </c>
      <c r="C90" s="852">
        <f>C86-C88</f>
        <v>881.18799999999999</v>
      </c>
      <c r="D90" s="852">
        <f t="shared" ref="D90:J90" si="71">D86-D88</f>
        <v>1077.749</v>
      </c>
      <c r="E90" s="852">
        <f t="shared" si="71"/>
        <v>1340.4289999999996</v>
      </c>
      <c r="F90" s="852">
        <f t="shared" si="71"/>
        <v>1423.1379999999997</v>
      </c>
      <c r="G90" s="852">
        <f t="shared" si="71"/>
        <v>1174.0999999999999</v>
      </c>
      <c r="H90" s="852">
        <f t="shared" si="71"/>
        <v>1173.4299999999998</v>
      </c>
      <c r="I90" s="852">
        <f t="shared" si="71"/>
        <v>1182.1505999999999</v>
      </c>
      <c r="J90" s="852">
        <f t="shared" si="71"/>
        <v>1144.5940000000001</v>
      </c>
      <c r="K90" s="852">
        <f>K86-K88</f>
        <v>1391.2150000000001</v>
      </c>
      <c r="L90" s="852">
        <f>L86-L88</f>
        <v>1142.6229999999996</v>
      </c>
      <c r="M90" s="852">
        <f>M86-M88</f>
        <v>1154.674</v>
      </c>
      <c r="N90" s="852">
        <f>N86-N88</f>
        <v>1302.7339999999999</v>
      </c>
      <c r="O90" s="852">
        <f>O86-O88</f>
        <v>1366.8650000000002</v>
      </c>
      <c r="P90" s="852">
        <f>P86-P88</f>
        <v>1372.1839999999997</v>
      </c>
      <c r="Q90" s="852">
        <f>Q86*Q110</f>
        <v>1315.5418830334881</v>
      </c>
      <c r="R90" s="852">
        <f>R86*R110</f>
        <v>1287.3721234158652</v>
      </c>
      <c r="S90" s="852">
        <f>S86*S110</f>
        <v>1272.8059807047982</v>
      </c>
    </row>
    <row r="91" spans="1:19" ht="11.25" customHeight="1">
      <c r="A91" s="17" t="s">
        <v>782</v>
      </c>
      <c r="C91" s="25">
        <f>C11</f>
        <v>450.77699999999999</v>
      </c>
      <c r="D91" s="25">
        <f t="shared" ref="D91:J91" si="72">D11</f>
        <v>540.33199999999999</v>
      </c>
      <c r="E91" s="25">
        <f t="shared" si="72"/>
        <v>665.60700000000008</v>
      </c>
      <c r="F91" s="25">
        <f t="shared" si="72"/>
        <v>715.18000000000006</v>
      </c>
      <c r="G91" s="25">
        <f t="shared" si="72"/>
        <v>734.04099999999994</v>
      </c>
      <c r="H91" s="25">
        <f t="shared" si="72"/>
        <v>725.27800000000002</v>
      </c>
      <c r="I91" s="25">
        <f t="shared" si="72"/>
        <v>702.92399999999998</v>
      </c>
      <c r="J91" s="25">
        <f t="shared" si="72"/>
        <v>712.58699999999999</v>
      </c>
      <c r="K91" s="25">
        <f>K11</f>
        <v>828.55499999999995</v>
      </c>
      <c r="L91" s="25">
        <f>L11</f>
        <v>788.66499999999996</v>
      </c>
      <c r="M91" s="25">
        <f>M11</f>
        <v>806.49799999999993</v>
      </c>
      <c r="N91" s="25">
        <f>N11</f>
        <v>834.7</v>
      </c>
      <c r="O91" s="25">
        <f>O11</f>
        <v>857.5</v>
      </c>
      <c r="P91" s="25">
        <f>P11</f>
        <v>879.68499999999995</v>
      </c>
      <c r="Q91" s="25">
        <f>Q86*Q111</f>
        <v>869.95997228134127</v>
      </c>
      <c r="R91" s="25">
        <f>R86*R111</f>
        <v>876.76353449741521</v>
      </c>
      <c r="S91" s="25">
        <f>S86*S111</f>
        <v>894.97121288624885</v>
      </c>
    </row>
    <row r="92" spans="1:19" ht="11.25" customHeight="1">
      <c r="A92" s="17"/>
      <c r="C92" s="25"/>
      <c r="D92" s="25"/>
      <c r="E92" s="25"/>
      <c r="F92" s="25"/>
      <c r="G92" s="25"/>
      <c r="H92" s="25"/>
      <c r="I92" s="25"/>
      <c r="J92" s="25"/>
      <c r="K92" s="25"/>
      <c r="L92" s="25"/>
      <c r="M92" s="25"/>
      <c r="N92" s="25"/>
      <c r="O92" s="65">
        <f>O91/N91-1</f>
        <v>2.7315203066970106E-2</v>
      </c>
      <c r="P92" s="65">
        <f>P91/O91-1</f>
        <v>2.5871720116618091E-2</v>
      </c>
      <c r="Q92" s="65">
        <f>Q91/P91-1</f>
        <v>-1.1055125094390217E-2</v>
      </c>
      <c r="R92" s="65">
        <f>R91/Q91-1</f>
        <v>7.8205462697698014E-3</v>
      </c>
      <c r="S92" s="65">
        <f>S91/R91-1</f>
        <v>2.0766920238386444E-2</v>
      </c>
    </row>
    <row r="93" spans="1:19" ht="11.25" hidden="1" customHeight="1" outlineLevel="1">
      <c r="A93" s="17" t="s">
        <v>618</v>
      </c>
      <c r="C93" s="25">
        <f>C12</f>
        <v>69.442999999999998</v>
      </c>
      <c r="D93" s="25">
        <f t="shared" ref="D93:J93" si="73">D12</f>
        <v>78.727999999999994</v>
      </c>
      <c r="E93" s="25">
        <f t="shared" si="73"/>
        <v>88.033000000000001</v>
      </c>
      <c r="F93" s="25">
        <f t="shared" si="73"/>
        <v>109.203</v>
      </c>
      <c r="G93" s="25">
        <f t="shared" si="73"/>
        <v>131.21899999999999</v>
      </c>
      <c r="H93" s="25">
        <f t="shared" si="73"/>
        <v>137.76000000000002</v>
      </c>
      <c r="I93" s="25">
        <f t="shared" si="73"/>
        <v>139.67499999999998</v>
      </c>
      <c r="J93" s="25">
        <f t="shared" si="73"/>
        <v>137.95799999999997</v>
      </c>
      <c r="K93" s="25">
        <f t="shared" ref="K93:R93" si="74">K12</f>
        <v>125.536</v>
      </c>
      <c r="L93" s="25">
        <f t="shared" si="74"/>
        <v>120.25</v>
      </c>
      <c r="M93" s="25">
        <f t="shared" si="74"/>
        <v>141.19099999999997</v>
      </c>
      <c r="N93" s="25">
        <f t="shared" si="74"/>
        <v>148.154</v>
      </c>
      <c r="O93" s="25">
        <f t="shared" si="74"/>
        <v>156.72199999999998</v>
      </c>
      <c r="P93" s="25">
        <f t="shared" ref="P93" si="75">P12</f>
        <v>167.42099999999999</v>
      </c>
      <c r="Q93" s="25">
        <f t="shared" si="74"/>
        <v>178.04414514290619</v>
      </c>
      <c r="R93" s="25">
        <f t="shared" si="74"/>
        <v>178.83432486736163</v>
      </c>
      <c r="S93" s="25">
        <f>S12</f>
        <v>186.81987281625447</v>
      </c>
    </row>
    <row r="94" spans="1:19" ht="11.25" customHeight="1" collapsed="1">
      <c r="A94" s="888" t="s">
        <v>14</v>
      </c>
      <c r="C94" s="852">
        <f t="shared" ref="C94:L94" si="76">C90-C91-C93</f>
        <v>360.96800000000002</v>
      </c>
      <c r="D94" s="852">
        <f t="shared" si="76"/>
        <v>458.68900000000002</v>
      </c>
      <c r="E94" s="852">
        <f t="shared" si="76"/>
        <v>586.78899999999953</v>
      </c>
      <c r="F94" s="852">
        <f t="shared" si="76"/>
        <v>598.75499999999965</v>
      </c>
      <c r="G94" s="852">
        <f t="shared" si="76"/>
        <v>308.83999999999997</v>
      </c>
      <c r="H94" s="852">
        <f t="shared" si="76"/>
        <v>310.39199999999983</v>
      </c>
      <c r="I94" s="852">
        <f t="shared" si="76"/>
        <v>339.55160000000001</v>
      </c>
      <c r="J94" s="852">
        <f t="shared" si="76"/>
        <v>294.04900000000009</v>
      </c>
      <c r="K94" s="852">
        <f t="shared" si="76"/>
        <v>437.12400000000019</v>
      </c>
      <c r="L94" s="852">
        <f t="shared" si="76"/>
        <v>233.70799999999963</v>
      </c>
      <c r="M94" s="852">
        <f t="shared" ref="M94:R94" si="77">M90-M91-M93</f>
        <v>206.98500000000007</v>
      </c>
      <c r="N94" s="852">
        <f t="shared" si="77"/>
        <v>319.87999999999988</v>
      </c>
      <c r="O94" s="852">
        <f>O90-O91-O93</f>
        <v>352.64300000000026</v>
      </c>
      <c r="P94" s="852">
        <f>P90-P91-P93</f>
        <v>325.0779999999998</v>
      </c>
      <c r="Q94" s="852">
        <f t="shared" si="77"/>
        <v>267.53776560924069</v>
      </c>
      <c r="R94" s="852">
        <f t="shared" si="77"/>
        <v>231.77426405108835</v>
      </c>
      <c r="S94" s="852">
        <f>S90-S91-S93</f>
        <v>191.01489500229491</v>
      </c>
    </row>
    <row r="95" spans="1:19" ht="11.25" hidden="1" customHeight="1" outlineLevel="1">
      <c r="A95" s="17"/>
      <c r="C95" s="25"/>
      <c r="D95" s="25"/>
      <c r="E95" s="25"/>
      <c r="F95" s="25"/>
      <c r="G95" s="25"/>
      <c r="H95" s="25"/>
      <c r="I95" s="25"/>
      <c r="J95" s="25"/>
      <c r="K95" s="25"/>
      <c r="L95" s="25"/>
      <c r="M95" s="25"/>
      <c r="N95" s="25"/>
      <c r="O95" s="25"/>
      <c r="P95" s="25"/>
    </row>
    <row r="96" spans="1:19" ht="11.25" hidden="1" customHeight="1" outlineLevel="1">
      <c r="A96" s="17" t="s">
        <v>619</v>
      </c>
      <c r="C96" s="25">
        <f>C15</f>
        <v>-5.867</v>
      </c>
      <c r="D96" s="25">
        <f t="shared" ref="D96:P96" si="78">D15</f>
        <v>-18.277999999999999</v>
      </c>
      <c r="E96" s="25">
        <f t="shared" si="78"/>
        <v>-42.277999999999992</v>
      </c>
      <c r="F96" s="25">
        <f t="shared" si="78"/>
        <v>-37.626000000000005</v>
      </c>
      <c r="G96" s="25">
        <f t="shared" si="78"/>
        <v>-17.805999999999997</v>
      </c>
      <c r="H96" s="25">
        <f t="shared" si="78"/>
        <v>3.2679999999999998</v>
      </c>
      <c r="I96" s="25">
        <f t="shared" si="78"/>
        <v>-2.024</v>
      </c>
      <c r="J96" s="25">
        <f t="shared" si="78"/>
        <v>-5.8739999999999997</v>
      </c>
      <c r="K96" s="25">
        <f>K15</f>
        <v>-7.4320000000000004</v>
      </c>
      <c r="L96" s="25">
        <f>L15</f>
        <v>-2.5369999999999999</v>
      </c>
      <c r="M96" s="25">
        <f>M15</f>
        <v>-3.6080000000000001</v>
      </c>
      <c r="N96" s="25">
        <f>N15</f>
        <v>-1.9919999999999995</v>
      </c>
      <c r="O96" s="25">
        <f>O15</f>
        <v>-3.7839999999999998</v>
      </c>
      <c r="P96" s="25">
        <f>P15</f>
        <v>7.6509999999999998</v>
      </c>
      <c r="Q96" s="25">
        <f>Q15</f>
        <v>-2</v>
      </c>
      <c r="R96" s="25">
        <f>R15</f>
        <v>-6.3853062776180705E-2</v>
      </c>
      <c r="S96" s="25">
        <f>S15</f>
        <v>-6.4859301640495581E-2</v>
      </c>
    </row>
    <row r="97" spans="1:24" ht="11.25" hidden="1" customHeight="1" outlineLevel="1">
      <c r="A97" s="888" t="s">
        <v>620</v>
      </c>
      <c r="C97" s="852">
        <f t="shared" ref="C97:L97" si="79">C94-C96</f>
        <v>366.83500000000004</v>
      </c>
      <c r="D97" s="852">
        <f t="shared" si="79"/>
        <v>476.96700000000004</v>
      </c>
      <c r="E97" s="852">
        <f t="shared" si="79"/>
        <v>629.06699999999955</v>
      </c>
      <c r="F97" s="852">
        <f t="shared" si="79"/>
        <v>636.38099999999963</v>
      </c>
      <c r="G97" s="852">
        <f t="shared" si="79"/>
        <v>326.64599999999996</v>
      </c>
      <c r="H97" s="852">
        <f t="shared" si="79"/>
        <v>307.12399999999985</v>
      </c>
      <c r="I97" s="852">
        <f t="shared" si="79"/>
        <v>341.57560000000001</v>
      </c>
      <c r="J97" s="852">
        <f t="shared" si="79"/>
        <v>299.92300000000012</v>
      </c>
      <c r="K97" s="852">
        <f t="shared" si="79"/>
        <v>444.55600000000021</v>
      </c>
      <c r="L97" s="852">
        <f t="shared" si="79"/>
        <v>236.24499999999964</v>
      </c>
      <c r="M97" s="852">
        <f t="shared" ref="M97:R97" si="80">M94-M96</f>
        <v>210.59300000000007</v>
      </c>
      <c r="N97" s="852">
        <f t="shared" si="80"/>
        <v>321.8719999999999</v>
      </c>
      <c r="O97" s="852">
        <f>O94-O96</f>
        <v>356.42700000000025</v>
      </c>
      <c r="P97" s="852">
        <f>P94-P96</f>
        <v>317.42699999999979</v>
      </c>
      <c r="Q97" s="852">
        <f t="shared" si="80"/>
        <v>269.53776560924069</v>
      </c>
      <c r="R97" s="852">
        <f t="shared" si="80"/>
        <v>231.83811711386454</v>
      </c>
      <c r="S97" s="852">
        <f>S94-S96</f>
        <v>191.0797543039354</v>
      </c>
    </row>
    <row r="98" spans="1:24" ht="11.25" hidden="1" customHeight="1" outlineLevel="1">
      <c r="A98" s="17"/>
      <c r="C98" s="25"/>
      <c r="D98" s="25"/>
      <c r="E98" s="25"/>
      <c r="F98" s="25"/>
      <c r="G98" s="25"/>
      <c r="H98" s="25"/>
      <c r="I98" s="25"/>
      <c r="J98" s="25"/>
      <c r="K98" s="25"/>
      <c r="L98" s="25"/>
      <c r="M98" s="25"/>
      <c r="N98" s="25"/>
      <c r="O98" s="25"/>
      <c r="P98" s="25"/>
    </row>
    <row r="99" spans="1:24" ht="11.25" customHeight="1" collapsed="1">
      <c r="A99" s="17" t="s">
        <v>786</v>
      </c>
      <c r="C99" s="25">
        <f>C18</f>
        <v>142.60300000000001</v>
      </c>
      <c r="D99" s="25">
        <f t="shared" ref="D99:J99" si="81">D18</f>
        <v>183.25600000000003</v>
      </c>
      <c r="E99" s="25">
        <f t="shared" si="81"/>
        <v>241.708</v>
      </c>
      <c r="F99" s="25">
        <f t="shared" si="81"/>
        <v>236.36200000000002</v>
      </c>
      <c r="G99" s="25">
        <f t="shared" si="81"/>
        <v>121.6679</v>
      </c>
      <c r="H99" s="25">
        <f t="shared" si="81"/>
        <v>99.248999999999995</v>
      </c>
      <c r="I99" s="25">
        <f t="shared" si="81"/>
        <v>121.64400000000001</v>
      </c>
      <c r="J99" s="25">
        <f t="shared" si="81"/>
        <v>109.40304</v>
      </c>
      <c r="K99" s="25">
        <f>K18</f>
        <v>165.86799999999999</v>
      </c>
      <c r="L99" s="25">
        <f>L18</f>
        <v>91.656999999999996</v>
      </c>
      <c r="M99" s="25">
        <f>M18</f>
        <v>87.737111999999996</v>
      </c>
      <c r="N99" s="25">
        <f>N18</f>
        <v>108.58099999999999</v>
      </c>
      <c r="O99" s="25">
        <f>O18</f>
        <v>125.90100000000001</v>
      </c>
      <c r="P99" s="25">
        <f>P18</f>
        <v>109.17010000000002</v>
      </c>
      <c r="Q99" s="25">
        <f>Q97*Q113</f>
        <v>70.079819058402705</v>
      </c>
      <c r="R99" s="25">
        <f>R97*R113</f>
        <v>60.277910449604889</v>
      </c>
      <c r="S99" s="25">
        <f>S97*S113</f>
        <v>49.680736119023294</v>
      </c>
      <c r="U99" s="17" t="s">
        <v>312</v>
      </c>
      <c r="V99" s="17" t="s">
        <v>313</v>
      </c>
      <c r="W99" s="17" t="s">
        <v>314</v>
      </c>
      <c r="X99" s="17" t="s">
        <v>318</v>
      </c>
    </row>
    <row r="100" spans="1:24" ht="11.25" hidden="1" customHeight="1" outlineLevel="1">
      <c r="A100" s="17"/>
      <c r="C100" s="25"/>
      <c r="D100" s="25"/>
      <c r="E100" s="25"/>
      <c r="F100" s="25"/>
      <c r="G100" s="25"/>
      <c r="H100" s="25"/>
      <c r="I100" s="25"/>
      <c r="J100" s="25"/>
      <c r="K100" s="25"/>
      <c r="L100" s="25"/>
      <c r="M100" s="25"/>
      <c r="N100" s="25"/>
      <c r="O100" s="25"/>
      <c r="P100" s="25"/>
      <c r="U100" s="17"/>
      <c r="V100" s="17"/>
      <c r="W100" s="17"/>
    </row>
    <row r="101" spans="1:24" ht="11.25" hidden="1" customHeight="1" outlineLevel="1">
      <c r="A101" s="17"/>
      <c r="C101" s="25"/>
      <c r="D101" s="25"/>
      <c r="E101" s="25"/>
      <c r="F101" s="25"/>
      <c r="G101" s="25"/>
      <c r="H101" s="25"/>
      <c r="I101" s="25"/>
      <c r="J101" s="25"/>
      <c r="K101" s="25"/>
      <c r="L101" s="25"/>
      <c r="M101" s="25"/>
      <c r="N101" s="25"/>
      <c r="O101" s="25"/>
      <c r="P101" s="25"/>
      <c r="U101" s="17"/>
      <c r="V101" s="17"/>
      <c r="W101" s="17"/>
    </row>
    <row r="102" spans="1:24" ht="11.25" hidden="1" customHeight="1" outlineLevel="1">
      <c r="A102" s="17" t="s">
        <v>621</v>
      </c>
      <c r="C102" s="852">
        <f>C97-C99</f>
        <v>224.23200000000003</v>
      </c>
      <c r="D102" s="852">
        <f t="shared" ref="D102:P102" si="82">D97-D99</f>
        <v>293.71100000000001</v>
      </c>
      <c r="E102" s="852">
        <f t="shared" si="82"/>
        <v>387.35899999999958</v>
      </c>
      <c r="F102" s="852">
        <f t="shared" si="82"/>
        <v>400.01899999999961</v>
      </c>
      <c r="G102" s="852">
        <f t="shared" si="82"/>
        <v>204.97809999999996</v>
      </c>
      <c r="H102" s="852">
        <f t="shared" si="82"/>
        <v>207.87499999999986</v>
      </c>
      <c r="I102" s="852">
        <f t="shared" si="82"/>
        <v>219.9316</v>
      </c>
      <c r="J102" s="852">
        <f t="shared" si="82"/>
        <v>190.51996000000011</v>
      </c>
      <c r="K102" s="852">
        <f>K97-K99</f>
        <v>278.68800000000022</v>
      </c>
      <c r="L102" s="852">
        <f>L97-L99</f>
        <v>144.58799999999962</v>
      </c>
      <c r="M102" s="852">
        <f>M97-M99</f>
        <v>122.85588800000008</v>
      </c>
      <c r="N102" s="852">
        <f>N97-N99</f>
        <v>213.29099999999991</v>
      </c>
      <c r="O102" s="852">
        <f>O97-O99</f>
        <v>230.52600000000024</v>
      </c>
      <c r="P102" s="852">
        <f>P97-P99</f>
        <v>208.25689999999977</v>
      </c>
      <c r="Q102" s="852">
        <f>Q97-Q99</f>
        <v>199.45794655083799</v>
      </c>
      <c r="R102" s="852">
        <f>R97-R99</f>
        <v>171.56020666425965</v>
      </c>
      <c r="S102" s="852">
        <f>S97-S99</f>
        <v>141.39901818491211</v>
      </c>
      <c r="U102" s="17"/>
      <c r="V102" s="17"/>
      <c r="W102" s="17"/>
    </row>
    <row r="103" spans="1:24" ht="11.25" hidden="1" customHeight="1" outlineLevel="1">
      <c r="A103" s="17"/>
      <c r="U103" s="17"/>
      <c r="V103" s="17"/>
      <c r="W103" s="17"/>
    </row>
    <row r="104" spans="1:24" ht="11.25" customHeight="1" collapsed="1">
      <c r="A104" s="252" t="s">
        <v>622</v>
      </c>
      <c r="B104" s="252"/>
      <c r="C104" s="851">
        <f t="shared" ref="C104:P104" si="83">C102/C105</f>
        <v>0.99496818508559426</v>
      </c>
      <c r="D104" s="851">
        <f t="shared" si="83"/>
        <v>1.2603945397822607</v>
      </c>
      <c r="E104" s="851">
        <f t="shared" si="83"/>
        <v>1.6960864158610043</v>
      </c>
      <c r="F104" s="851">
        <f t="shared" si="83"/>
        <v>1.815956963864171</v>
      </c>
      <c r="G104" s="851">
        <f t="shared" si="83"/>
        <v>0.98745604146794985</v>
      </c>
      <c r="H104" s="851">
        <f t="shared" si="83"/>
        <v>0.99218660506319378</v>
      </c>
      <c r="I104" s="851">
        <f t="shared" si="83"/>
        <v>1.0897521529298675</v>
      </c>
      <c r="J104" s="851">
        <f t="shared" si="83"/>
        <v>0.9706675633574452</v>
      </c>
      <c r="K104" s="851">
        <f>K102/K105</f>
        <v>1.3888221662970635</v>
      </c>
      <c r="L104" s="851">
        <f>L102/L105</f>
        <v>0.74347859622059198</v>
      </c>
      <c r="M104" s="851">
        <f>M102/M105</f>
        <v>0.62959432187972475</v>
      </c>
      <c r="N104" s="851">
        <f>N102/N105</f>
        <v>1.0869051198295934</v>
      </c>
      <c r="O104" s="851">
        <f>O102/O105</f>
        <v>1.2539831914488548</v>
      </c>
      <c r="P104" s="851">
        <f>P102/P105</f>
        <v>1.155980927640488</v>
      </c>
      <c r="Q104" s="851">
        <f>Q102/Q105</f>
        <v>1.1209344019626839</v>
      </c>
      <c r="R104" s="851">
        <f>R102/R105</f>
        <v>0.96960086054662709</v>
      </c>
      <c r="S104" s="851">
        <f>S102/S105</f>
        <v>0.803682061310523</v>
      </c>
      <c r="U104" s="875">
        <f>M104</f>
        <v>0.62959432187972475</v>
      </c>
      <c r="V104" s="17">
        <v>11</v>
      </c>
      <c r="W104" s="875">
        <f>U104*V104</f>
        <v>6.9255375406769719</v>
      </c>
      <c r="X104" s="65">
        <f>W104/$U$3-1</f>
        <v>-0.49263461240461748</v>
      </c>
    </row>
    <row r="105" spans="1:24" ht="11.25" customHeight="1">
      <c r="A105" s="17" t="s">
        <v>623</v>
      </c>
      <c r="C105" s="25">
        <f>C63</f>
        <v>225.36599999999999</v>
      </c>
      <c r="D105" s="25">
        <f t="shared" ref="D105:J105" si="84">D63</f>
        <v>233.03100000000001</v>
      </c>
      <c r="E105" s="25">
        <f t="shared" si="84"/>
        <v>228.38399999999999</v>
      </c>
      <c r="F105" s="25">
        <f t="shared" si="84"/>
        <v>220.28</v>
      </c>
      <c r="G105" s="25">
        <f t="shared" si="84"/>
        <v>207.58199999999999</v>
      </c>
      <c r="H105" s="25">
        <f t="shared" si="84"/>
        <v>209.512</v>
      </c>
      <c r="I105" s="25">
        <f t="shared" si="84"/>
        <v>201.81800000000001</v>
      </c>
      <c r="J105" s="25">
        <f t="shared" si="84"/>
        <v>196.27725000000001</v>
      </c>
      <c r="K105" s="25">
        <f>K63</f>
        <v>200.66499999999999</v>
      </c>
      <c r="L105" s="25">
        <f>L63</f>
        <v>194.47499999999999</v>
      </c>
      <c r="M105" s="25">
        <f>M63</f>
        <v>195.13499999999999</v>
      </c>
      <c r="N105" s="25">
        <f>N63</f>
        <v>196.23699999999999</v>
      </c>
      <c r="O105" s="25">
        <f>O63</f>
        <v>183.83500000000001</v>
      </c>
      <c r="P105" s="25">
        <f>P63</f>
        <v>180.15600000000001</v>
      </c>
      <c r="Q105" s="279">
        <f>Q63+0.5</f>
        <v>177.93899999999999</v>
      </c>
      <c r="R105" s="279">
        <f>R63+0.5</f>
        <v>176.93899999999999</v>
      </c>
      <c r="S105" s="279">
        <f>S63+0.5</f>
        <v>175.93899999999999</v>
      </c>
    </row>
    <row r="106" spans="1:24" ht="11.25" customHeight="1" outlineLevel="1">
      <c r="A106" s="17"/>
    </row>
    <row r="107" spans="1:24" ht="11.25" customHeight="1" outlineLevel="1">
      <c r="A107" s="17" t="s">
        <v>16</v>
      </c>
      <c r="C107" s="852">
        <f>C93+C94</f>
        <v>430.411</v>
      </c>
      <c r="D107" s="852">
        <f t="shared" ref="D107:P107" si="85">D93+D94</f>
        <v>537.41700000000003</v>
      </c>
      <c r="E107" s="852">
        <f t="shared" si="85"/>
        <v>674.82199999999955</v>
      </c>
      <c r="F107" s="852">
        <f t="shared" si="85"/>
        <v>707.95799999999963</v>
      </c>
      <c r="G107" s="852">
        <f t="shared" si="85"/>
        <v>440.05899999999997</v>
      </c>
      <c r="H107" s="852">
        <f t="shared" si="85"/>
        <v>448.15199999999982</v>
      </c>
      <c r="I107" s="852">
        <f t="shared" si="85"/>
        <v>479.22659999999996</v>
      </c>
      <c r="J107" s="852">
        <f t="shared" si="85"/>
        <v>432.00700000000006</v>
      </c>
      <c r="K107" s="852">
        <f>K93+K94</f>
        <v>562.6600000000002</v>
      </c>
      <c r="L107" s="852">
        <f>L93+L94</f>
        <v>353.95799999999963</v>
      </c>
      <c r="M107" s="852">
        <f>M93+M94</f>
        <v>348.17600000000004</v>
      </c>
      <c r="N107" s="852">
        <f>N93+N94</f>
        <v>468.03399999999988</v>
      </c>
      <c r="O107" s="852">
        <f>O93+O94</f>
        <v>509.36500000000024</v>
      </c>
      <c r="P107" s="852">
        <f>P93+P94</f>
        <v>492.4989999999998</v>
      </c>
      <c r="Q107" s="852">
        <f>Q93+Q94</f>
        <v>445.58191075214688</v>
      </c>
      <c r="R107" s="852">
        <f>R93+R94</f>
        <v>410.60858891844998</v>
      </c>
      <c r="S107" s="852">
        <f>S93+S94</f>
        <v>377.83476781854938</v>
      </c>
    </row>
    <row r="108" spans="1:24" ht="11.25" customHeight="1">
      <c r="A108" s="17"/>
    </row>
    <row r="109" spans="1:24" ht="11.25" customHeight="1">
      <c r="A109" s="239" t="s">
        <v>3</v>
      </c>
    </row>
    <row r="110" spans="1:24" ht="11.25" customHeight="1">
      <c r="A110" s="17" t="s">
        <v>32</v>
      </c>
      <c r="C110" s="65">
        <f>C90/C86</f>
        <v>0.46632413355510316</v>
      </c>
      <c r="D110" s="65">
        <f t="shared" ref="D110:J110" si="86">D90/D86</f>
        <v>0.46415445214004364</v>
      </c>
      <c r="E110" s="65">
        <f t="shared" si="86"/>
        <v>0.47968246595255021</v>
      </c>
      <c r="F110" s="65">
        <f t="shared" si="86"/>
        <v>0.46577507045678507</v>
      </c>
      <c r="G110" s="65">
        <f t="shared" si="86"/>
        <v>0.39282456958592321</v>
      </c>
      <c r="H110" s="65">
        <f t="shared" si="86"/>
        <v>0.39908933502342808</v>
      </c>
      <c r="I110" s="65">
        <f t="shared" si="86"/>
        <v>0.40136930303052937</v>
      </c>
      <c r="J110" s="65">
        <f t="shared" si="86"/>
        <v>0.36684940858603909</v>
      </c>
      <c r="K110" s="65">
        <f>K90/K86</f>
        <v>0.40025726436661246</v>
      </c>
      <c r="L110" s="65">
        <f>L90/L86</f>
        <v>0.34564169299915715</v>
      </c>
      <c r="M110" s="65">
        <f>M90/M86</f>
        <v>0.35172731639752691</v>
      </c>
      <c r="N110" s="65">
        <f>N90/N86</f>
        <v>0.36990068850217273</v>
      </c>
      <c r="O110" s="65">
        <f>O90/O86</f>
        <v>0.37864712392291683</v>
      </c>
      <c r="P110" s="65">
        <f>P90/P86</f>
        <v>0.36152451200076713</v>
      </c>
      <c r="Q110" s="289">
        <f>+P110-0.005</f>
        <v>0.35652451200076712</v>
      </c>
      <c r="R110" s="289">
        <f>+Q110-0.003</f>
        <v>0.35352451200076712</v>
      </c>
      <c r="S110" s="289">
        <f>+R110-0.004</f>
        <v>0.34952451200076712</v>
      </c>
    </row>
    <row r="111" spans="1:24" ht="11.25" customHeight="1">
      <c r="A111" s="17" t="s">
        <v>5</v>
      </c>
      <c r="C111" s="65">
        <f>C91/C86</f>
        <v>0.23855090395190212</v>
      </c>
      <c r="D111" s="65">
        <f t="shared" ref="D111:J111" si="87">D91/D86</f>
        <v>0.23270492798762427</v>
      </c>
      <c r="E111" s="65">
        <f t="shared" si="87"/>
        <v>0.23819240490565274</v>
      </c>
      <c r="F111" s="65">
        <f t="shared" si="87"/>
        <v>0.23406936986383867</v>
      </c>
      <c r="G111" s="65">
        <f t="shared" si="87"/>
        <v>0.24559180639078498</v>
      </c>
      <c r="H111" s="65">
        <f t="shared" si="87"/>
        <v>0.2466706277554877</v>
      </c>
      <c r="I111" s="65">
        <f t="shared" si="87"/>
        <v>0.23866004548272601</v>
      </c>
      <c r="J111" s="65">
        <f t="shared" si="87"/>
        <v>0.22838851113678721</v>
      </c>
      <c r="K111" s="65">
        <f>K91/K86</f>
        <v>0.23837807792273555</v>
      </c>
      <c r="L111" s="65">
        <f>L91/L86</f>
        <v>0.23856994460043282</v>
      </c>
      <c r="M111" s="65">
        <f>M91/M86</f>
        <v>0.24566880108149367</v>
      </c>
      <c r="N111" s="65">
        <f>N91/N86</f>
        <v>0.23700625353507593</v>
      </c>
      <c r="O111" s="65">
        <f>O91/O86</f>
        <v>0.23754350924480555</v>
      </c>
      <c r="P111" s="65">
        <f>P91/P86</f>
        <v>0.23176752559379418</v>
      </c>
      <c r="Q111" s="289">
        <f>+P111+0.004</f>
        <v>0.23576752559379419</v>
      </c>
      <c r="R111" s="289">
        <f>+Q111+0.005</f>
        <v>0.24076752559379419</v>
      </c>
      <c r="S111" s="289">
        <f>+R111+0.005</f>
        <v>0.24576752559379419</v>
      </c>
    </row>
    <row r="112" spans="1:24" ht="11.25" customHeight="1">
      <c r="A112" s="17" t="s">
        <v>6</v>
      </c>
      <c r="C112" s="65">
        <f>C94/C86</f>
        <v>0.19102403782293731</v>
      </c>
      <c r="D112" s="65">
        <f t="shared" ref="D112:J112" si="88">D94/D86</f>
        <v>0.19754371518569211</v>
      </c>
      <c r="E112" s="65">
        <f t="shared" si="88"/>
        <v>0.20998679863971223</v>
      </c>
      <c r="F112" s="65">
        <f t="shared" si="88"/>
        <v>0.1959649396694855</v>
      </c>
      <c r="G112" s="65">
        <f t="shared" si="88"/>
        <v>0.10333015933133168</v>
      </c>
      <c r="H112" s="65">
        <f t="shared" si="88"/>
        <v>0.10556585128775628</v>
      </c>
      <c r="I112" s="65">
        <f t="shared" si="88"/>
        <v>0.11528614800423999</v>
      </c>
      <c r="J112" s="65">
        <f t="shared" si="88"/>
        <v>9.4244510931663306E-2</v>
      </c>
      <c r="K112" s="65">
        <f t="shared" ref="K112:Q112" si="89">K94/K86</f>
        <v>0.12576205434026455</v>
      </c>
      <c r="L112" s="65">
        <f t="shared" si="89"/>
        <v>7.0696309095341969E-2</v>
      </c>
      <c r="M112" s="65">
        <f>M94/M86</f>
        <v>6.3050071781768816E-2</v>
      </c>
      <c r="N112" s="65">
        <f>N94/N86</f>
        <v>9.0827315659278846E-2</v>
      </c>
      <c r="O112" s="65">
        <f>O94/O86</f>
        <v>9.768869472958136E-2</v>
      </c>
      <c r="P112" s="65">
        <f>P94/P86</f>
        <v>8.5647161978412031E-2</v>
      </c>
      <c r="Q112" s="502">
        <f t="shared" si="89"/>
        <v>7.2505309451392122E-2</v>
      </c>
      <c r="R112" s="502">
        <f>R94/R86</f>
        <v>6.3647396197757514E-2</v>
      </c>
      <c r="S112" s="502">
        <f>S94/S86</f>
        <v>5.2454489507964969E-2</v>
      </c>
    </row>
    <row r="113" spans="1:19" ht="11.25" customHeight="1">
      <c r="A113" s="17" t="s">
        <v>8</v>
      </c>
      <c r="C113" s="65">
        <f>C99/C97</f>
        <v>0.38873880627530089</v>
      </c>
      <c r="D113" s="65">
        <f t="shared" ref="D113:J113" si="90">D99/D97</f>
        <v>0.38421106701302188</v>
      </c>
      <c r="E113" s="65">
        <f t="shared" si="90"/>
        <v>0.38423252213198306</v>
      </c>
      <c r="F113" s="65">
        <f t="shared" si="90"/>
        <v>0.37141586565280887</v>
      </c>
      <c r="G113" s="65">
        <f t="shared" si="90"/>
        <v>0.37247631993044461</v>
      </c>
      <c r="H113" s="65">
        <f t="shared" si="90"/>
        <v>0.32315611935244409</v>
      </c>
      <c r="I113" s="65">
        <f t="shared" si="90"/>
        <v>0.35612614015755223</v>
      </c>
      <c r="J113" s="65">
        <f t="shared" si="90"/>
        <v>0.36477042440893148</v>
      </c>
      <c r="K113" s="65">
        <f>K99/K97</f>
        <v>0.37310934955326197</v>
      </c>
      <c r="L113" s="65">
        <f>L99/L97</f>
        <v>0.38797434866346436</v>
      </c>
      <c r="M113" s="65">
        <f>M99/M97</f>
        <v>0.41661931783107686</v>
      </c>
      <c r="N113" s="65">
        <f>N99/N97</f>
        <v>0.33734217328627536</v>
      </c>
      <c r="O113" s="65">
        <f>O99/O97</f>
        <v>0.35323081584728411</v>
      </c>
      <c r="P113" s="65">
        <f>P99/P97</f>
        <v>0.34392190960441327</v>
      </c>
      <c r="Q113" s="289">
        <f>Q32+1%</f>
        <v>0.26000000000000045</v>
      </c>
      <c r="R113" s="289">
        <f t="shared" ref="R113:S113" si="91">R32+1%</f>
        <v>0.26000000000000045</v>
      </c>
      <c r="S113" s="289">
        <f t="shared" si="91"/>
        <v>0.26000000000000045</v>
      </c>
    </row>
    <row r="114" spans="1:19" ht="11.25" customHeight="1">
      <c r="A114" s="17"/>
      <c r="S114" s="110"/>
    </row>
    <row r="115" spans="1:19" ht="11.25" customHeight="1">
      <c r="A115" s="239" t="s">
        <v>11</v>
      </c>
      <c r="S115" s="110"/>
    </row>
    <row r="116" spans="1:19" ht="11.25" customHeight="1">
      <c r="A116" s="17" t="s">
        <v>738</v>
      </c>
      <c r="C116" s="18" t="s">
        <v>69</v>
      </c>
      <c r="D116" s="229">
        <f>((D86/C86)-1)</f>
        <v>0.22878082520174403</v>
      </c>
      <c r="E116" s="229">
        <f t="shared" ref="E116:P116" si="92">((E86/D86)-1)</f>
        <v>0.20346887675164349</v>
      </c>
      <c r="F116" s="229">
        <f t="shared" si="92"/>
        <v>9.3404365645830767E-2</v>
      </c>
      <c r="G116" s="229">
        <f t="shared" si="92"/>
        <v>-2.1781955273564746E-2</v>
      </c>
      <c r="H116" s="229">
        <f t="shared" si="92"/>
        <v>-1.6259343844789331E-2</v>
      </c>
      <c r="I116" s="229">
        <f t="shared" si="92"/>
        <v>1.7090273032842607E-3</v>
      </c>
      <c r="J116" s="229">
        <f t="shared" si="92"/>
        <v>5.9339067678812363E-2</v>
      </c>
      <c r="K116" s="229">
        <f t="shared" si="92"/>
        <v>0.11401589389964628</v>
      </c>
      <c r="L116" s="229">
        <f t="shared" si="92"/>
        <v>-4.8909575401590799E-2</v>
      </c>
      <c r="M116" s="229">
        <f t="shared" si="92"/>
        <v>-6.9378020825202613E-3</v>
      </c>
      <c r="N116" s="229">
        <f t="shared" si="92"/>
        <v>7.2796430680865054E-2</v>
      </c>
      <c r="O116" s="229">
        <f t="shared" si="92"/>
        <v>2.4991708898282949E-2</v>
      </c>
      <c r="P116" s="229">
        <f t="shared" si="92"/>
        <v>5.1437934659606332E-2</v>
      </c>
      <c r="Q116" s="229">
        <f>Q117+Q123</f>
        <v>-2.7833430289983092E-2</v>
      </c>
      <c r="R116" s="229">
        <f>R117+R123</f>
        <v>-1.3108782629221579E-2</v>
      </c>
      <c r="S116" s="674"/>
    </row>
    <row r="117" spans="1:19" ht="11.25" customHeight="1">
      <c r="A117" s="17" t="s">
        <v>624</v>
      </c>
      <c r="C117" s="65">
        <f>C36</f>
        <v>0.214</v>
      </c>
      <c r="D117" s="65">
        <f t="shared" ref="D117:J117" si="93">D36</f>
        <v>0.155</v>
      </c>
      <c r="E117" s="65">
        <f t="shared" si="93"/>
        <v>0.12</v>
      </c>
      <c r="F117" s="65">
        <f t="shared" si="93"/>
        <v>1.5272651879374904E-2</v>
      </c>
      <c r="G117" s="65">
        <f t="shared" si="93"/>
        <v>-0.1</v>
      </c>
      <c r="H117" s="65">
        <f t="shared" si="93"/>
        <v>-0.04</v>
      </c>
      <c r="I117" s="65">
        <f t="shared" si="93"/>
        <v>-0.01</v>
      </c>
      <c r="J117" s="65">
        <f t="shared" si="93"/>
        <v>0.04</v>
      </c>
      <c r="K117" s="65">
        <f>K36</f>
        <v>0.09</v>
      </c>
      <c r="L117" s="65">
        <f>L36</f>
        <v>-0.06</v>
      </c>
      <c r="M117" s="65">
        <f>M36</f>
        <v>-0.05</v>
      </c>
      <c r="N117" s="65">
        <f>N36</f>
        <v>7.0000000000000007E-2</v>
      </c>
      <c r="O117" s="65">
        <f>O36</f>
        <v>0.03</v>
      </c>
      <c r="P117" s="65">
        <f>P36</f>
        <v>0.04</v>
      </c>
      <c r="Q117" s="289">
        <v>-0.02</v>
      </c>
      <c r="R117" s="289">
        <v>-0.02</v>
      </c>
      <c r="S117" s="289">
        <v>-0.02</v>
      </c>
    </row>
    <row r="118" spans="1:19" ht="11.25" customHeight="1">
      <c r="A118" s="17" t="s">
        <v>782</v>
      </c>
      <c r="C118" s="18" t="s">
        <v>69</v>
      </c>
      <c r="D118" s="229">
        <f>((D91/C91)-1)</f>
        <v>0.19866807756385096</v>
      </c>
      <c r="E118" s="229">
        <f>((E91/D91)-1)</f>
        <v>0.23184819703441595</v>
      </c>
      <c r="F118" s="229">
        <f t="shared" ref="F118:P118" si="94">((F91/E91)-1)</f>
        <v>7.4477882594383704E-2</v>
      </c>
      <c r="G118" s="229">
        <f t="shared" si="94"/>
        <v>2.6372381778013709E-2</v>
      </c>
      <c r="H118" s="229">
        <f t="shared" si="94"/>
        <v>-1.1938025260169294E-2</v>
      </c>
      <c r="I118" s="229">
        <f t="shared" si="94"/>
        <v>-3.0821285079652316E-2</v>
      </c>
      <c r="J118" s="229">
        <f t="shared" si="94"/>
        <v>1.3746863103265783E-2</v>
      </c>
      <c r="K118" s="229">
        <f t="shared" si="94"/>
        <v>0.16274223357989959</v>
      </c>
      <c r="L118" s="229">
        <f t="shared" si="94"/>
        <v>-4.814405802873678E-2</v>
      </c>
      <c r="M118" s="229">
        <f t="shared" si="94"/>
        <v>2.2611628511471915E-2</v>
      </c>
      <c r="N118" s="229">
        <f t="shared" si="94"/>
        <v>3.4968468613685522E-2</v>
      </c>
      <c r="O118" s="229">
        <f t="shared" si="94"/>
        <v>2.7315203066970106E-2</v>
      </c>
      <c r="P118" s="229">
        <f t="shared" si="94"/>
        <v>2.5871720116618091E-2</v>
      </c>
      <c r="Q118" s="229">
        <f>((Q91/P91)-1)</f>
        <v>-1.1055125094390217E-2</v>
      </c>
      <c r="R118" s="229">
        <f>((R91/Q91)-1)</f>
        <v>7.8205462697698014E-3</v>
      </c>
      <c r="S118" s="674">
        <f>((S91/R91)-1)</f>
        <v>2.0766920238386444E-2</v>
      </c>
    </row>
    <row r="119" spans="1:19" ht="11.25" customHeight="1">
      <c r="A119" s="17" t="s">
        <v>14</v>
      </c>
      <c r="C119" s="18" t="s">
        <v>69</v>
      </c>
      <c r="D119" s="229">
        <f>((D94/C94)-1)</f>
        <v>0.27071928813634449</v>
      </c>
      <c r="E119" s="229">
        <f t="shared" ref="E119:P119" si="95">((E94/D94)-1)</f>
        <v>0.27927419231766959</v>
      </c>
      <c r="F119" s="229">
        <f t="shared" si="95"/>
        <v>2.0392338643021812E-2</v>
      </c>
      <c r="G119" s="229">
        <f t="shared" si="95"/>
        <v>-0.4841963741430132</v>
      </c>
      <c r="H119" s="229">
        <f t="shared" si="95"/>
        <v>5.0252557958809785E-3</v>
      </c>
      <c r="I119" s="229">
        <f t="shared" si="95"/>
        <v>9.3944431557515085E-2</v>
      </c>
      <c r="J119" s="229">
        <f t="shared" si="95"/>
        <v>-0.13400790925444006</v>
      </c>
      <c r="K119" s="229">
        <f t="shared" si="95"/>
        <v>0.48656856510309532</v>
      </c>
      <c r="L119" s="229">
        <f t="shared" si="95"/>
        <v>-0.46535079291002202</v>
      </c>
      <c r="M119" s="229">
        <f t="shared" si="95"/>
        <v>-0.11434353980180223</v>
      </c>
      <c r="N119" s="229">
        <f t="shared" si="95"/>
        <v>0.54542599705292538</v>
      </c>
      <c r="O119" s="229">
        <f t="shared" si="95"/>
        <v>0.10242278354383005</v>
      </c>
      <c r="P119" s="229">
        <f t="shared" si="95"/>
        <v>-7.8166871311781128E-2</v>
      </c>
      <c r="Q119" s="229">
        <f>((Q94/P94)-1)</f>
        <v>-0.17700439399393109</v>
      </c>
      <c r="R119" s="229">
        <f>((R94/Q94)-1)</f>
        <v>-0.13367646050534665</v>
      </c>
      <c r="S119" s="674">
        <f>((S94/R94)-1)</f>
        <v>-0.17585804539458771</v>
      </c>
    </row>
    <row r="120" spans="1:19" ht="11.25" customHeight="1">
      <c r="A120" s="17" t="s">
        <v>15</v>
      </c>
      <c r="C120" s="18" t="s">
        <v>69</v>
      </c>
      <c r="D120" s="229">
        <f>((D104/C104)-1)</f>
        <v>0.26676868534628828</v>
      </c>
      <c r="E120" s="229">
        <f t="shared" ref="E120:P120" si="96">((E104/D104)-1)</f>
        <v>0.34567896188602298</v>
      </c>
      <c r="F120" s="229">
        <f t="shared" si="96"/>
        <v>7.0674788078127104E-2</v>
      </c>
      <c r="G120" s="229">
        <f t="shared" si="96"/>
        <v>-0.45623378685872373</v>
      </c>
      <c r="H120" s="229">
        <f t="shared" si="96"/>
        <v>4.790657403048959E-3</v>
      </c>
      <c r="I120" s="229">
        <f t="shared" si="96"/>
        <v>9.8333869222573922E-2</v>
      </c>
      <c r="J120" s="229">
        <f t="shared" si="96"/>
        <v>-0.10927676467741387</v>
      </c>
      <c r="K120" s="229">
        <f t="shared" si="96"/>
        <v>0.43079074517877358</v>
      </c>
      <c r="L120" s="229">
        <f t="shared" si="96"/>
        <v>-0.46466969331078134</v>
      </c>
      <c r="M120" s="229">
        <f t="shared" si="96"/>
        <v>-0.15317760984618511</v>
      </c>
      <c r="N120" s="229">
        <f t="shared" si="96"/>
        <v>0.72635788166658766</v>
      </c>
      <c r="O120" s="229">
        <f t="shared" si="96"/>
        <v>0.15371909522834537</v>
      </c>
      <c r="P120" s="229">
        <f t="shared" si="96"/>
        <v>-7.8152773080741866E-2</v>
      </c>
      <c r="Q120" s="229">
        <f>((Q104/P104)-1)</f>
        <v>-3.0317563931905656E-2</v>
      </c>
      <c r="R120" s="229">
        <f>((R104/Q104)-1)</f>
        <v>-0.13500659909365043</v>
      </c>
      <c r="S120" s="674">
        <f>((S104/R104)-1)</f>
        <v>-0.17112072192527228</v>
      </c>
    </row>
    <row r="121" spans="1:19" ht="11.25" customHeight="1">
      <c r="A121" s="17" t="s">
        <v>16</v>
      </c>
      <c r="C121" s="18" t="s">
        <v>69</v>
      </c>
      <c r="D121" s="229">
        <f>((D107/C107)-1)</f>
        <v>0.24861353450539148</v>
      </c>
      <c r="E121" s="229">
        <f t="shared" ref="E121:P121" si="97">((E107/D107)-1)</f>
        <v>0.25567669054011977</v>
      </c>
      <c r="F121" s="229">
        <f t="shared" si="97"/>
        <v>4.910331909748078E-2</v>
      </c>
      <c r="G121" s="229">
        <f t="shared" si="97"/>
        <v>-0.37841086618132691</v>
      </c>
      <c r="H121" s="229">
        <f t="shared" si="97"/>
        <v>1.8390715790382206E-2</v>
      </c>
      <c r="I121" s="229">
        <f t="shared" si="97"/>
        <v>6.9339420553740982E-2</v>
      </c>
      <c r="J121" s="229">
        <f t="shared" si="97"/>
        <v>-9.8532927846659346E-2</v>
      </c>
      <c r="K121" s="229">
        <f t="shared" si="97"/>
        <v>0.30243259947176804</v>
      </c>
      <c r="L121" s="229">
        <f t="shared" si="97"/>
        <v>-0.37092027156719953</v>
      </c>
      <c r="M121" s="229">
        <f t="shared" si="97"/>
        <v>-1.633527141638158E-2</v>
      </c>
      <c r="N121" s="229">
        <f t="shared" si="97"/>
        <v>0.34424543908827676</v>
      </c>
      <c r="O121" s="229">
        <f t="shared" si="97"/>
        <v>8.8307687048377659E-2</v>
      </c>
      <c r="P121" s="229">
        <f t="shared" si="97"/>
        <v>-3.3111815692088098E-2</v>
      </c>
      <c r="Q121" s="229">
        <f>((Q107/P107)-1)</f>
        <v>-9.5263318804409636E-2</v>
      </c>
      <c r="R121" s="229">
        <f>((R107/Q107)-1)</f>
        <v>-7.848909704314877E-2</v>
      </c>
      <c r="S121" s="674">
        <f>((S107/R107)-1)</f>
        <v>-7.9817670609929059E-2</v>
      </c>
    </row>
    <row r="122" spans="1:19" ht="11.25" customHeight="1" outlineLevel="1">
      <c r="A122" s="17" t="s">
        <v>626</v>
      </c>
      <c r="C122" s="18" t="s">
        <v>69</v>
      </c>
      <c r="D122" s="65">
        <f>D35-D36</f>
        <v>7.3780825201744032E-2</v>
      </c>
      <c r="E122" s="65">
        <f t="shared" ref="E122:J122" si="98">E35-E36</f>
        <v>8.3468876751643495E-2</v>
      </c>
      <c r="F122" s="65">
        <f t="shared" si="98"/>
        <v>7.8131713766455863E-2</v>
      </c>
      <c r="G122" s="65">
        <f t="shared" si="98"/>
        <v>7.821804472643526E-2</v>
      </c>
      <c r="H122" s="65">
        <f t="shared" si="98"/>
        <v>2.374065615521067E-2</v>
      </c>
      <c r="I122" s="65">
        <f t="shared" si="98"/>
        <v>1.1709027303284261E-2</v>
      </c>
      <c r="J122" s="65">
        <f t="shared" si="98"/>
        <v>1.9339067678812362E-2</v>
      </c>
      <c r="K122" s="65">
        <f t="shared" ref="K122:Q122" si="99">K35-K36</f>
        <v>2.4015893899646285E-2</v>
      </c>
      <c r="L122" s="65">
        <f t="shared" si="99"/>
        <v>1.1090424598409199E-2</v>
      </c>
      <c r="M122" s="65">
        <f t="shared" si="99"/>
        <v>4.3062197917479741E-2</v>
      </c>
      <c r="N122" s="65">
        <f>N35-N36</f>
        <v>2.7964306808650474E-3</v>
      </c>
      <c r="O122" s="65">
        <f>O35-O36</f>
        <v>-5.0082911017170495E-3</v>
      </c>
      <c r="P122" s="65">
        <f>P35-P36</f>
        <v>1.1437934659606332E-2</v>
      </c>
      <c r="Q122" s="65">
        <f t="shared" si="99"/>
        <v>-7.3334302899830915E-3</v>
      </c>
      <c r="R122" s="65">
        <f>R35-R36</f>
        <v>7.3912173707784221E-3</v>
      </c>
      <c r="S122" s="502">
        <f>S35-S36</f>
        <v>5.7586624754708635E-3</v>
      </c>
    </row>
    <row r="123" spans="1:19" ht="11.25" customHeight="1" outlineLevel="1">
      <c r="A123" s="17" t="s">
        <v>629</v>
      </c>
      <c r="C123" s="18" t="s">
        <v>69</v>
      </c>
      <c r="D123" s="65">
        <f t="shared" ref="D123:L123" si="100">D122</f>
        <v>7.3780825201744032E-2</v>
      </c>
      <c r="E123" s="65">
        <f t="shared" si="100"/>
        <v>8.3468876751643495E-2</v>
      </c>
      <c r="F123" s="65">
        <f t="shared" si="100"/>
        <v>7.8131713766455863E-2</v>
      </c>
      <c r="G123" s="65">
        <f t="shared" si="100"/>
        <v>7.821804472643526E-2</v>
      </c>
      <c r="H123" s="65">
        <f t="shared" si="100"/>
        <v>2.374065615521067E-2</v>
      </c>
      <c r="I123" s="65">
        <f t="shared" si="100"/>
        <v>1.1709027303284261E-2</v>
      </c>
      <c r="J123" s="65">
        <f t="shared" si="100"/>
        <v>1.9339067678812362E-2</v>
      </c>
      <c r="K123" s="65">
        <f t="shared" si="100"/>
        <v>2.4015893899646285E-2</v>
      </c>
      <c r="L123" s="65">
        <f t="shared" si="100"/>
        <v>1.1090424598409199E-2</v>
      </c>
      <c r="M123" s="65">
        <f>M122</f>
        <v>4.3062197917479741E-2</v>
      </c>
      <c r="N123" s="65">
        <f>N122</f>
        <v>2.7964306808650474E-3</v>
      </c>
      <c r="O123" s="65">
        <f>O122</f>
        <v>-5.0082911017170495E-3</v>
      </c>
      <c r="P123" s="65">
        <f>P122</f>
        <v>1.1437934659606332E-2</v>
      </c>
      <c r="Q123" s="289">
        <f>Q122-0.05%</f>
        <v>-7.833430289983092E-3</v>
      </c>
      <c r="R123" s="289">
        <f>R122-0.05%</f>
        <v>6.8912173707784217E-3</v>
      </c>
      <c r="S123" s="2132">
        <f>S122-0.05%</f>
        <v>5.2586624754708631E-3</v>
      </c>
    </row>
    <row r="124" spans="1:19">
      <c r="A124" s="889"/>
      <c r="B124" s="889"/>
      <c r="C124" s="889"/>
      <c r="D124" s="889"/>
      <c r="E124" s="889"/>
      <c r="F124" s="889"/>
      <c r="G124" s="889"/>
      <c r="H124" s="889"/>
      <c r="I124" s="889"/>
      <c r="J124" s="889"/>
      <c r="K124" s="889"/>
      <c r="L124" s="889"/>
      <c r="M124" s="889"/>
      <c r="N124" s="889"/>
      <c r="O124" s="889"/>
      <c r="P124" s="889"/>
      <c r="Q124" s="889"/>
      <c r="R124" s="889"/>
      <c r="S124" s="889"/>
    </row>
    <row r="125" spans="1:19">
      <c r="A125" s="882" t="s">
        <v>221</v>
      </c>
      <c r="C125" s="327" t="str">
        <f t="shared" ref="C125:G126" si="101">C83</f>
        <v>2004A</v>
      </c>
      <c r="D125" s="327" t="str">
        <f t="shared" si="101"/>
        <v>2005A</v>
      </c>
      <c r="E125" s="327" t="str">
        <f t="shared" si="101"/>
        <v>2006A</v>
      </c>
      <c r="F125" s="327" t="str">
        <f t="shared" si="101"/>
        <v>2007A</v>
      </c>
      <c r="G125" s="327" t="str">
        <f t="shared" si="101"/>
        <v>2008A</v>
      </c>
      <c r="H125" s="327" t="str">
        <f t="shared" ref="H125:P125" si="102">H83</f>
        <v>2009A</v>
      </c>
      <c r="I125" s="327" t="str">
        <f t="shared" si="102"/>
        <v>2010A</v>
      </c>
      <c r="J125" s="327" t="str">
        <f t="shared" si="102"/>
        <v>2011A</v>
      </c>
      <c r="K125" s="327" t="str">
        <f>K83</f>
        <v>2012A</v>
      </c>
      <c r="L125" s="327" t="str">
        <f t="shared" si="102"/>
        <v>2013A</v>
      </c>
      <c r="M125" s="327" t="str">
        <f t="shared" si="102"/>
        <v>2014A</v>
      </c>
      <c r="N125" s="327" t="str">
        <f t="shared" si="102"/>
        <v>2015A</v>
      </c>
      <c r="O125" s="327" t="str">
        <f t="shared" si="102"/>
        <v>2016A</v>
      </c>
      <c r="P125" s="327" t="str">
        <f t="shared" si="102"/>
        <v>2017A</v>
      </c>
      <c r="Q125" s="327" t="str">
        <f t="shared" ref="Q125:S126" si="103">Q83</f>
        <v>2018E</v>
      </c>
      <c r="R125" s="327" t="str">
        <f t="shared" si="103"/>
        <v>2019E</v>
      </c>
      <c r="S125" s="327" t="str">
        <f t="shared" si="103"/>
        <v>2020E</v>
      </c>
    </row>
    <row r="126" spans="1:19">
      <c r="A126" s="239" t="s">
        <v>778</v>
      </c>
      <c r="C126" s="855" t="str">
        <f t="shared" si="101"/>
        <v>Jan</v>
      </c>
      <c r="D126" s="855" t="str">
        <f t="shared" si="101"/>
        <v>Jan</v>
      </c>
      <c r="E126" s="855" t="str">
        <f t="shared" si="101"/>
        <v>Jan</v>
      </c>
      <c r="F126" s="855" t="str">
        <f t="shared" si="101"/>
        <v>Jan</v>
      </c>
      <c r="G126" s="855" t="str">
        <f t="shared" si="101"/>
        <v>Jan</v>
      </c>
      <c r="H126" s="855" t="str">
        <f t="shared" ref="H126:P126" si="104">H84</f>
        <v>Jan</v>
      </c>
      <c r="I126" s="855" t="str">
        <f t="shared" si="104"/>
        <v>Jan</v>
      </c>
      <c r="J126" s="855" t="str">
        <f t="shared" si="104"/>
        <v>Jan</v>
      </c>
      <c r="K126" s="855" t="str">
        <f>K84</f>
        <v>Jan</v>
      </c>
      <c r="L126" s="855" t="str">
        <f t="shared" si="104"/>
        <v>Jan</v>
      </c>
      <c r="M126" s="855" t="str">
        <f t="shared" si="104"/>
        <v>Jan</v>
      </c>
      <c r="N126" s="855" t="str">
        <f t="shared" si="104"/>
        <v>Jan</v>
      </c>
      <c r="O126" s="855" t="str">
        <f t="shared" si="104"/>
        <v>Jan</v>
      </c>
      <c r="P126" s="855" t="str">
        <f t="shared" si="104"/>
        <v>Feb</v>
      </c>
      <c r="Q126" s="855" t="str">
        <f t="shared" si="103"/>
        <v>Jan</v>
      </c>
      <c r="R126" s="855" t="str">
        <f t="shared" si="103"/>
        <v>Jan</v>
      </c>
      <c r="S126" s="855" t="str">
        <f t="shared" si="103"/>
        <v>Jan</v>
      </c>
    </row>
    <row r="127" spans="1:19">
      <c r="A127" s="17"/>
    </row>
    <row r="128" spans="1:19">
      <c r="A128" s="17" t="s">
        <v>779</v>
      </c>
      <c r="C128" s="852">
        <f t="shared" ref="C128:J128" si="105">C6</f>
        <v>1889.6469999999999</v>
      </c>
      <c r="D128" s="852">
        <f t="shared" si="105"/>
        <v>2321.962</v>
      </c>
      <c r="E128" s="852">
        <f t="shared" si="105"/>
        <v>2794.4089999999997</v>
      </c>
      <c r="F128" s="852">
        <f t="shared" si="105"/>
        <v>3055.4189999999999</v>
      </c>
      <c r="G128" s="852">
        <f t="shared" si="105"/>
        <v>2988.866</v>
      </c>
      <c r="H128" s="852">
        <f t="shared" si="105"/>
        <v>2940.2689999999998</v>
      </c>
      <c r="I128" s="852">
        <f t="shared" si="105"/>
        <v>2945.2939999999999</v>
      </c>
      <c r="J128" s="852">
        <f t="shared" si="105"/>
        <v>3120.0650000000001</v>
      </c>
      <c r="K128" s="852">
        <f>K6</f>
        <v>3475.8019999999997</v>
      </c>
      <c r="L128" s="852">
        <f t="shared" ref="L128:S128" si="106">(K128*(1+L166))</f>
        <v>3305.8019999999997</v>
      </c>
      <c r="M128" s="852">
        <f t="shared" si="106"/>
        <v>3282.8670000000002</v>
      </c>
      <c r="N128" s="852">
        <f t="shared" si="106"/>
        <v>3521.8479999999995</v>
      </c>
      <c r="O128" s="852">
        <f t="shared" si="106"/>
        <v>3609.8649999999993</v>
      </c>
      <c r="P128" s="852">
        <f t="shared" si="106"/>
        <v>3795.5489999999991</v>
      </c>
      <c r="Q128" s="852">
        <f t="shared" si="106"/>
        <v>3846.3313542304759</v>
      </c>
      <c r="R128" s="852">
        <f t="shared" si="106"/>
        <v>3913.2237388919384</v>
      </c>
      <c r="S128" s="852">
        <f t="shared" si="106"/>
        <v>3952.3559762808577</v>
      </c>
    </row>
    <row r="129" spans="1:19">
      <c r="A129" s="17"/>
      <c r="C129" s="25"/>
      <c r="D129" s="25"/>
      <c r="E129" s="25"/>
      <c r="F129" s="25"/>
      <c r="G129" s="25"/>
      <c r="H129" s="25"/>
      <c r="I129" s="25"/>
      <c r="J129" s="25"/>
      <c r="K129" s="25"/>
      <c r="L129" s="25"/>
      <c r="M129" s="25"/>
      <c r="N129"/>
      <c r="O129"/>
      <c r="P129"/>
      <c r="Q129"/>
      <c r="R129"/>
      <c r="S129"/>
    </row>
    <row r="130" spans="1:19">
      <c r="A130" s="17" t="s">
        <v>780</v>
      </c>
      <c r="C130" s="852">
        <f t="shared" ref="C130:J130" si="107">C8</f>
        <v>1008.4589999999999</v>
      </c>
      <c r="D130" s="852">
        <f t="shared" si="107"/>
        <v>1244.213</v>
      </c>
      <c r="E130" s="852">
        <f t="shared" si="107"/>
        <v>1453.98</v>
      </c>
      <c r="F130" s="852">
        <f t="shared" si="107"/>
        <v>1632.2810000000002</v>
      </c>
      <c r="G130" s="852">
        <f t="shared" si="107"/>
        <v>1814.7660000000001</v>
      </c>
      <c r="H130" s="852">
        <f t="shared" si="107"/>
        <v>1766.8389999999999</v>
      </c>
      <c r="I130" s="852">
        <f t="shared" si="107"/>
        <v>1763.1433999999999</v>
      </c>
      <c r="J130" s="852">
        <f t="shared" si="107"/>
        <v>1975.471</v>
      </c>
      <c r="K130" s="852">
        <f>K8</f>
        <v>2084.5869999999995</v>
      </c>
      <c r="L130" s="852">
        <f t="shared" ref="L130:Q130" si="108">L128-L132</f>
        <v>2163.1790000000001</v>
      </c>
      <c r="M130" s="852">
        <f t="shared" si="108"/>
        <v>2128.1930000000002</v>
      </c>
      <c r="N130" s="852">
        <f t="shared" si="108"/>
        <v>2219.1139999999996</v>
      </c>
      <c r="O130" s="852">
        <f t="shared" si="108"/>
        <v>2242.9999999999991</v>
      </c>
      <c r="P130" s="852">
        <f t="shared" si="108"/>
        <v>2423.3649999999998</v>
      </c>
      <c r="Q130" s="852">
        <f t="shared" si="108"/>
        <v>2452.6299158005877</v>
      </c>
      <c r="R130" s="852">
        <f>R128-R132</f>
        <v>2500.549969151949</v>
      </c>
      <c r="S130" s="852">
        <f>S128-S132</f>
        <v>2533.4601807960298</v>
      </c>
    </row>
    <row r="131" spans="1:19">
      <c r="A131" s="17"/>
      <c r="C131" s="25"/>
      <c r="D131" s="25"/>
      <c r="E131" s="25"/>
      <c r="F131" s="25"/>
      <c r="G131" s="25"/>
      <c r="H131" s="25"/>
      <c r="I131" s="25"/>
      <c r="J131" s="25"/>
      <c r="K131" s="25"/>
      <c r="L131" s="25"/>
      <c r="M131" s="25"/>
      <c r="N131"/>
      <c r="O131"/>
      <c r="P131"/>
      <c r="Q131"/>
      <c r="R131"/>
      <c r="S131"/>
    </row>
    <row r="132" spans="1:19">
      <c r="A132" s="17" t="s">
        <v>781</v>
      </c>
      <c r="C132" s="852">
        <f t="shared" ref="C132:J132" si="109">C128-C130</f>
        <v>881.18799999999999</v>
      </c>
      <c r="D132" s="852">
        <f t="shared" si="109"/>
        <v>1077.749</v>
      </c>
      <c r="E132" s="852">
        <f t="shared" si="109"/>
        <v>1340.4289999999996</v>
      </c>
      <c r="F132" s="852">
        <f t="shared" si="109"/>
        <v>1423.1379999999997</v>
      </c>
      <c r="G132" s="852">
        <f t="shared" si="109"/>
        <v>1174.0999999999999</v>
      </c>
      <c r="H132" s="852">
        <f t="shared" si="109"/>
        <v>1173.4299999999998</v>
      </c>
      <c r="I132" s="852">
        <f t="shared" si="109"/>
        <v>1182.1505999999999</v>
      </c>
      <c r="J132" s="852">
        <f t="shared" si="109"/>
        <v>1144.5940000000001</v>
      </c>
      <c r="K132" s="852">
        <f>K128-K130</f>
        <v>1391.2150000000001</v>
      </c>
      <c r="L132" s="852">
        <f t="shared" ref="L132:Q132" si="110">L128*L154</f>
        <v>1142.6229999999996</v>
      </c>
      <c r="M132" s="852">
        <f t="shared" si="110"/>
        <v>1154.674</v>
      </c>
      <c r="N132" s="852">
        <f t="shared" si="110"/>
        <v>1302.7339999999999</v>
      </c>
      <c r="O132" s="852">
        <f t="shared" si="110"/>
        <v>1366.865</v>
      </c>
      <c r="P132" s="852">
        <f t="shared" si="110"/>
        <v>1372.1839999999993</v>
      </c>
      <c r="Q132" s="852">
        <f t="shared" si="110"/>
        <v>1393.701438429888</v>
      </c>
      <c r="R132" s="852">
        <f>R128*R154</f>
        <v>1412.6737697399894</v>
      </c>
      <c r="S132" s="852">
        <f>S128*S154</f>
        <v>1418.8957954848279</v>
      </c>
    </row>
    <row r="133" spans="1:19">
      <c r="A133" s="17" t="s">
        <v>782</v>
      </c>
      <c r="C133" s="25">
        <f t="shared" ref="C133:J133" si="111">C11</f>
        <v>450.77699999999999</v>
      </c>
      <c r="D133" s="25">
        <f t="shared" si="111"/>
        <v>540.33199999999999</v>
      </c>
      <c r="E133" s="25">
        <f t="shared" si="111"/>
        <v>665.60700000000008</v>
      </c>
      <c r="F133" s="25">
        <f t="shared" si="111"/>
        <v>715.18000000000006</v>
      </c>
      <c r="G133" s="25">
        <f t="shared" si="111"/>
        <v>734.04099999999994</v>
      </c>
      <c r="H133" s="25">
        <f t="shared" si="111"/>
        <v>725.27800000000002</v>
      </c>
      <c r="I133" s="25">
        <f t="shared" si="111"/>
        <v>702.92399999999998</v>
      </c>
      <c r="J133" s="25">
        <f t="shared" si="111"/>
        <v>712.58699999999999</v>
      </c>
      <c r="K133" s="25">
        <f>K11</f>
        <v>828.55499999999995</v>
      </c>
      <c r="L133" s="25">
        <f t="shared" ref="L133:Q133" si="112">L128*L158</f>
        <v>788.66499999999996</v>
      </c>
      <c r="M133" s="25">
        <f t="shared" si="112"/>
        <v>806.49799999999993</v>
      </c>
      <c r="N133" s="25">
        <f t="shared" si="112"/>
        <v>834.69999999999993</v>
      </c>
      <c r="O133" s="25">
        <f t="shared" si="112"/>
        <v>857.49999999999989</v>
      </c>
      <c r="P133" s="25">
        <f t="shared" si="112"/>
        <v>879.68499999999972</v>
      </c>
      <c r="Q133" s="25">
        <f t="shared" si="112"/>
        <v>895.68117492419333</v>
      </c>
      <c r="R133" s="25">
        <f>R128*R158</f>
        <v>913.34642065737842</v>
      </c>
      <c r="S133" s="25">
        <f>S128*S158</f>
        <v>928.01318323074543</v>
      </c>
    </row>
    <row r="134" spans="1:19">
      <c r="A134" s="17" t="s">
        <v>618</v>
      </c>
      <c r="C134" s="25">
        <f>C12</f>
        <v>69.442999999999998</v>
      </c>
      <c r="D134" s="25">
        <f>D12</f>
        <v>78.727999999999994</v>
      </c>
      <c r="E134" s="25">
        <f>E12</f>
        <v>88.033000000000001</v>
      </c>
      <c r="F134" s="25">
        <f>F12</f>
        <v>109.203</v>
      </c>
      <c r="G134" s="25">
        <f>G12</f>
        <v>131.21899999999999</v>
      </c>
      <c r="H134" s="25">
        <f t="shared" ref="H134:P134" si="113">H12</f>
        <v>137.76000000000002</v>
      </c>
      <c r="I134" s="25">
        <f t="shared" si="113"/>
        <v>139.67499999999998</v>
      </c>
      <c r="J134" s="25">
        <f t="shared" si="113"/>
        <v>137.95799999999997</v>
      </c>
      <c r="K134" s="25">
        <f>K12</f>
        <v>125.536</v>
      </c>
      <c r="L134" s="25">
        <f t="shared" si="113"/>
        <v>120.25</v>
      </c>
      <c r="M134" s="25">
        <f t="shared" si="113"/>
        <v>141.19099999999997</v>
      </c>
      <c r="N134" s="25">
        <f t="shared" si="113"/>
        <v>148.154</v>
      </c>
      <c r="O134" s="25">
        <f t="shared" si="113"/>
        <v>156.72199999999998</v>
      </c>
      <c r="P134" s="25">
        <f t="shared" si="113"/>
        <v>167.42099999999999</v>
      </c>
      <c r="Q134" s="25">
        <f>Q12</f>
        <v>178.04414514290619</v>
      </c>
      <c r="R134" s="25">
        <f>R12</f>
        <v>178.83432486736163</v>
      </c>
      <c r="S134" s="25">
        <f>S12</f>
        <v>186.81987281625447</v>
      </c>
    </row>
    <row r="135" spans="1:19">
      <c r="A135" s="888" t="s">
        <v>14</v>
      </c>
      <c r="C135" s="852">
        <f>C132-C133-C134</f>
        <v>360.96800000000002</v>
      </c>
      <c r="D135" s="852">
        <f>D132-D133-D134</f>
        <v>458.68900000000002</v>
      </c>
      <c r="E135" s="852">
        <f>E132-E133-E134</f>
        <v>586.78899999999953</v>
      </c>
      <c r="F135" s="852">
        <f>F132-F133-F134</f>
        <v>598.75499999999965</v>
      </c>
      <c r="G135" s="852">
        <f t="shared" ref="G135:Q135" si="114">G132-G133-G134</f>
        <v>308.83999999999997</v>
      </c>
      <c r="H135" s="852">
        <f t="shared" si="114"/>
        <v>310.39199999999983</v>
      </c>
      <c r="I135" s="852">
        <f t="shared" si="114"/>
        <v>339.55160000000001</v>
      </c>
      <c r="J135" s="852">
        <f t="shared" si="114"/>
        <v>294.04900000000009</v>
      </c>
      <c r="K135" s="852">
        <f t="shared" si="114"/>
        <v>437.12400000000019</v>
      </c>
      <c r="L135" s="852">
        <f t="shared" si="114"/>
        <v>233.70799999999963</v>
      </c>
      <c r="M135" s="852">
        <f t="shared" si="114"/>
        <v>206.98500000000007</v>
      </c>
      <c r="N135" s="852">
        <f t="shared" si="114"/>
        <v>319.88</v>
      </c>
      <c r="O135" s="852">
        <f t="shared" si="114"/>
        <v>352.64300000000014</v>
      </c>
      <c r="P135" s="852">
        <f t="shared" si="114"/>
        <v>325.07799999999958</v>
      </c>
      <c r="Q135" s="852">
        <f t="shared" si="114"/>
        <v>319.97611836278844</v>
      </c>
      <c r="R135" s="852">
        <f>R132-R133-R134</f>
        <v>320.49302421524942</v>
      </c>
      <c r="S135" s="852">
        <f>S132-S133-S134</f>
        <v>304.06273943782799</v>
      </c>
    </row>
    <row r="136" spans="1:19">
      <c r="A136" s="17"/>
      <c r="C136" s="25"/>
      <c r="D136" s="25"/>
      <c r="E136" s="25"/>
      <c r="F136" s="25"/>
      <c r="G136" s="25"/>
      <c r="H136" s="25"/>
      <c r="I136" s="25"/>
      <c r="J136" s="25"/>
      <c r="K136" s="25"/>
      <c r="L136" s="25"/>
      <c r="M136" s="25"/>
      <c r="N136"/>
      <c r="O136"/>
      <c r="P136"/>
      <c r="Q136"/>
      <c r="R136"/>
      <c r="S136"/>
    </row>
    <row r="137" spans="1:19">
      <c r="A137" s="17" t="s">
        <v>619</v>
      </c>
      <c r="C137" s="25">
        <f>C15</f>
        <v>-5.867</v>
      </c>
      <c r="D137" s="25">
        <f>D15</f>
        <v>-18.277999999999999</v>
      </c>
      <c r="E137" s="25">
        <f>E15</f>
        <v>-42.277999999999992</v>
      </c>
      <c r="F137" s="25">
        <f>F15</f>
        <v>-37.626000000000005</v>
      </c>
      <c r="G137" s="25">
        <f>G15</f>
        <v>-17.805999999999997</v>
      </c>
      <c r="H137" s="25">
        <f t="shared" ref="H137:P137" si="115">H15</f>
        <v>3.2679999999999998</v>
      </c>
      <c r="I137" s="25">
        <f t="shared" si="115"/>
        <v>-2.024</v>
      </c>
      <c r="J137" s="25">
        <f t="shared" si="115"/>
        <v>-5.8739999999999997</v>
      </c>
      <c r="K137" s="25">
        <f>K15</f>
        <v>-7.4320000000000004</v>
      </c>
      <c r="L137" s="25">
        <f t="shared" si="115"/>
        <v>-2.5369999999999999</v>
      </c>
      <c r="M137" s="25">
        <f t="shared" si="115"/>
        <v>-3.6080000000000001</v>
      </c>
      <c r="N137" s="25">
        <f t="shared" si="115"/>
        <v>-1.9919999999999995</v>
      </c>
      <c r="O137" s="25">
        <f t="shared" si="115"/>
        <v>-3.7839999999999998</v>
      </c>
      <c r="P137" s="25">
        <f t="shared" si="115"/>
        <v>7.6509999999999998</v>
      </c>
      <c r="Q137" s="25">
        <f>Q15</f>
        <v>-2</v>
      </c>
      <c r="R137" s="25">
        <f>R15</f>
        <v>-6.3853062776180705E-2</v>
      </c>
      <c r="S137" s="25">
        <f>S15</f>
        <v>-6.4859301640495581E-2</v>
      </c>
    </row>
    <row r="138" spans="1:19">
      <c r="A138" s="888" t="s">
        <v>620</v>
      </c>
      <c r="C138" s="852">
        <f>C135-C137</f>
        <v>366.83500000000004</v>
      </c>
      <c r="D138" s="852">
        <f>D135-D137</f>
        <v>476.96700000000004</v>
      </c>
      <c r="E138" s="852">
        <f>E135-E137</f>
        <v>629.06699999999955</v>
      </c>
      <c r="F138" s="852">
        <f>F135-F137</f>
        <v>636.38099999999963</v>
      </c>
      <c r="G138" s="852">
        <f>G135-G137</f>
        <v>326.64599999999996</v>
      </c>
      <c r="H138" s="852">
        <f t="shared" ref="H138:Q138" si="116">H135-H137</f>
        <v>307.12399999999985</v>
      </c>
      <c r="I138" s="852">
        <f t="shared" si="116"/>
        <v>341.57560000000001</v>
      </c>
      <c r="J138" s="852">
        <f t="shared" si="116"/>
        <v>299.92300000000012</v>
      </c>
      <c r="K138" s="852">
        <f t="shared" si="116"/>
        <v>444.55600000000021</v>
      </c>
      <c r="L138" s="852">
        <f t="shared" si="116"/>
        <v>236.24499999999964</v>
      </c>
      <c r="M138" s="852">
        <f t="shared" si="116"/>
        <v>210.59300000000007</v>
      </c>
      <c r="N138" s="852">
        <f t="shared" si="116"/>
        <v>321.87200000000001</v>
      </c>
      <c r="O138" s="852">
        <f t="shared" si="116"/>
        <v>356.42700000000013</v>
      </c>
      <c r="P138" s="852">
        <f t="shared" si="116"/>
        <v>317.42699999999957</v>
      </c>
      <c r="Q138" s="852">
        <f t="shared" si="116"/>
        <v>321.97611836278844</v>
      </c>
      <c r="R138" s="852">
        <f>R135-R137</f>
        <v>320.55687727802558</v>
      </c>
      <c r="S138" s="852">
        <f>S135-S137</f>
        <v>304.12759873946845</v>
      </c>
    </row>
    <row r="139" spans="1:19">
      <c r="A139" s="17"/>
      <c r="C139" s="25"/>
      <c r="D139" s="25"/>
      <c r="E139" s="25"/>
      <c r="F139" s="25"/>
      <c r="G139" s="25"/>
      <c r="H139" s="25"/>
      <c r="I139" s="25"/>
      <c r="J139" s="25"/>
      <c r="K139" s="25"/>
      <c r="L139" s="25"/>
      <c r="M139" s="25"/>
      <c r="N139"/>
      <c r="O139"/>
      <c r="P139"/>
      <c r="Q139"/>
      <c r="R139"/>
      <c r="S139"/>
    </row>
    <row r="140" spans="1:19">
      <c r="A140" s="17" t="s">
        <v>786</v>
      </c>
      <c r="C140" s="25">
        <f t="shared" ref="C140:J140" si="117">C18</f>
        <v>142.60300000000001</v>
      </c>
      <c r="D140" s="25">
        <f t="shared" si="117"/>
        <v>183.25600000000003</v>
      </c>
      <c r="E140" s="25">
        <f t="shared" si="117"/>
        <v>241.708</v>
      </c>
      <c r="F140" s="25">
        <f t="shared" si="117"/>
        <v>236.36200000000002</v>
      </c>
      <c r="G140" s="25">
        <f t="shared" si="117"/>
        <v>121.6679</v>
      </c>
      <c r="H140" s="25">
        <f t="shared" si="117"/>
        <v>99.248999999999995</v>
      </c>
      <c r="I140" s="25">
        <f t="shared" si="117"/>
        <v>121.64400000000001</v>
      </c>
      <c r="J140" s="25">
        <f t="shared" si="117"/>
        <v>109.40304</v>
      </c>
      <c r="K140" s="25">
        <f>K18</f>
        <v>165.86799999999999</v>
      </c>
      <c r="L140" s="25">
        <f t="shared" ref="L140:Q140" si="118">L138*L163</f>
        <v>91.656999999999996</v>
      </c>
      <c r="M140" s="25">
        <f t="shared" si="118"/>
        <v>87.737111999999996</v>
      </c>
      <c r="N140" s="25">
        <f t="shared" si="118"/>
        <v>108.58100000000003</v>
      </c>
      <c r="O140" s="25">
        <f t="shared" si="118"/>
        <v>125.90099999999998</v>
      </c>
      <c r="P140" s="25">
        <f t="shared" si="118"/>
        <v>109.17009999999993</v>
      </c>
      <c r="Q140" s="25">
        <f t="shared" si="118"/>
        <v>80.494029590697252</v>
      </c>
      <c r="R140" s="25">
        <f>R138*R163</f>
        <v>80.139219319506537</v>
      </c>
      <c r="S140" s="25">
        <f>S138*S163</f>
        <v>76.031899684867255</v>
      </c>
    </row>
    <row r="141" spans="1:19">
      <c r="A141" s="17"/>
      <c r="C141" s="25"/>
      <c r="D141" s="25"/>
      <c r="E141" s="25"/>
      <c r="F141" s="25"/>
      <c r="G141" s="25"/>
      <c r="H141" s="25"/>
      <c r="I141" s="25"/>
      <c r="J141" s="25"/>
      <c r="K141" s="25"/>
      <c r="L141" s="25"/>
      <c r="M141" s="25"/>
      <c r="N141"/>
      <c r="O141"/>
      <c r="P141"/>
      <c r="Q141"/>
      <c r="R141"/>
      <c r="S141"/>
    </row>
    <row r="142" spans="1:19">
      <c r="A142" s="17"/>
      <c r="C142" s="25"/>
      <c r="D142" s="25"/>
      <c r="E142" s="25"/>
      <c r="F142" s="25"/>
      <c r="G142" s="25"/>
      <c r="H142" s="25"/>
      <c r="I142" s="25"/>
      <c r="J142" s="25"/>
      <c r="K142" s="25"/>
      <c r="L142" s="25"/>
      <c r="M142" s="25"/>
      <c r="N142"/>
      <c r="O142"/>
      <c r="P142"/>
      <c r="Q142"/>
      <c r="R142"/>
      <c r="S142"/>
    </row>
    <row r="143" spans="1:19">
      <c r="A143" s="17" t="s">
        <v>621</v>
      </c>
      <c r="C143" s="852">
        <f>C138-C140</f>
        <v>224.23200000000003</v>
      </c>
      <c r="D143" s="852">
        <f>D138-D140</f>
        <v>293.71100000000001</v>
      </c>
      <c r="E143" s="852">
        <f>E138-E140</f>
        <v>387.35899999999958</v>
      </c>
      <c r="F143" s="852">
        <f>F138-F140</f>
        <v>400.01899999999961</v>
      </c>
      <c r="G143" s="852">
        <f t="shared" ref="G143:P143" si="119">G138-G140</f>
        <v>204.97809999999996</v>
      </c>
      <c r="H143" s="852">
        <f>H138-H140</f>
        <v>207.87499999999986</v>
      </c>
      <c r="I143" s="852">
        <f>I138-I140</f>
        <v>219.9316</v>
      </c>
      <c r="J143" s="852">
        <f>J138-J140</f>
        <v>190.51996000000011</v>
      </c>
      <c r="K143" s="852">
        <f>K138-K140</f>
        <v>278.68800000000022</v>
      </c>
      <c r="L143" s="852">
        <f t="shared" si="119"/>
        <v>144.58799999999962</v>
      </c>
      <c r="M143" s="852">
        <f t="shared" si="119"/>
        <v>122.85588800000008</v>
      </c>
      <c r="N143" s="852">
        <f t="shared" si="119"/>
        <v>213.291</v>
      </c>
      <c r="O143" s="852">
        <f t="shared" si="119"/>
        <v>230.52600000000015</v>
      </c>
      <c r="P143" s="852">
        <f t="shared" si="119"/>
        <v>208.25689999999963</v>
      </c>
      <c r="Q143" s="852">
        <f>Q138-Q140</f>
        <v>241.48208877209117</v>
      </c>
      <c r="R143" s="852">
        <f>R138-R140</f>
        <v>240.41765795851904</v>
      </c>
      <c r="S143" s="852">
        <f>S138-S140</f>
        <v>228.0956990546012</v>
      </c>
    </row>
    <row r="144" spans="1:19">
      <c r="A144" s="17"/>
      <c r="C144"/>
      <c r="D144"/>
      <c r="E144"/>
      <c r="F144"/>
      <c r="G144"/>
      <c r="H144"/>
      <c r="I144"/>
      <c r="J144"/>
      <c r="K144"/>
      <c r="L144"/>
      <c r="M144"/>
      <c r="N144"/>
      <c r="O144"/>
      <c r="P144"/>
      <c r="Q144"/>
      <c r="R144"/>
      <c r="S144"/>
    </row>
    <row r="145" spans="1:28">
      <c r="A145" s="252" t="s">
        <v>622</v>
      </c>
      <c r="C145" s="851">
        <f>C143/C146</f>
        <v>0.99496818508559426</v>
      </c>
      <c r="D145" s="851">
        <f>D143/D146</f>
        <v>1.2603945397822607</v>
      </c>
      <c r="E145" s="851">
        <f>E143/E146</f>
        <v>1.6960864158610043</v>
      </c>
      <c r="F145" s="851">
        <f>F143/F146</f>
        <v>1.815956963864171</v>
      </c>
      <c r="G145" s="851">
        <f t="shared" ref="G145:P145" si="120">G143/G146</f>
        <v>0.98745604146794985</v>
      </c>
      <c r="H145" s="851">
        <f>H143/H146</f>
        <v>0.99218660506319378</v>
      </c>
      <c r="I145" s="851">
        <f>I143/I146</f>
        <v>1.0897521529298675</v>
      </c>
      <c r="J145" s="851">
        <f>J143/J146</f>
        <v>0.9706675633574452</v>
      </c>
      <c r="K145" s="851">
        <f>K143/K146</f>
        <v>1.3888221662970635</v>
      </c>
      <c r="L145" s="851">
        <f t="shared" si="120"/>
        <v>0.74347859622059198</v>
      </c>
      <c r="M145" s="851">
        <f t="shared" si="120"/>
        <v>0.62959432187972475</v>
      </c>
      <c r="N145" s="851">
        <f t="shared" si="120"/>
        <v>1.0869051198295938</v>
      </c>
      <c r="O145" s="851">
        <f t="shared" si="120"/>
        <v>1.2539831914488544</v>
      </c>
      <c r="P145" s="851">
        <f t="shared" si="120"/>
        <v>1.1559809276404873</v>
      </c>
      <c r="Q145" s="851">
        <f>Q143/Q146</f>
        <v>1.3533033068560751</v>
      </c>
      <c r="R145" s="851">
        <f>R143/R146</f>
        <v>1.3549313170076425</v>
      </c>
      <c r="S145" s="851">
        <f>S143/S146</f>
        <v>1.2927737011352434</v>
      </c>
    </row>
    <row r="146" spans="1:28">
      <c r="A146" s="17" t="s">
        <v>623</v>
      </c>
      <c r="C146" s="25">
        <f t="shared" ref="C146:J146" si="121">C24</f>
        <v>225.36599999999999</v>
      </c>
      <c r="D146" s="25">
        <f t="shared" si="121"/>
        <v>233.03100000000001</v>
      </c>
      <c r="E146" s="25">
        <f t="shared" si="121"/>
        <v>228.38399999999999</v>
      </c>
      <c r="F146" s="25">
        <f t="shared" si="121"/>
        <v>220.28</v>
      </c>
      <c r="G146" s="25">
        <f t="shared" si="121"/>
        <v>207.58199999999999</v>
      </c>
      <c r="H146" s="25">
        <f t="shared" si="121"/>
        <v>209.512</v>
      </c>
      <c r="I146" s="25">
        <f t="shared" si="121"/>
        <v>201.81800000000001</v>
      </c>
      <c r="J146" s="25">
        <f t="shared" si="121"/>
        <v>196.27725000000001</v>
      </c>
      <c r="K146" s="25">
        <f>K24</f>
        <v>200.66499999999999</v>
      </c>
      <c r="L146" s="25">
        <f t="shared" ref="L146:Q146" si="122">INDEX(L147:L149,MATCH($Z$151,$AB$151:$AB$153,0))</f>
        <v>194.47499999999999</v>
      </c>
      <c r="M146" s="25">
        <f t="shared" si="122"/>
        <v>195.13499999999999</v>
      </c>
      <c r="N146" s="25">
        <f t="shared" si="122"/>
        <v>196.23699999999999</v>
      </c>
      <c r="O146" s="25">
        <f t="shared" si="122"/>
        <v>183.83500000000001</v>
      </c>
      <c r="P146" s="25">
        <f t="shared" si="122"/>
        <v>180.15600000000001</v>
      </c>
      <c r="Q146" s="25">
        <f t="shared" si="122"/>
        <v>178.43899999999999</v>
      </c>
      <c r="R146" s="25">
        <f>INDEX(R147:R149,MATCH($Z$151,$AB$151:$AB$153,0))</f>
        <v>177.43899999999999</v>
      </c>
      <c r="S146" s="25">
        <f>INDEX(S147:S149,MATCH($Z$151,$AB$151:$AB$153,0))</f>
        <v>176.43899999999999</v>
      </c>
    </row>
    <row r="147" spans="1:28" hidden="1" outlineLevel="1">
      <c r="A147" s="888" t="s">
        <v>687</v>
      </c>
      <c r="C147" s="25"/>
      <c r="D147" s="25"/>
      <c r="E147" s="25"/>
      <c r="F147" s="25"/>
      <c r="G147" s="25"/>
      <c r="H147" s="25"/>
      <c r="I147" s="25"/>
      <c r="J147" s="25"/>
      <c r="K147" s="25"/>
      <c r="L147" s="25">
        <f t="shared" ref="L147:Q147" si="123">L63</f>
        <v>194.47499999999999</v>
      </c>
      <c r="M147" s="25">
        <f t="shared" si="123"/>
        <v>195.13499999999999</v>
      </c>
      <c r="N147" s="25">
        <f t="shared" si="123"/>
        <v>196.23699999999999</v>
      </c>
      <c r="O147" s="25">
        <f t="shared" si="123"/>
        <v>183.83500000000001</v>
      </c>
      <c r="P147" s="25">
        <f t="shared" si="123"/>
        <v>180.15600000000001</v>
      </c>
      <c r="Q147" s="25">
        <f t="shared" si="123"/>
        <v>177.43899999999999</v>
      </c>
      <c r="R147" s="25">
        <f>R63</f>
        <v>176.43899999999999</v>
      </c>
      <c r="S147" s="25">
        <f>S63</f>
        <v>175.43899999999999</v>
      </c>
    </row>
    <row r="148" spans="1:28" hidden="1" outlineLevel="1">
      <c r="A148" s="888" t="s">
        <v>685</v>
      </c>
      <c r="C148" s="25"/>
      <c r="D148" s="25"/>
      <c r="E148" s="25"/>
      <c r="F148" s="25"/>
      <c r="G148" s="25"/>
      <c r="H148" s="25"/>
      <c r="I148" s="25"/>
      <c r="J148" s="25"/>
      <c r="K148" s="25"/>
      <c r="L148" s="25">
        <f t="shared" ref="L148:Q148" si="124">L24</f>
        <v>194.47499999999999</v>
      </c>
      <c r="M148" s="25">
        <f t="shared" si="124"/>
        <v>195.13499999999999</v>
      </c>
      <c r="N148" s="25">
        <f t="shared" si="124"/>
        <v>196.23699999999999</v>
      </c>
      <c r="O148" s="25">
        <f t="shared" si="124"/>
        <v>183.83500000000001</v>
      </c>
      <c r="P148" s="25">
        <f t="shared" si="124"/>
        <v>180.15600000000001</v>
      </c>
      <c r="Q148" s="25">
        <f t="shared" si="124"/>
        <v>178.43899999999999</v>
      </c>
      <c r="R148" s="25">
        <f>R24</f>
        <v>177.43899999999999</v>
      </c>
      <c r="S148" s="25">
        <f>S24</f>
        <v>176.43899999999999</v>
      </c>
    </row>
    <row r="149" spans="1:28" hidden="1" outlineLevel="1">
      <c r="A149" s="888" t="s">
        <v>688</v>
      </c>
      <c r="C149" s="25"/>
      <c r="D149" s="25"/>
      <c r="E149" s="25"/>
      <c r="F149" s="25"/>
      <c r="G149" s="25"/>
      <c r="H149" s="25"/>
      <c r="I149" s="25"/>
      <c r="J149" s="25"/>
      <c r="K149" s="25"/>
      <c r="L149" s="25">
        <f t="shared" ref="L149:Q149" si="125">L105</f>
        <v>194.47499999999999</v>
      </c>
      <c r="M149" s="25">
        <f t="shared" si="125"/>
        <v>195.13499999999999</v>
      </c>
      <c r="N149" s="25">
        <f t="shared" si="125"/>
        <v>196.23699999999999</v>
      </c>
      <c r="O149" s="25">
        <f t="shared" si="125"/>
        <v>183.83500000000001</v>
      </c>
      <c r="P149" s="25">
        <f t="shared" si="125"/>
        <v>180.15600000000001</v>
      </c>
      <c r="Q149" s="25">
        <f t="shared" si="125"/>
        <v>177.93899999999999</v>
      </c>
      <c r="R149" s="25">
        <f>R105</f>
        <v>176.93899999999999</v>
      </c>
      <c r="S149" s="25">
        <f>S105</f>
        <v>175.93899999999999</v>
      </c>
    </row>
    <row r="150" spans="1:28" ht="13.5" collapsed="1" thickBot="1">
      <c r="A150" s="17"/>
      <c r="C150"/>
      <c r="D150"/>
      <c r="E150"/>
      <c r="F150"/>
      <c r="G150"/>
      <c r="H150"/>
      <c r="I150"/>
      <c r="J150"/>
      <c r="K150"/>
      <c r="L150"/>
      <c r="M150"/>
      <c r="N150"/>
      <c r="O150"/>
      <c r="P150"/>
      <c r="Q150"/>
      <c r="R150"/>
      <c r="S150"/>
    </row>
    <row r="151" spans="1:28" ht="13.5" thickBot="1">
      <c r="A151" s="17" t="s">
        <v>16</v>
      </c>
      <c r="C151" s="852">
        <f>C134+C135</f>
        <v>430.411</v>
      </c>
      <c r="D151" s="852">
        <f>D134+D135</f>
        <v>537.41700000000003</v>
      </c>
      <c r="E151" s="852">
        <f>E134+E135</f>
        <v>674.82199999999955</v>
      </c>
      <c r="F151" s="852">
        <f>F134+F135</f>
        <v>707.95799999999963</v>
      </c>
      <c r="G151" s="852">
        <f t="shared" ref="G151:P151" si="126">G134+G135</f>
        <v>440.05899999999997</v>
      </c>
      <c r="H151" s="852">
        <f>H134+H135</f>
        <v>448.15199999999982</v>
      </c>
      <c r="I151" s="852">
        <f>I134+I135</f>
        <v>479.22659999999996</v>
      </c>
      <c r="J151" s="852">
        <f>J134+J135</f>
        <v>432.00700000000006</v>
      </c>
      <c r="K151" s="852">
        <f>K134+K135</f>
        <v>562.6600000000002</v>
      </c>
      <c r="L151" s="852">
        <f t="shared" si="126"/>
        <v>353.95799999999963</v>
      </c>
      <c r="M151" s="852">
        <f t="shared" si="126"/>
        <v>348.17600000000004</v>
      </c>
      <c r="N151" s="852">
        <f t="shared" si="126"/>
        <v>468.03399999999999</v>
      </c>
      <c r="O151" s="852">
        <f t="shared" si="126"/>
        <v>509.36500000000012</v>
      </c>
      <c r="P151" s="852">
        <f t="shared" si="126"/>
        <v>492.49899999999957</v>
      </c>
      <c r="Q151" s="852">
        <f>Q134+Q135</f>
        <v>498.02026350569463</v>
      </c>
      <c r="R151" s="852">
        <f>R134+R135</f>
        <v>499.32734908261102</v>
      </c>
      <c r="S151" s="852">
        <f>S134+S135</f>
        <v>490.88261225408246</v>
      </c>
      <c r="Y151" s="890" t="s">
        <v>222</v>
      </c>
      <c r="Z151" s="891" t="s">
        <v>685</v>
      </c>
      <c r="AB151" s="892" t="s">
        <v>687</v>
      </c>
    </row>
    <row r="152" spans="1:28">
      <c r="A152" s="17"/>
      <c r="C152"/>
      <c r="D152"/>
      <c r="E152"/>
      <c r="F152"/>
      <c r="G152"/>
      <c r="H152"/>
      <c r="I152"/>
      <c r="J152"/>
      <c r="K152"/>
      <c r="L152"/>
      <c r="M152"/>
      <c r="N152"/>
      <c r="O152"/>
      <c r="P152"/>
      <c r="Q152"/>
      <c r="R152"/>
      <c r="S152"/>
      <c r="AB152" s="892" t="s">
        <v>685</v>
      </c>
    </row>
    <row r="153" spans="1:28">
      <c r="A153" s="239" t="s">
        <v>3</v>
      </c>
      <c r="C153"/>
      <c r="D153"/>
      <c r="E153"/>
      <c r="F153"/>
      <c r="G153"/>
      <c r="H153"/>
      <c r="I153"/>
      <c r="J153"/>
      <c r="K153"/>
      <c r="L153"/>
      <c r="M153"/>
      <c r="N153"/>
      <c r="O153"/>
      <c r="P153"/>
      <c r="Q153"/>
      <c r="R153"/>
      <c r="S153"/>
      <c r="AB153" s="893" t="s">
        <v>688</v>
      </c>
    </row>
    <row r="154" spans="1:28">
      <c r="A154" s="17" t="s">
        <v>32</v>
      </c>
      <c r="C154" s="65">
        <f t="shared" ref="C154:J154" si="127">C132/C128</f>
        <v>0.46632413355510316</v>
      </c>
      <c r="D154" s="65">
        <f t="shared" si="127"/>
        <v>0.46415445214004364</v>
      </c>
      <c r="E154" s="65">
        <f t="shared" si="127"/>
        <v>0.47968246595255021</v>
      </c>
      <c r="F154" s="65">
        <f t="shared" si="127"/>
        <v>0.46577507045678507</v>
      </c>
      <c r="G154" s="65">
        <f t="shared" si="127"/>
        <v>0.39282456958592321</v>
      </c>
      <c r="H154" s="65">
        <f t="shared" si="127"/>
        <v>0.39908933502342808</v>
      </c>
      <c r="I154" s="65">
        <f t="shared" si="127"/>
        <v>0.40136930303052937</v>
      </c>
      <c r="J154" s="65">
        <f t="shared" si="127"/>
        <v>0.36684940858603909</v>
      </c>
      <c r="K154" s="65">
        <f>K132/K128</f>
        <v>0.40025726436661246</v>
      </c>
      <c r="L154" s="65">
        <f t="shared" ref="L154:Q154" si="128">INDEX(L155:L157,MATCH($Z$151,$AB$151:$AB$153,0))</f>
        <v>0.34564169299915715</v>
      </c>
      <c r="M154" s="65">
        <f t="shared" si="128"/>
        <v>0.35172731639752691</v>
      </c>
      <c r="N154" s="65">
        <f t="shared" si="128"/>
        <v>0.36990068850217273</v>
      </c>
      <c r="O154" s="65">
        <f t="shared" si="128"/>
        <v>0.37864712392291683</v>
      </c>
      <c r="P154" s="65">
        <f t="shared" si="128"/>
        <v>0.36152451200076713</v>
      </c>
      <c r="Q154" s="65">
        <f t="shared" si="128"/>
        <v>0.36234565097907995</v>
      </c>
      <c r="R154" s="65">
        <f>INDEX(R155:R157,MATCH($Z$151,$AB$151:$AB$153,0))</f>
        <v>0.36099999999999993</v>
      </c>
      <c r="S154" s="65">
        <f>INDEX(S155:S157,MATCH($Z$151,$AB$151:$AB$153,0))</f>
        <v>0.35899999999999999</v>
      </c>
    </row>
    <row r="155" spans="1:28" hidden="1" outlineLevel="1">
      <c r="A155" s="888" t="s">
        <v>687</v>
      </c>
      <c r="C155" s="65"/>
      <c r="D155" s="65"/>
      <c r="E155" s="65"/>
      <c r="F155" s="65"/>
      <c r="G155" s="65"/>
      <c r="H155" s="65"/>
      <c r="I155" s="65"/>
      <c r="J155" s="65"/>
      <c r="K155" s="65"/>
      <c r="L155" s="65">
        <f t="shared" ref="L155:Q155" si="129">L68</f>
        <v>0.34564169299915715</v>
      </c>
      <c r="M155" s="65">
        <f t="shared" si="129"/>
        <v>0.35172731639752691</v>
      </c>
      <c r="N155" s="65">
        <f t="shared" si="129"/>
        <v>0.36990068850217273</v>
      </c>
      <c r="O155" s="65">
        <f t="shared" si="129"/>
        <v>0.37864712392291683</v>
      </c>
      <c r="P155" s="65">
        <f t="shared" si="129"/>
        <v>0.36152451200076713</v>
      </c>
      <c r="Q155" s="65">
        <f t="shared" si="129"/>
        <v>0.36752451200076713</v>
      </c>
      <c r="R155" s="65">
        <f>R68</f>
        <v>0.36952451200076714</v>
      </c>
      <c r="S155" s="65">
        <f>S68</f>
        <v>0.37152451200076714</v>
      </c>
    </row>
    <row r="156" spans="1:28" hidden="1" outlineLevel="1">
      <c r="A156" s="888" t="s">
        <v>685</v>
      </c>
      <c r="C156" s="65"/>
      <c r="D156" s="65"/>
      <c r="E156" s="65"/>
      <c r="F156" s="65"/>
      <c r="G156" s="65"/>
      <c r="H156" s="65"/>
      <c r="I156" s="65"/>
      <c r="J156" s="65"/>
      <c r="K156" s="65"/>
      <c r="L156" s="65">
        <f t="shared" ref="L156:Q156" si="130">L29</f>
        <v>0.34564169299915715</v>
      </c>
      <c r="M156" s="65">
        <f t="shared" si="130"/>
        <v>0.35172731639752691</v>
      </c>
      <c r="N156" s="65">
        <f t="shared" si="130"/>
        <v>0.36990068850217273</v>
      </c>
      <c r="O156" s="65">
        <f t="shared" si="130"/>
        <v>0.37864712392291683</v>
      </c>
      <c r="P156" s="65">
        <f t="shared" si="130"/>
        <v>0.36152451200076713</v>
      </c>
      <c r="Q156" s="65">
        <f t="shared" si="130"/>
        <v>0.36234565097907995</v>
      </c>
      <c r="R156" s="65">
        <f>R29</f>
        <v>0.36099999999999993</v>
      </c>
      <c r="S156" s="65">
        <f>S29</f>
        <v>0.35899999999999999</v>
      </c>
    </row>
    <row r="157" spans="1:28" hidden="1" outlineLevel="1">
      <c r="A157" s="888" t="s">
        <v>688</v>
      </c>
      <c r="C157" s="65"/>
      <c r="D157" s="65"/>
      <c r="E157" s="65"/>
      <c r="F157" s="65"/>
      <c r="G157" s="65"/>
      <c r="H157" s="65"/>
      <c r="I157" s="65"/>
      <c r="J157" s="65"/>
      <c r="K157" s="65"/>
      <c r="L157" s="65">
        <f t="shared" ref="L157:Q157" si="131">L110</f>
        <v>0.34564169299915715</v>
      </c>
      <c r="M157" s="65">
        <f t="shared" si="131"/>
        <v>0.35172731639752691</v>
      </c>
      <c r="N157" s="65">
        <f t="shared" si="131"/>
        <v>0.36990068850217273</v>
      </c>
      <c r="O157" s="65">
        <f t="shared" si="131"/>
        <v>0.37864712392291683</v>
      </c>
      <c r="P157" s="65">
        <f t="shared" si="131"/>
        <v>0.36152451200076713</v>
      </c>
      <c r="Q157" s="65">
        <f t="shared" si="131"/>
        <v>0.35652451200076712</v>
      </c>
      <c r="R157" s="65">
        <f>R110</f>
        <v>0.35352451200076712</v>
      </c>
      <c r="S157" s="65">
        <f>S110</f>
        <v>0.34952451200076712</v>
      </c>
    </row>
    <row r="158" spans="1:28" collapsed="1">
      <c r="A158" s="17" t="s">
        <v>5</v>
      </c>
      <c r="C158" s="65">
        <f t="shared" ref="C158:J158" si="132">C133/C128</f>
        <v>0.23855090395190212</v>
      </c>
      <c r="D158" s="65">
        <f t="shared" si="132"/>
        <v>0.23270492798762427</v>
      </c>
      <c r="E158" s="65">
        <f t="shared" si="132"/>
        <v>0.23819240490565274</v>
      </c>
      <c r="F158" s="65">
        <f t="shared" si="132"/>
        <v>0.23406936986383867</v>
      </c>
      <c r="G158" s="65">
        <f t="shared" si="132"/>
        <v>0.24559180639078498</v>
      </c>
      <c r="H158" s="65">
        <f t="shared" si="132"/>
        <v>0.2466706277554877</v>
      </c>
      <c r="I158" s="65">
        <f t="shared" si="132"/>
        <v>0.23866004548272601</v>
      </c>
      <c r="J158" s="65">
        <f t="shared" si="132"/>
        <v>0.22838851113678721</v>
      </c>
      <c r="K158" s="65">
        <f>K133/K128</f>
        <v>0.23837807792273555</v>
      </c>
      <c r="L158" s="65">
        <f t="shared" ref="L158:Q158" si="133">INDEX(L159:L161,MATCH($Z$151,$AB$151:$AB$153,0))</f>
        <v>0.23856994460043282</v>
      </c>
      <c r="M158" s="65">
        <f t="shared" si="133"/>
        <v>0.24566880108149367</v>
      </c>
      <c r="N158" s="65">
        <f t="shared" si="133"/>
        <v>0.23700625353507593</v>
      </c>
      <c r="O158" s="65">
        <f t="shared" si="133"/>
        <v>0.23754350924480555</v>
      </c>
      <c r="P158" s="65">
        <f t="shared" si="133"/>
        <v>0.23176752559379418</v>
      </c>
      <c r="Q158" s="65">
        <f t="shared" si="133"/>
        <v>0.23286635820885734</v>
      </c>
      <c r="R158" s="65">
        <f>INDEX(R159:R161,MATCH($Z$151,$AB$151:$AB$153,0))</f>
        <v>0.2334</v>
      </c>
      <c r="S158" s="65">
        <f>INDEX(S159:S161,MATCH($Z$151,$AB$151:$AB$153,0))</f>
        <v>0.23480000000000001</v>
      </c>
    </row>
    <row r="159" spans="1:28" hidden="1" outlineLevel="1">
      <c r="A159" s="888" t="s">
        <v>687</v>
      </c>
      <c r="C159" s="65"/>
      <c r="D159" s="65"/>
      <c r="E159" s="65"/>
      <c r="F159" s="65"/>
      <c r="G159" s="65"/>
      <c r="H159" s="65"/>
      <c r="I159" s="65"/>
      <c r="J159" s="65"/>
      <c r="K159" s="65"/>
      <c r="L159" s="65">
        <f t="shared" ref="L159:Q159" si="134">L69</f>
        <v>0.23856994460043282</v>
      </c>
      <c r="M159" s="65">
        <f t="shared" si="134"/>
        <v>0.24566880108149367</v>
      </c>
      <c r="N159" s="65">
        <f t="shared" si="134"/>
        <v>0.23700625353507593</v>
      </c>
      <c r="O159" s="65">
        <f t="shared" si="134"/>
        <v>0.23754350924480555</v>
      </c>
      <c r="P159" s="65">
        <f t="shared" si="134"/>
        <v>0.23176752559379418</v>
      </c>
      <c r="Q159" s="65">
        <f t="shared" si="134"/>
        <v>0.22776752559379418</v>
      </c>
      <c r="R159" s="65">
        <f>R69</f>
        <v>0.22576752559379418</v>
      </c>
      <c r="S159" s="65">
        <f>S69</f>
        <v>0.22576752559379418</v>
      </c>
    </row>
    <row r="160" spans="1:28" hidden="1" outlineLevel="1">
      <c r="A160" s="888" t="s">
        <v>685</v>
      </c>
      <c r="C160" s="65"/>
      <c r="D160" s="65"/>
      <c r="E160" s="65"/>
      <c r="F160" s="65"/>
      <c r="G160" s="65"/>
      <c r="H160" s="65"/>
      <c r="I160" s="65"/>
      <c r="J160" s="65"/>
      <c r="K160" s="65"/>
      <c r="L160" s="65">
        <f t="shared" ref="L160:Q160" si="135">L30</f>
        <v>0.23856994460043282</v>
      </c>
      <c r="M160" s="65">
        <f t="shared" si="135"/>
        <v>0.24566880108149367</v>
      </c>
      <c r="N160" s="65">
        <f t="shared" si="135"/>
        <v>0.23700625353507593</v>
      </c>
      <c r="O160" s="65">
        <f t="shared" si="135"/>
        <v>0.23754350924480555</v>
      </c>
      <c r="P160" s="65">
        <f t="shared" si="135"/>
        <v>0.23176752559379418</v>
      </c>
      <c r="Q160" s="65">
        <f t="shared" si="135"/>
        <v>0.23286635820885734</v>
      </c>
      <c r="R160" s="65">
        <f>R30</f>
        <v>0.2334</v>
      </c>
      <c r="S160" s="65">
        <f>S30</f>
        <v>0.23480000000000001</v>
      </c>
    </row>
    <row r="161" spans="1:19" hidden="1" outlineLevel="1">
      <c r="A161" s="888" t="s">
        <v>688</v>
      </c>
      <c r="C161" s="65"/>
      <c r="D161" s="65"/>
      <c r="E161" s="65"/>
      <c r="F161" s="65"/>
      <c r="G161" s="65"/>
      <c r="H161" s="65"/>
      <c r="I161" s="65"/>
      <c r="J161" s="65"/>
      <c r="K161" s="65"/>
      <c r="L161" s="65">
        <f t="shared" ref="L161:Q161" si="136">L111</f>
        <v>0.23856994460043282</v>
      </c>
      <c r="M161" s="65">
        <f t="shared" si="136"/>
        <v>0.24566880108149367</v>
      </c>
      <c r="N161" s="65">
        <f t="shared" si="136"/>
        <v>0.23700625353507593</v>
      </c>
      <c r="O161" s="65">
        <f t="shared" si="136"/>
        <v>0.23754350924480555</v>
      </c>
      <c r="P161" s="65">
        <f t="shared" si="136"/>
        <v>0.23176752559379418</v>
      </c>
      <c r="Q161" s="65">
        <f t="shared" si="136"/>
        <v>0.23576752559379419</v>
      </c>
      <c r="R161" s="65">
        <f>R111</f>
        <v>0.24076752559379419</v>
      </c>
      <c r="S161" s="65">
        <f>S111</f>
        <v>0.24576752559379419</v>
      </c>
    </row>
    <row r="162" spans="1:19" collapsed="1">
      <c r="A162" s="17" t="s">
        <v>6</v>
      </c>
      <c r="C162" s="65">
        <f>C135/C128</f>
        <v>0.19102403782293731</v>
      </c>
      <c r="D162" s="65">
        <f>D135/D128</f>
        <v>0.19754371518569211</v>
      </c>
      <c r="E162" s="65">
        <f>E135/E128</f>
        <v>0.20998679863971223</v>
      </c>
      <c r="F162" s="65">
        <f>F135/F128</f>
        <v>0.1959649396694855</v>
      </c>
      <c r="G162" s="65">
        <f t="shared" ref="G162:P162" si="137">G135/G128</f>
        <v>0.10333015933133168</v>
      </c>
      <c r="H162" s="65">
        <f t="shared" si="137"/>
        <v>0.10556585128775628</v>
      </c>
      <c r="I162" s="65">
        <f t="shared" si="137"/>
        <v>0.11528614800423999</v>
      </c>
      <c r="J162" s="65">
        <f t="shared" si="137"/>
        <v>9.4244510931663306E-2</v>
      </c>
      <c r="K162" s="65">
        <f>K135/K128</f>
        <v>0.12576205434026455</v>
      </c>
      <c r="L162" s="65">
        <f t="shared" si="137"/>
        <v>7.0696309095341969E-2</v>
      </c>
      <c r="M162" s="65">
        <f t="shared" si="137"/>
        <v>6.3050071781768816E-2</v>
      </c>
      <c r="N162" s="65">
        <f t="shared" si="137"/>
        <v>9.0827315659278887E-2</v>
      </c>
      <c r="O162" s="65">
        <f t="shared" si="137"/>
        <v>9.768869472958136E-2</v>
      </c>
      <c r="P162" s="65">
        <f t="shared" si="137"/>
        <v>8.564716197841199E-2</v>
      </c>
      <c r="Q162" s="65">
        <f>Q135/Q128</f>
        <v>8.3189951383376093E-2</v>
      </c>
      <c r="R162" s="65">
        <f>R135/R128</f>
        <v>8.1899999999999917E-2</v>
      </c>
      <c r="S162" s="65">
        <f>S135/S128</f>
        <v>7.6932022637280037E-2</v>
      </c>
    </row>
    <row r="163" spans="1:19">
      <c r="A163" s="17" t="s">
        <v>8</v>
      </c>
      <c r="C163" s="65">
        <f t="shared" ref="C163:J163" si="138">C140/C138</f>
        <v>0.38873880627530089</v>
      </c>
      <c r="D163" s="65">
        <f t="shared" si="138"/>
        <v>0.38421106701302188</v>
      </c>
      <c r="E163" s="65">
        <f t="shared" si="138"/>
        <v>0.38423252213198306</v>
      </c>
      <c r="F163" s="65">
        <f t="shared" si="138"/>
        <v>0.37141586565280887</v>
      </c>
      <c r="G163" s="65">
        <f t="shared" si="138"/>
        <v>0.37247631993044461</v>
      </c>
      <c r="H163" s="65">
        <f t="shared" si="138"/>
        <v>0.32315611935244409</v>
      </c>
      <c r="I163" s="65">
        <f t="shared" si="138"/>
        <v>0.35612614015755223</v>
      </c>
      <c r="J163" s="65">
        <f t="shared" si="138"/>
        <v>0.36477042440893148</v>
      </c>
      <c r="K163" s="65">
        <f>K140/K138</f>
        <v>0.37310934955326197</v>
      </c>
      <c r="L163" s="65">
        <f t="shared" ref="L163:Q163" si="139">L32</f>
        <v>0.38797434866346436</v>
      </c>
      <c r="M163" s="65">
        <f t="shared" si="139"/>
        <v>0.41661931783107686</v>
      </c>
      <c r="N163" s="65">
        <f t="shared" si="139"/>
        <v>0.33734217328627536</v>
      </c>
      <c r="O163" s="65">
        <f t="shared" si="139"/>
        <v>0.35323081584728411</v>
      </c>
      <c r="P163" s="65">
        <f t="shared" si="139"/>
        <v>0.34392190960441327</v>
      </c>
      <c r="Q163" s="65">
        <f t="shared" si="139"/>
        <v>0.25000000000000044</v>
      </c>
      <c r="R163" s="65">
        <f>R32</f>
        <v>0.25000000000000044</v>
      </c>
      <c r="S163" s="65">
        <f>S32</f>
        <v>0.25000000000000044</v>
      </c>
    </row>
    <row r="164" spans="1:19">
      <c r="A164" s="17"/>
      <c r="C164"/>
      <c r="D164"/>
      <c r="E164"/>
      <c r="F164"/>
      <c r="G164"/>
      <c r="H164"/>
      <c r="I164"/>
      <c r="J164"/>
      <c r="K164"/>
      <c r="L164"/>
      <c r="M164"/>
      <c r="N164"/>
      <c r="O164"/>
      <c r="P164"/>
      <c r="Q164"/>
      <c r="R164"/>
      <c r="S164"/>
    </row>
    <row r="165" spans="1:19">
      <c r="A165" s="239" t="s">
        <v>11</v>
      </c>
      <c r="C165"/>
      <c r="D165"/>
      <c r="E165"/>
      <c r="F165"/>
      <c r="G165"/>
      <c r="H165"/>
      <c r="I165"/>
      <c r="J165"/>
      <c r="K165"/>
      <c r="L165"/>
      <c r="M165"/>
      <c r="N165"/>
      <c r="O165"/>
      <c r="P165"/>
      <c r="Q165"/>
      <c r="R165"/>
      <c r="S165"/>
    </row>
    <row r="166" spans="1:19">
      <c r="A166" s="17" t="s">
        <v>738</v>
      </c>
      <c r="C166" s="883" t="s">
        <v>69</v>
      </c>
      <c r="D166" s="861">
        <f t="shared" ref="D166:K166" si="140">((D128/C128)-1)</f>
        <v>0.22878082520174403</v>
      </c>
      <c r="E166" s="861">
        <f t="shared" si="140"/>
        <v>0.20346887675164349</v>
      </c>
      <c r="F166" s="861">
        <f t="shared" si="140"/>
        <v>9.3404365645830767E-2</v>
      </c>
      <c r="G166" s="861">
        <f t="shared" si="140"/>
        <v>-2.1781955273564746E-2</v>
      </c>
      <c r="H166" s="861">
        <f t="shared" si="140"/>
        <v>-1.6259343844789331E-2</v>
      </c>
      <c r="I166" s="861">
        <f t="shared" si="140"/>
        <v>1.7090273032842607E-3</v>
      </c>
      <c r="J166" s="861">
        <f t="shared" si="140"/>
        <v>5.9339067678812363E-2</v>
      </c>
      <c r="K166" s="861">
        <f t="shared" si="140"/>
        <v>0.11401589389964628</v>
      </c>
      <c r="L166" s="861">
        <f t="shared" ref="L166:Q166" si="141">L167+L176</f>
        <v>-4.8909575401590799E-2</v>
      </c>
      <c r="M166" s="861">
        <f t="shared" si="141"/>
        <v>-6.9378020825202613E-3</v>
      </c>
      <c r="N166" s="861">
        <f t="shared" si="141"/>
        <v>7.2796430680865054E-2</v>
      </c>
      <c r="O166" s="861">
        <f t="shared" si="141"/>
        <v>2.4991708898282949E-2</v>
      </c>
      <c r="P166" s="861">
        <f t="shared" si="141"/>
        <v>5.1437934659606332E-2</v>
      </c>
      <c r="Q166" s="861">
        <f t="shared" si="141"/>
        <v>1.3379448988928067E-2</v>
      </c>
      <c r="R166" s="861">
        <f>R167+R176</f>
        <v>1.7391217370778422E-2</v>
      </c>
      <c r="S166" s="861">
        <f>S167+S176</f>
        <v>0.01</v>
      </c>
    </row>
    <row r="167" spans="1:19">
      <c r="A167" s="17" t="s">
        <v>624</v>
      </c>
      <c r="C167" s="65">
        <f t="shared" ref="C167:K167" si="142">C36</f>
        <v>0.214</v>
      </c>
      <c r="D167" s="65">
        <f t="shared" si="142"/>
        <v>0.155</v>
      </c>
      <c r="E167" s="65">
        <f t="shared" si="142"/>
        <v>0.12</v>
      </c>
      <c r="F167" s="65">
        <f t="shared" si="142"/>
        <v>1.5272651879374904E-2</v>
      </c>
      <c r="G167" s="65">
        <f t="shared" si="142"/>
        <v>-0.1</v>
      </c>
      <c r="H167" s="65">
        <f t="shared" si="142"/>
        <v>-0.04</v>
      </c>
      <c r="I167" s="65">
        <f t="shared" si="142"/>
        <v>-0.01</v>
      </c>
      <c r="J167" s="65">
        <f t="shared" si="142"/>
        <v>0.04</v>
      </c>
      <c r="K167" s="65">
        <f t="shared" si="142"/>
        <v>0.09</v>
      </c>
      <c r="L167" s="65">
        <f t="shared" ref="L167:Q167" si="143">INDEX(L168:L170,MATCH($Z$151,$AB$151:$AB$153,0))</f>
        <v>-0.06</v>
      </c>
      <c r="M167" s="65">
        <f t="shared" si="143"/>
        <v>-0.05</v>
      </c>
      <c r="N167" s="65">
        <f t="shared" si="143"/>
        <v>7.0000000000000007E-2</v>
      </c>
      <c r="O167" s="65">
        <f t="shared" si="143"/>
        <v>0.03</v>
      </c>
      <c r="P167" s="65">
        <f t="shared" si="143"/>
        <v>0.04</v>
      </c>
      <c r="Q167" s="65">
        <f t="shared" si="143"/>
        <v>2.0712879278911158E-2</v>
      </c>
      <c r="R167" s="65">
        <f>INDEX(R168:R170,MATCH($Z$151,$AB$151:$AB$153,0))</f>
        <v>0.01</v>
      </c>
      <c r="S167" s="65">
        <f>INDEX(S168:S170,MATCH($Z$151,$AB$151:$AB$153,0))</f>
        <v>0.01</v>
      </c>
    </row>
    <row r="168" spans="1:19" hidden="1" outlineLevel="1">
      <c r="A168" s="888" t="s">
        <v>687</v>
      </c>
      <c r="C168" s="860"/>
      <c r="D168" s="860"/>
      <c r="E168" s="860"/>
      <c r="F168" s="860"/>
      <c r="G168" s="860"/>
      <c r="H168" s="65"/>
      <c r="I168" s="65"/>
      <c r="J168" s="65"/>
      <c r="K168" s="65"/>
      <c r="L168" s="65">
        <f t="shared" ref="L168:Q168" si="144">L75</f>
        <v>-0.06</v>
      </c>
      <c r="M168" s="65">
        <f t="shared" si="144"/>
        <v>-0.05</v>
      </c>
      <c r="N168" s="65">
        <f t="shared" si="144"/>
        <v>7.0000000000000007E-2</v>
      </c>
      <c r="O168" s="65">
        <f t="shared" si="144"/>
        <v>0.03</v>
      </c>
      <c r="P168" s="65">
        <f t="shared" si="144"/>
        <v>0.04</v>
      </c>
      <c r="Q168" s="65">
        <f t="shared" si="144"/>
        <v>0.04</v>
      </c>
      <c r="R168" s="65">
        <f>R75</f>
        <v>0.04</v>
      </c>
      <c r="S168" s="65">
        <f>S75</f>
        <v>0.04</v>
      </c>
    </row>
    <row r="169" spans="1:19" hidden="1" outlineLevel="1">
      <c r="A169" s="888" t="s">
        <v>685</v>
      </c>
      <c r="C169" s="860"/>
      <c r="D169" s="860"/>
      <c r="E169" s="860"/>
      <c r="F169" s="860"/>
      <c r="G169" s="860"/>
      <c r="H169" s="65"/>
      <c r="I169" s="65"/>
      <c r="J169" s="65"/>
      <c r="K169" s="65"/>
      <c r="L169" s="65">
        <f t="shared" ref="L169:Q169" si="145">L36</f>
        <v>-0.06</v>
      </c>
      <c r="M169" s="65">
        <f t="shared" si="145"/>
        <v>-0.05</v>
      </c>
      <c r="N169" s="65">
        <f t="shared" si="145"/>
        <v>7.0000000000000007E-2</v>
      </c>
      <c r="O169" s="65">
        <f t="shared" si="145"/>
        <v>0.03</v>
      </c>
      <c r="P169" s="65">
        <f t="shared" si="145"/>
        <v>0.04</v>
      </c>
      <c r="Q169" s="65">
        <f t="shared" si="145"/>
        <v>2.0712879278911158E-2</v>
      </c>
      <c r="R169" s="65">
        <f>R36</f>
        <v>0.01</v>
      </c>
      <c r="S169" s="65">
        <f>S36</f>
        <v>0.01</v>
      </c>
    </row>
    <row r="170" spans="1:19" hidden="1" outlineLevel="1">
      <c r="A170" s="888" t="s">
        <v>688</v>
      </c>
      <c r="C170" s="860"/>
      <c r="D170" s="860"/>
      <c r="E170" s="860"/>
      <c r="F170" s="860"/>
      <c r="G170" s="860"/>
      <c r="H170" s="65"/>
      <c r="I170" s="65"/>
      <c r="J170" s="65"/>
      <c r="K170" s="65"/>
      <c r="L170" s="65">
        <f t="shared" ref="L170:Q170" si="146">L117</f>
        <v>-0.06</v>
      </c>
      <c r="M170" s="65">
        <f t="shared" si="146"/>
        <v>-0.05</v>
      </c>
      <c r="N170" s="65">
        <f t="shared" si="146"/>
        <v>7.0000000000000007E-2</v>
      </c>
      <c r="O170" s="65">
        <f t="shared" si="146"/>
        <v>0.03</v>
      </c>
      <c r="P170" s="65">
        <f t="shared" si="146"/>
        <v>0.04</v>
      </c>
      <c r="Q170" s="65">
        <f t="shared" si="146"/>
        <v>-0.02</v>
      </c>
      <c r="R170" s="65">
        <f>R117</f>
        <v>-0.02</v>
      </c>
      <c r="S170" s="65">
        <f>S117</f>
        <v>-0.02</v>
      </c>
    </row>
    <row r="171" spans="1:19" collapsed="1">
      <c r="A171" s="17" t="s">
        <v>782</v>
      </c>
      <c r="C171" s="883" t="s">
        <v>69</v>
      </c>
      <c r="D171" s="861">
        <f>((D133/C133)-1)</f>
        <v>0.19866807756385096</v>
      </c>
      <c r="E171" s="861">
        <f>((E133/D133)-1)</f>
        <v>0.23184819703441595</v>
      </c>
      <c r="F171" s="861">
        <f>((F133/E133)-1)</f>
        <v>7.4477882594383704E-2</v>
      </c>
      <c r="G171" s="861">
        <f>((G133/F133)-1)</f>
        <v>2.6372381778013709E-2</v>
      </c>
      <c r="H171" s="861">
        <f t="shared" ref="H171:S171" si="147">((H133/G133)-1)</f>
        <v>-1.1938025260169294E-2</v>
      </c>
      <c r="I171" s="861">
        <f t="shared" si="147"/>
        <v>-3.0821285079652316E-2</v>
      </c>
      <c r="J171" s="861">
        <f t="shared" si="147"/>
        <v>1.3746863103265783E-2</v>
      </c>
      <c r="K171" s="861">
        <f t="shared" si="147"/>
        <v>0.16274223357989959</v>
      </c>
      <c r="L171" s="861">
        <f t="shared" si="147"/>
        <v>-4.814405802873678E-2</v>
      </c>
      <c r="M171" s="861">
        <f t="shared" si="147"/>
        <v>2.2611628511471915E-2</v>
      </c>
      <c r="N171" s="861">
        <f t="shared" si="147"/>
        <v>3.49684686136853E-2</v>
      </c>
      <c r="O171" s="861">
        <f t="shared" si="147"/>
        <v>2.7315203066970106E-2</v>
      </c>
      <c r="P171" s="861">
        <f t="shared" si="147"/>
        <v>2.5871720116617869E-2</v>
      </c>
      <c r="Q171" s="861">
        <f t="shared" si="147"/>
        <v>1.8183980543255318E-2</v>
      </c>
      <c r="R171" s="861">
        <f t="shared" si="147"/>
        <v>1.9722693998431184E-2</v>
      </c>
      <c r="S171" s="861">
        <f t="shared" si="147"/>
        <v>1.6058269065981179E-2</v>
      </c>
    </row>
    <row r="172" spans="1:19">
      <c r="A172" s="17" t="s">
        <v>14</v>
      </c>
      <c r="C172" s="883" t="s">
        <v>69</v>
      </c>
      <c r="D172" s="861">
        <f>((D135/C135)-1)</f>
        <v>0.27071928813634449</v>
      </c>
      <c r="E172" s="861">
        <f>((E135/D135)-1)</f>
        <v>0.27927419231766959</v>
      </c>
      <c r="F172" s="861">
        <f>((F135/E135)-1)</f>
        <v>2.0392338643021812E-2</v>
      </c>
      <c r="G172" s="861">
        <f>((G135/F135)-1)</f>
        <v>-0.4841963741430132</v>
      </c>
      <c r="H172" s="861">
        <f t="shared" ref="H172:S172" si="148">((H135/G135)-1)</f>
        <v>5.0252557958809785E-3</v>
      </c>
      <c r="I172" s="861">
        <f t="shared" si="148"/>
        <v>9.3944431557515085E-2</v>
      </c>
      <c r="J172" s="861">
        <f t="shared" si="148"/>
        <v>-0.13400790925444006</v>
      </c>
      <c r="K172" s="861">
        <f t="shared" si="148"/>
        <v>0.48656856510309532</v>
      </c>
      <c r="L172" s="861">
        <f t="shared" si="148"/>
        <v>-0.46535079291002202</v>
      </c>
      <c r="M172" s="861">
        <f t="shared" si="148"/>
        <v>-0.11434353980180223</v>
      </c>
      <c r="N172" s="861">
        <f t="shared" si="148"/>
        <v>0.54542599705292605</v>
      </c>
      <c r="O172" s="861">
        <f t="shared" si="148"/>
        <v>0.10242278354382939</v>
      </c>
      <c r="P172" s="861">
        <f t="shared" si="148"/>
        <v>-7.8166871311781461E-2</v>
      </c>
      <c r="Q172" s="861">
        <f t="shared" si="148"/>
        <v>-1.5694330705895654E-2</v>
      </c>
      <c r="R172" s="861">
        <f t="shared" si="148"/>
        <v>1.6154513502626422E-3</v>
      </c>
      <c r="S172" s="861">
        <f t="shared" si="148"/>
        <v>-5.1265654900452762E-2</v>
      </c>
    </row>
    <row r="173" spans="1:19">
      <c r="A173" s="17" t="s">
        <v>15</v>
      </c>
      <c r="C173" s="883" t="s">
        <v>69</v>
      </c>
      <c r="D173" s="861">
        <f>((D145/C145)-1)</f>
        <v>0.26676868534628828</v>
      </c>
      <c r="E173" s="861">
        <f>((E145/D145)-1)</f>
        <v>0.34567896188602298</v>
      </c>
      <c r="F173" s="861">
        <f>((F145/E145)-1)</f>
        <v>7.0674788078127104E-2</v>
      </c>
      <c r="G173" s="861">
        <f>((G145/F145)-1)</f>
        <v>-0.45623378685872373</v>
      </c>
      <c r="H173" s="861">
        <f t="shared" ref="H173:S173" si="149">((H145/G145)-1)</f>
        <v>4.790657403048959E-3</v>
      </c>
      <c r="I173" s="861">
        <f t="shared" si="149"/>
        <v>9.8333869222573922E-2</v>
      </c>
      <c r="J173" s="861">
        <f t="shared" si="149"/>
        <v>-0.10927676467741387</v>
      </c>
      <c r="K173" s="861">
        <f t="shared" si="149"/>
        <v>0.43079074517877358</v>
      </c>
      <c r="L173" s="861">
        <f t="shared" si="149"/>
        <v>-0.46466969331078134</v>
      </c>
      <c r="M173" s="861">
        <f t="shared" si="149"/>
        <v>-0.15317760984618511</v>
      </c>
      <c r="N173" s="861">
        <f t="shared" si="149"/>
        <v>0.72635788166658832</v>
      </c>
      <c r="O173" s="861">
        <f t="shared" si="149"/>
        <v>0.15371909522834448</v>
      </c>
      <c r="P173" s="861">
        <f t="shared" si="149"/>
        <v>-7.8152773080742088E-2</v>
      </c>
      <c r="Q173" s="861">
        <f t="shared" si="149"/>
        <v>0.17069691592433922</v>
      </c>
      <c r="R173" s="861">
        <f t="shared" si="149"/>
        <v>1.2029898569814179E-3</v>
      </c>
      <c r="S173" s="861">
        <f t="shared" si="149"/>
        <v>-4.5875104584396031E-2</v>
      </c>
    </row>
    <row r="174" spans="1:19">
      <c r="A174" s="17" t="s">
        <v>16</v>
      </c>
      <c r="C174" s="883" t="s">
        <v>69</v>
      </c>
      <c r="D174" s="861">
        <f>((D151/C151)-1)</f>
        <v>0.24861353450539148</v>
      </c>
      <c r="E174" s="861">
        <f>((E151/D151)-1)</f>
        <v>0.25567669054011977</v>
      </c>
      <c r="F174" s="861">
        <f>((F151/E151)-1)</f>
        <v>4.910331909748078E-2</v>
      </c>
      <c r="G174" s="861">
        <f>((G151/F151)-1)</f>
        <v>-0.37841086618132691</v>
      </c>
      <c r="H174" s="861">
        <f t="shared" ref="H174:S174" si="150">((H151/G151)-1)</f>
        <v>1.8390715790382206E-2</v>
      </c>
      <c r="I174" s="861">
        <f t="shared" si="150"/>
        <v>6.9339420553740982E-2</v>
      </c>
      <c r="J174" s="861">
        <f t="shared" si="150"/>
        <v>-9.8532927846659346E-2</v>
      </c>
      <c r="K174" s="861">
        <f t="shared" si="150"/>
        <v>0.30243259947176804</v>
      </c>
      <c r="L174" s="861">
        <f t="shared" si="150"/>
        <v>-0.37092027156719953</v>
      </c>
      <c r="M174" s="861">
        <f t="shared" si="150"/>
        <v>-1.633527141638158E-2</v>
      </c>
      <c r="N174" s="861">
        <f t="shared" si="150"/>
        <v>0.34424543908827698</v>
      </c>
      <c r="O174" s="861">
        <f t="shared" si="150"/>
        <v>8.8307687048377215E-2</v>
      </c>
      <c r="P174" s="861">
        <f t="shared" si="150"/>
        <v>-3.311181569208832E-2</v>
      </c>
      <c r="Q174" s="861">
        <f t="shared" si="150"/>
        <v>1.1210710084071263E-2</v>
      </c>
      <c r="R174" s="861">
        <f t="shared" si="150"/>
        <v>2.6245630402976783E-3</v>
      </c>
      <c r="S174" s="861">
        <f t="shared" si="150"/>
        <v>-1.6912225705328687E-2</v>
      </c>
    </row>
    <row r="175" spans="1:19">
      <c r="A175" s="17" t="s">
        <v>626</v>
      </c>
      <c r="C175" s="883" t="s">
        <v>69</v>
      </c>
      <c r="D175" s="65">
        <f t="shared" ref="D175:J175" si="151">D35-D36</f>
        <v>7.3780825201744032E-2</v>
      </c>
      <c r="E175" s="65">
        <f t="shared" si="151"/>
        <v>8.3468876751643495E-2</v>
      </c>
      <c r="F175" s="65">
        <f t="shared" si="151"/>
        <v>7.8131713766455863E-2</v>
      </c>
      <c r="G175" s="65">
        <f t="shared" si="151"/>
        <v>7.821804472643526E-2</v>
      </c>
      <c r="H175" s="65">
        <f t="shared" si="151"/>
        <v>2.374065615521067E-2</v>
      </c>
      <c r="I175" s="65">
        <f t="shared" si="151"/>
        <v>1.1709027303284261E-2</v>
      </c>
      <c r="J175" s="65">
        <f t="shared" si="151"/>
        <v>1.9339067678812362E-2</v>
      </c>
      <c r="K175" s="65">
        <f t="shared" ref="K175:P175" si="152">K35-K36</f>
        <v>2.4015893899646285E-2</v>
      </c>
      <c r="L175" s="65">
        <f t="shared" si="152"/>
        <v>1.1090424598409199E-2</v>
      </c>
      <c r="M175" s="65">
        <f t="shared" si="152"/>
        <v>4.3062197917479741E-2</v>
      </c>
      <c r="N175" s="65">
        <f t="shared" si="152"/>
        <v>2.7964306808650474E-3</v>
      </c>
      <c r="O175" s="65">
        <f t="shared" si="152"/>
        <v>-5.0082911017170495E-3</v>
      </c>
      <c r="P175" s="65">
        <f t="shared" si="152"/>
        <v>1.1437934659606332E-2</v>
      </c>
      <c r="Q175" s="65">
        <f>Q35-Q36</f>
        <v>-7.3334302899830915E-3</v>
      </c>
      <c r="R175" s="65">
        <f>R35-R36</f>
        <v>7.3912173707784221E-3</v>
      </c>
      <c r="S175" s="65">
        <f>S35-S36</f>
        <v>5.7586624754708635E-3</v>
      </c>
    </row>
    <row r="176" spans="1:19">
      <c r="A176" s="17" t="s">
        <v>629</v>
      </c>
      <c r="C176" s="883" t="s">
        <v>69</v>
      </c>
      <c r="D176" s="65">
        <f t="shared" ref="D176:K176" si="153">D175</f>
        <v>7.3780825201744032E-2</v>
      </c>
      <c r="E176" s="65">
        <f t="shared" si="153"/>
        <v>8.3468876751643495E-2</v>
      </c>
      <c r="F176" s="65">
        <f t="shared" si="153"/>
        <v>7.8131713766455863E-2</v>
      </c>
      <c r="G176" s="65">
        <f t="shared" si="153"/>
        <v>7.821804472643526E-2</v>
      </c>
      <c r="H176" s="65">
        <f t="shared" si="153"/>
        <v>2.374065615521067E-2</v>
      </c>
      <c r="I176" s="65">
        <f t="shared" si="153"/>
        <v>1.1709027303284261E-2</v>
      </c>
      <c r="J176" s="65">
        <f t="shared" si="153"/>
        <v>1.9339067678812362E-2</v>
      </c>
      <c r="K176" s="65">
        <f t="shared" si="153"/>
        <v>2.4015893899646285E-2</v>
      </c>
      <c r="L176" s="65">
        <f t="shared" ref="L176:Q176" si="154">INDEX(L177:L179,MATCH($Z$151,$AB$151:$AB$153,0))</f>
        <v>1.1090424598409199E-2</v>
      </c>
      <c r="M176" s="65">
        <f t="shared" si="154"/>
        <v>4.3062197917479741E-2</v>
      </c>
      <c r="N176" s="65">
        <f t="shared" si="154"/>
        <v>2.7964306808650474E-3</v>
      </c>
      <c r="O176" s="65">
        <f t="shared" si="154"/>
        <v>-5.0082911017170495E-3</v>
      </c>
      <c r="P176" s="65">
        <f t="shared" si="154"/>
        <v>1.1437934659606332E-2</v>
      </c>
      <c r="Q176" s="65">
        <f t="shared" si="154"/>
        <v>-7.3334302899830915E-3</v>
      </c>
      <c r="R176" s="65">
        <f>INDEX(R177:R179,MATCH($Z$151,$AB$151:$AB$153,0))</f>
        <v>7.3912173707784221E-3</v>
      </c>
      <c r="S176" s="65">
        <f>INDEX(S177:S179,MATCH($Z$151,$AB$151:$AB$153,0))</f>
        <v>0</v>
      </c>
    </row>
    <row r="177" spans="1:19" hidden="1" outlineLevel="1">
      <c r="A177" s="888" t="s">
        <v>687</v>
      </c>
      <c r="C177" s="883"/>
      <c r="D177" s="883"/>
      <c r="E177" s="883"/>
      <c r="F177" s="883"/>
      <c r="G177" s="883"/>
      <c r="H177" s="65"/>
      <c r="I177" s="65"/>
      <c r="J177" s="65"/>
      <c r="K177" s="65"/>
      <c r="L177" s="65">
        <f t="shared" ref="L177:Q177" si="155">L81</f>
        <v>1.1090424598409199E-2</v>
      </c>
      <c r="M177" s="65">
        <f t="shared" si="155"/>
        <v>4.3062197917479741E-2</v>
      </c>
      <c r="N177" s="65">
        <f t="shared" si="155"/>
        <v>2.7964306808650474E-3</v>
      </c>
      <c r="O177" s="65">
        <f t="shared" si="155"/>
        <v>-5.0082911017170495E-3</v>
      </c>
      <c r="P177" s="65">
        <f t="shared" si="155"/>
        <v>1.1437934659606332E-2</v>
      </c>
      <c r="Q177" s="65">
        <f t="shared" si="155"/>
        <v>-2.3334302899830914E-3</v>
      </c>
      <c r="R177" s="65">
        <f>R81</f>
        <v>1.2391217370778421E-2</v>
      </c>
      <c r="S177" s="65"/>
    </row>
    <row r="178" spans="1:19" hidden="1" outlineLevel="1">
      <c r="A178" s="888" t="s">
        <v>685</v>
      </c>
      <c r="C178" s="883"/>
      <c r="D178" s="883"/>
      <c r="E178" s="883"/>
      <c r="F178" s="883"/>
      <c r="G178" s="883"/>
      <c r="H178" s="65"/>
      <c r="I178" s="65"/>
      <c r="J178" s="65"/>
      <c r="K178" s="65"/>
      <c r="L178" s="65">
        <f t="shared" ref="L178:P179" si="156">L122</f>
        <v>1.1090424598409199E-2</v>
      </c>
      <c r="M178" s="65">
        <f t="shared" si="156"/>
        <v>4.3062197917479741E-2</v>
      </c>
      <c r="N178" s="65">
        <f t="shared" si="156"/>
        <v>2.7964306808650474E-3</v>
      </c>
      <c r="O178" s="65">
        <f t="shared" si="156"/>
        <v>-5.0082911017170495E-3</v>
      </c>
      <c r="P178" s="65">
        <f t="shared" si="156"/>
        <v>1.1437934659606332E-2</v>
      </c>
      <c r="Q178" s="65">
        <f>Q122</f>
        <v>-7.3334302899830915E-3</v>
      </c>
      <c r="R178" s="65">
        <f>R122</f>
        <v>7.3912173707784221E-3</v>
      </c>
      <c r="S178" s="65"/>
    </row>
    <row r="179" spans="1:19" hidden="1" outlineLevel="1">
      <c r="A179" s="888" t="s">
        <v>688</v>
      </c>
      <c r="C179" s="883"/>
      <c r="D179" s="883"/>
      <c r="E179" s="883"/>
      <c r="F179" s="883"/>
      <c r="G179" s="883"/>
      <c r="H179" s="65"/>
      <c r="I179" s="65"/>
      <c r="J179" s="65"/>
      <c r="K179" s="65"/>
      <c r="L179" s="65">
        <f t="shared" si="156"/>
        <v>1.1090424598409199E-2</v>
      </c>
      <c r="M179" s="65">
        <f t="shared" si="156"/>
        <v>4.3062197917479741E-2</v>
      </c>
      <c r="N179" s="65">
        <f t="shared" si="156"/>
        <v>2.7964306808650474E-3</v>
      </c>
      <c r="O179" s="65">
        <f t="shared" si="156"/>
        <v>-5.0082911017170495E-3</v>
      </c>
      <c r="P179" s="65">
        <f t="shared" si="156"/>
        <v>1.1437934659606332E-2</v>
      </c>
      <c r="Q179" s="65">
        <f>Q123</f>
        <v>-7.833430289983092E-3</v>
      </c>
      <c r="R179" s="65">
        <f>R123</f>
        <v>6.8912173707784217E-3</v>
      </c>
      <c r="S179" s="65"/>
    </row>
    <row r="180" spans="1:19" collapsed="1"/>
    <row r="185" spans="1:19">
      <c r="C185" s="894"/>
    </row>
  </sheetData>
  <phoneticPr fontId="63" type="noConversion"/>
  <pageMargins left="0.75" right="0.75" top="1" bottom="1" header="0.5" footer="0.5"/>
  <pageSetup orientation="portrait" r:id="rId1"/>
  <headerFooter alignWithMargins="0"/>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pageSetUpPr fitToPage="1"/>
  </sheetPr>
  <dimension ref="B1:EL83"/>
  <sheetViews>
    <sheetView showGridLines="0" zoomScale="85" zoomScaleNormal="85" zoomScaleSheetLayoutView="85" workbookViewId="0">
      <selection activeCell="B5" sqref="B5:DY50"/>
    </sheetView>
  </sheetViews>
  <sheetFormatPr defaultRowHeight="10.5" customHeight="1" outlineLevelRow="1" outlineLevelCol="2"/>
  <cols>
    <col min="1" max="1" width="2.25" style="951" customWidth="1"/>
    <col min="2" max="2" width="19.375" style="951" customWidth="1"/>
    <col min="3" max="3" width="1.625" style="951" customWidth="1"/>
    <col min="4" max="4" width="6.375" style="951" hidden="1" customWidth="1" outlineLevel="2"/>
    <col min="5" max="7" width="5.625" style="951" hidden="1" customWidth="1" outlineLevel="2"/>
    <col min="8" max="8" width="2.125" style="951" hidden="1" customWidth="1" outlineLevel="2"/>
    <col min="9" max="12" width="5.5" style="951" hidden="1" customWidth="1" outlineLevel="2"/>
    <col min="13" max="13" width="2.125" style="951" hidden="1" customWidth="1" outlineLevel="2"/>
    <col min="14" max="17" width="6.25" style="951" hidden="1" customWidth="1" outlineLevel="2"/>
    <col min="18" max="18" width="2.125" style="951" hidden="1" customWidth="1" outlineLevel="2"/>
    <col min="19" max="19" width="6.25" style="951" hidden="1" customWidth="1" outlineLevel="2" collapsed="1"/>
    <col min="20" max="22" width="6.25" style="951" hidden="1" customWidth="1" outlineLevel="2"/>
    <col min="23" max="23" width="2.125" style="951" hidden="1" customWidth="1" outlineLevel="2"/>
    <col min="24" max="26" width="5.75" style="951" hidden="1" customWidth="1" outlineLevel="2"/>
    <col min="27" max="27" width="5" style="951" hidden="1" customWidth="1" outlineLevel="2"/>
    <col min="28" max="28" width="1.375" style="951" hidden="1" customWidth="1" outlineLevel="2" collapsed="1"/>
    <col min="29" max="32" width="5.625" style="951" hidden="1" customWidth="1" outlineLevel="2"/>
    <col min="33" max="33" width="1.375" style="951" hidden="1" customWidth="1" outlineLevel="2"/>
    <col min="34" max="37" width="5.625" style="951" hidden="1" customWidth="1" outlineLevel="2"/>
    <col min="38" max="38" width="1.375" style="951" hidden="1" customWidth="1" outlineLevel="2"/>
    <col min="39" max="42" width="5.625" style="951" hidden="1" customWidth="1" outlineLevel="2"/>
    <col min="43" max="43" width="1.5" style="951" hidden="1" customWidth="1" outlineLevel="2"/>
    <col min="44" max="44" width="5.625" style="951" hidden="1" customWidth="1" outlineLevel="2" collapsed="1"/>
    <col min="45" max="47" width="5.625" style="951" hidden="1" customWidth="1" outlineLevel="2"/>
    <col min="48" max="48" width="1.5" style="951" hidden="1" customWidth="1" outlineLevel="2"/>
    <col min="49" max="49" width="5.625" style="951" hidden="1" customWidth="1" outlineLevel="2" collapsed="1"/>
    <col min="50" max="52" width="5.625" style="951" hidden="1" customWidth="1" outlineLevel="2"/>
    <col min="53" max="53" width="1" style="951" hidden="1" customWidth="1" outlineLevel="2"/>
    <col min="54" max="57" width="6.5" style="951" hidden="1" customWidth="1" outlineLevel="2"/>
    <col min="58" max="58" width="1" style="951" hidden="1" customWidth="1" outlineLevel="2"/>
    <col min="59" max="59" width="6.625" style="951" hidden="1" customWidth="1" outlineLevel="2"/>
    <col min="60" max="62" width="6.5" style="951" hidden="1" customWidth="1" outlineLevel="2"/>
    <col min="63" max="63" width="1" style="951" hidden="1" customWidth="1" outlineLevel="2"/>
    <col min="64" max="65" width="6.5" style="951" hidden="1" customWidth="1" outlineLevel="1"/>
    <col min="66" max="67" width="6.375" style="951" hidden="1" customWidth="1" outlineLevel="1"/>
    <col min="68" max="68" width="1" style="951" hidden="1" customWidth="1" outlineLevel="1"/>
    <col min="69" max="69" width="6.125" style="951" hidden="1" customWidth="1" outlineLevel="1"/>
    <col min="70" max="70" width="7.125" style="951" hidden="1" customWidth="1" outlineLevel="1"/>
    <col min="71" max="71" width="6.75" style="951" hidden="1" customWidth="1" outlineLevel="1"/>
    <col min="72" max="72" width="7.125" style="951" hidden="1" customWidth="1" outlineLevel="1"/>
    <col min="73" max="73" width="1.75" style="951" hidden="1" customWidth="1" outlineLevel="1"/>
    <col min="74" max="74" width="6.125" style="951" hidden="1" customWidth="1" outlineLevel="1"/>
    <col min="75" max="75" width="7.125" style="951" hidden="1" customWidth="1" outlineLevel="1"/>
    <col min="76" max="77" width="7" style="951" hidden="1" customWidth="1" outlineLevel="1"/>
    <col min="78" max="78" width="1.625" style="951" hidden="1" customWidth="1" outlineLevel="1"/>
    <col min="79" max="79" width="7" style="951" hidden="1" customWidth="1" outlineLevel="1"/>
    <col min="80" max="80" width="6.875" style="951" hidden="1" customWidth="1" outlineLevel="1"/>
    <col min="81" max="82" width="6.625" style="951" hidden="1" customWidth="1" outlineLevel="1"/>
    <col min="83" max="83" width="1.625" style="951" hidden="1" customWidth="1" outlineLevel="1"/>
    <col min="84" max="85" width="6.625" style="951" hidden="1" customWidth="1" outlineLevel="1"/>
    <col min="86" max="86" width="6.5" style="951" hidden="1" customWidth="1" outlineLevel="1"/>
    <col min="87" max="87" width="6.375" style="951" hidden="1" customWidth="1" outlineLevel="1"/>
    <col min="88" max="88" width="1.125" style="951" hidden="1" customWidth="1" outlineLevel="1"/>
    <col min="89" max="89" width="6.5" style="951" customWidth="1" collapsed="1"/>
    <col min="90" max="90" width="6.5" style="951" customWidth="1"/>
    <col min="91" max="91" width="6" style="951" customWidth="1"/>
    <col min="92" max="92" width="6.875" style="951" customWidth="1"/>
    <col min="93" max="93" width="1.375" style="951" customWidth="1"/>
    <col min="94" max="94" width="7.375" style="951" customWidth="1"/>
    <col min="95" max="95" width="7.25" style="951" customWidth="1"/>
    <col min="96" max="96" width="7.5" style="951" customWidth="1"/>
    <col min="97" max="97" width="7.625" style="951" customWidth="1"/>
    <col min="98" max="98" width="1.375" style="951" customWidth="1"/>
    <col min="99" max="99" width="7.625" style="951" customWidth="1"/>
    <col min="100" max="100" width="7.25" style="951" customWidth="1"/>
    <col min="101" max="101" width="7" style="951" customWidth="1"/>
    <col min="102" max="102" width="7.125" style="951" customWidth="1"/>
    <col min="103" max="103" width="1.25" style="951" customWidth="1"/>
    <col min="104" max="107" width="7" style="951" hidden="1" customWidth="1" outlineLevel="1"/>
    <col min="108" max="108" width="7.75" style="951" hidden="1" customWidth="1" outlineLevel="1"/>
    <col min="109" max="110" width="7" style="951" hidden="1" customWidth="1" outlineLevel="1"/>
    <col min="111" max="115" width="7.625" style="951" hidden="1" customWidth="1" outlineLevel="1"/>
    <col min="116" max="116" width="7.375" style="951" hidden="1" customWidth="1" outlineLevel="1"/>
    <col min="117" max="117" width="6.75" style="951" hidden="1" customWidth="1" outlineLevel="1"/>
    <col min="118" max="118" width="2" style="951" hidden="1" customWidth="1" outlineLevel="1"/>
    <col min="119" max="119" width="7" style="951" hidden="1" customWidth="1" outlineLevel="1"/>
    <col min="120" max="121" width="6.75" style="951" hidden="1" customWidth="1" outlineLevel="1"/>
    <col min="122" max="122" width="7" style="951" bestFit="1" customWidth="1" collapsed="1"/>
    <col min="123" max="123" width="7.125" style="951" customWidth="1"/>
    <col min="124" max="125" width="7" style="951" bestFit="1" customWidth="1"/>
    <col min="126" max="126" width="6.75" style="951" customWidth="1"/>
    <col min="127" max="127" width="7.625" style="951" customWidth="1"/>
    <col min="128" max="128" width="7" style="951" customWidth="1"/>
    <col min="129" max="129" width="8.75" style="1012" customWidth="1"/>
    <col min="130" max="130" width="7.625" style="951" hidden="1" customWidth="1" outlineLevel="1"/>
    <col min="131" max="131" width="7.625" style="951" hidden="1" customWidth="1" outlineLevel="2"/>
    <col min="132" max="132" width="32.75" hidden="1" customWidth="1" outlineLevel="1" collapsed="1"/>
    <col min="133" max="133" width="8.75" hidden="1" customWidth="1" outlineLevel="1"/>
    <col min="134" max="134" width="7.875" hidden="1" customWidth="1" outlineLevel="1"/>
    <col min="135" max="137" width="9" hidden="1" customWidth="1" outlineLevel="1"/>
    <col min="138" max="140" width="9" style="951" hidden="1" customWidth="1" outlineLevel="1"/>
    <col min="141" max="141" width="9" style="1158" collapsed="1"/>
    <col min="142" max="16384" width="9" style="951"/>
  </cols>
  <sheetData>
    <row r="1" spans="2:140" ht="13.9" customHeight="1">
      <c r="B1" s="344" t="s">
        <v>85</v>
      </c>
      <c r="C1" s="961"/>
      <c r="D1" s="961"/>
      <c r="E1" s="961"/>
      <c r="F1" s="961"/>
      <c r="G1" s="961"/>
      <c r="H1" s="961"/>
      <c r="I1" s="961"/>
      <c r="J1" s="961"/>
      <c r="K1" s="961"/>
      <c r="L1" s="961"/>
      <c r="M1" s="962"/>
      <c r="N1" s="961"/>
      <c r="O1" s="961"/>
      <c r="P1" s="961"/>
      <c r="Q1" s="961"/>
      <c r="R1" s="962"/>
      <c r="S1" s="961"/>
      <c r="T1" s="961"/>
      <c r="U1" s="961"/>
      <c r="V1" s="961"/>
      <c r="W1" s="962"/>
      <c r="X1" s="961"/>
      <c r="Y1" s="961"/>
      <c r="Z1" s="961"/>
      <c r="AA1" s="961"/>
      <c r="AB1" s="962"/>
      <c r="AC1" s="961"/>
      <c r="AD1" s="961"/>
      <c r="AE1" s="961"/>
      <c r="AF1" s="961"/>
      <c r="AG1" s="962"/>
      <c r="AH1" s="961"/>
      <c r="AI1" s="961"/>
      <c r="AJ1" s="961"/>
      <c r="AK1" s="961"/>
      <c r="AL1" s="962"/>
      <c r="AM1" s="961"/>
      <c r="AN1" s="961"/>
      <c r="AO1" s="961"/>
      <c r="AP1" s="961"/>
      <c r="AQ1" s="962"/>
      <c r="AR1" s="961"/>
      <c r="AS1" s="961"/>
      <c r="AT1" s="961"/>
      <c r="AU1" s="961"/>
      <c r="AV1" s="961"/>
      <c r="AW1" s="961"/>
      <c r="AX1" s="961"/>
      <c r="AY1" s="961"/>
      <c r="AZ1" s="961"/>
      <c r="BA1" s="961"/>
      <c r="BB1" s="961"/>
      <c r="BC1" s="961"/>
      <c r="BD1" s="961"/>
      <c r="BE1" s="961"/>
      <c r="BF1" s="961"/>
      <c r="BG1" s="961"/>
      <c r="BH1" s="961"/>
      <c r="BI1" s="961"/>
      <c r="BJ1" s="961"/>
      <c r="BK1" s="961"/>
      <c r="BL1" s="961"/>
      <c r="BM1" s="961"/>
      <c r="BN1" s="961"/>
      <c r="BO1" s="961"/>
      <c r="BP1" s="961"/>
      <c r="BQ1" s="961"/>
      <c r="BR1" s="961"/>
      <c r="BS1" s="961"/>
      <c r="BT1" s="961"/>
      <c r="BU1" s="962"/>
      <c r="BV1" s="962"/>
      <c r="BW1" s="962"/>
      <c r="BX1" s="962"/>
      <c r="BY1" s="962"/>
      <c r="BZ1" s="962"/>
      <c r="CA1" s="962"/>
      <c r="CB1" s="962"/>
      <c r="CC1" s="962"/>
      <c r="CD1" s="962"/>
      <c r="CE1" s="962"/>
      <c r="CF1" s="962"/>
      <c r="CG1" s="962"/>
      <c r="CH1" s="962"/>
      <c r="CI1" s="962"/>
      <c r="CJ1" s="962"/>
      <c r="CK1" s="962"/>
      <c r="CL1" s="962"/>
      <c r="CM1" s="962"/>
      <c r="CN1" s="962"/>
      <c r="CO1" s="962"/>
      <c r="CP1" s="962"/>
      <c r="CQ1" s="962"/>
      <c r="CR1" s="962"/>
      <c r="CS1" s="962"/>
      <c r="CT1" s="962"/>
      <c r="CU1" s="962"/>
      <c r="CV1" s="962"/>
      <c r="CW1" s="962"/>
      <c r="CX1" s="962"/>
      <c r="CY1" s="962"/>
      <c r="CZ1" s="962"/>
      <c r="DA1" s="962"/>
      <c r="DB1" s="962"/>
      <c r="DC1" s="961"/>
      <c r="DD1" s="961"/>
      <c r="DE1" s="962"/>
      <c r="DF1" s="963"/>
      <c r="DG1" s="963"/>
      <c r="DH1" s="962"/>
      <c r="DI1" s="962"/>
      <c r="DJ1" s="962"/>
      <c r="DK1" s="963"/>
      <c r="DL1" s="962"/>
      <c r="DM1" s="962"/>
      <c r="DN1" s="962"/>
      <c r="DO1" s="962"/>
      <c r="DP1" s="962"/>
      <c r="DQ1" s="962"/>
      <c r="DR1" s="962"/>
      <c r="DS1" s="963"/>
      <c r="DT1" s="962"/>
      <c r="DU1" s="962"/>
      <c r="DV1" s="962"/>
      <c r="DW1" s="962"/>
      <c r="DX1" s="962"/>
      <c r="DY1" s="962"/>
      <c r="DZ1" s="962"/>
      <c r="EA1" s="962"/>
    </row>
    <row r="2" spans="2:140" ht="12" customHeight="1">
      <c r="B2" s="345" t="s">
        <v>870</v>
      </c>
      <c r="C2" s="964"/>
      <c r="D2" s="964"/>
      <c r="E2" s="964"/>
      <c r="F2" s="964"/>
      <c r="G2" s="964"/>
      <c r="H2" s="964"/>
      <c r="I2" s="964"/>
      <c r="J2" s="964"/>
      <c r="K2" s="964"/>
      <c r="L2" s="964"/>
      <c r="M2" s="965"/>
      <c r="N2" s="964"/>
      <c r="O2" s="964"/>
      <c r="P2" s="964"/>
      <c r="Q2" s="964"/>
      <c r="R2" s="965"/>
      <c r="S2" s="964"/>
      <c r="T2" s="964"/>
      <c r="U2" s="964"/>
      <c r="V2" s="964"/>
      <c r="W2" s="965"/>
      <c r="X2" s="964"/>
      <c r="Y2" s="964"/>
      <c r="Z2" s="964"/>
      <c r="AA2" s="964"/>
      <c r="AB2" s="965"/>
      <c r="AC2" s="964"/>
      <c r="AD2" s="964"/>
      <c r="AE2" s="964"/>
      <c r="AF2" s="964"/>
      <c r="AG2" s="965"/>
      <c r="AH2" s="964"/>
      <c r="AI2" s="964"/>
      <c r="AJ2" s="964"/>
      <c r="AK2" s="964"/>
      <c r="AL2" s="965"/>
      <c r="AM2" s="964"/>
      <c r="AN2" s="964"/>
      <c r="AO2" s="964"/>
      <c r="AP2" s="964"/>
      <c r="AQ2" s="965"/>
      <c r="AR2" s="964"/>
      <c r="AS2" s="964"/>
      <c r="AT2" s="964"/>
      <c r="AU2" s="964"/>
      <c r="AV2" s="964"/>
      <c r="AW2" s="964"/>
      <c r="AX2" s="964"/>
      <c r="AY2" s="964"/>
      <c r="AZ2" s="964"/>
      <c r="BA2" s="964"/>
      <c r="BB2" s="964"/>
      <c r="BC2" s="964"/>
      <c r="BD2" s="964"/>
      <c r="BE2" s="964"/>
      <c r="BF2" s="964"/>
      <c r="BG2" s="964"/>
      <c r="BH2" s="964"/>
      <c r="BI2" s="964"/>
      <c r="BJ2" s="964"/>
      <c r="BK2" s="964"/>
      <c r="BL2" s="964"/>
      <c r="BM2" s="964"/>
      <c r="BN2" s="964"/>
      <c r="BO2" s="964"/>
      <c r="BP2" s="964"/>
      <c r="BQ2" s="964"/>
      <c r="BR2" s="964"/>
      <c r="BS2" s="964"/>
      <c r="BT2" s="964"/>
      <c r="BU2" s="965"/>
      <c r="BV2" s="965"/>
      <c r="BW2" s="965"/>
      <c r="BX2" s="965"/>
      <c r="BY2" s="965"/>
      <c r="BZ2" s="965"/>
      <c r="CA2" s="965"/>
      <c r="CB2" s="965"/>
      <c r="CC2" s="965"/>
      <c r="CD2" s="965"/>
      <c r="CE2" s="965"/>
      <c r="CF2" s="965"/>
      <c r="CG2" s="965"/>
      <c r="CH2" s="965"/>
      <c r="CI2" s="965"/>
      <c r="CJ2" s="965"/>
      <c r="CK2" s="965"/>
      <c r="CL2" s="965"/>
      <c r="CM2" s="965"/>
      <c r="CN2" s="965"/>
      <c r="CO2" s="965"/>
      <c r="CP2" s="965"/>
      <c r="CQ2" s="965"/>
      <c r="CR2" s="965"/>
      <c r="CS2" s="965"/>
      <c r="CT2" s="965"/>
      <c r="CU2" s="965"/>
      <c r="CV2" s="965"/>
      <c r="CW2" s="965"/>
      <c r="CX2" s="965"/>
      <c r="CY2" s="965"/>
      <c r="CZ2" s="965"/>
      <c r="DA2" s="965"/>
      <c r="DB2" s="965"/>
      <c r="DC2" s="964"/>
      <c r="DD2" s="964"/>
      <c r="DE2" s="965"/>
      <c r="DF2" s="965"/>
      <c r="DG2" s="965"/>
      <c r="DH2" s="965"/>
      <c r="DI2" s="965"/>
      <c r="DJ2" s="965"/>
      <c r="DK2" s="965"/>
      <c r="DL2" s="965"/>
      <c r="DM2" s="965"/>
      <c r="DN2" s="965"/>
      <c r="DO2" s="965"/>
      <c r="DP2" s="965"/>
      <c r="DQ2" s="965"/>
      <c r="DR2" s="965"/>
      <c r="DS2" s="965"/>
      <c r="DT2" s="965"/>
      <c r="DU2" s="965"/>
      <c r="DV2" s="965"/>
      <c r="DW2" s="966"/>
      <c r="DX2" s="966"/>
      <c r="DY2" s="966"/>
      <c r="DZ2" s="966"/>
      <c r="EA2" s="966"/>
    </row>
    <row r="3" spans="2:140" ht="12" customHeight="1">
      <c r="B3" s="962" t="s">
        <v>775</v>
      </c>
      <c r="C3" s="961"/>
      <c r="D3" s="961"/>
      <c r="E3" s="961"/>
      <c r="F3" s="961"/>
      <c r="G3" s="961"/>
      <c r="H3" s="961"/>
      <c r="I3" s="961"/>
      <c r="J3" s="961"/>
      <c r="K3" s="961"/>
      <c r="L3" s="961"/>
      <c r="M3" s="962"/>
      <c r="N3" s="961"/>
      <c r="O3" s="961"/>
      <c r="P3" s="961"/>
      <c r="Q3" s="961"/>
      <c r="R3" s="962"/>
      <c r="S3" s="961"/>
      <c r="T3" s="961"/>
      <c r="U3" s="961"/>
      <c r="V3" s="961"/>
      <c r="W3" s="962"/>
      <c r="X3" s="961"/>
      <c r="Y3" s="961"/>
      <c r="Z3" s="961"/>
      <c r="AA3" s="961"/>
      <c r="AB3" s="962"/>
      <c r="AC3" s="961"/>
      <c r="AD3" s="961"/>
      <c r="AE3" s="961"/>
      <c r="AF3" s="961"/>
      <c r="AG3" s="962"/>
      <c r="AH3" s="961"/>
      <c r="AI3" s="961"/>
      <c r="AJ3" s="961"/>
      <c r="AK3" s="961"/>
      <c r="AL3" s="962"/>
      <c r="AM3" s="961"/>
      <c r="AN3" s="961"/>
      <c r="AO3" s="961"/>
      <c r="AP3" s="961"/>
      <c r="AQ3" s="962"/>
      <c r="AR3" s="961"/>
      <c r="AS3" s="961"/>
      <c r="AT3" s="961"/>
      <c r="AU3" s="961"/>
      <c r="AV3" s="961"/>
      <c r="AW3" s="961"/>
      <c r="AX3" s="961"/>
      <c r="AY3" s="961"/>
      <c r="AZ3" s="961"/>
      <c r="BA3" s="961"/>
      <c r="BB3" s="961"/>
      <c r="BC3" s="961"/>
      <c r="BD3" s="961"/>
      <c r="BE3" s="961"/>
      <c r="BF3" s="961"/>
      <c r="BG3" s="961"/>
      <c r="BH3" s="961"/>
      <c r="BI3" s="961"/>
      <c r="BJ3" s="961"/>
      <c r="BK3" s="961"/>
      <c r="BL3" s="961"/>
      <c r="BM3" s="961"/>
      <c r="BN3" s="961"/>
      <c r="BO3" s="961"/>
      <c r="BP3" s="961"/>
      <c r="BQ3" s="961"/>
      <c r="BR3" s="961"/>
      <c r="BS3" s="961"/>
      <c r="BT3" s="961"/>
      <c r="BU3" s="962"/>
      <c r="BV3" s="962"/>
      <c r="BW3" s="962"/>
      <c r="BX3" s="962"/>
      <c r="BY3" s="962"/>
      <c r="BZ3" s="962"/>
      <c r="CA3" s="962"/>
      <c r="CB3" s="962"/>
      <c r="CC3" s="962"/>
      <c r="CD3" s="962"/>
      <c r="CE3" s="962"/>
      <c r="CF3" s="962"/>
      <c r="CG3" s="962"/>
      <c r="CH3" s="962"/>
      <c r="CI3" s="962"/>
      <c r="CJ3" s="962"/>
      <c r="CK3" s="962"/>
      <c r="CL3" s="962"/>
      <c r="CM3" s="962"/>
      <c r="CN3" s="962"/>
      <c r="CO3" s="962"/>
      <c r="CP3" s="962"/>
      <c r="CQ3" s="962"/>
      <c r="CR3" s="962"/>
      <c r="CS3" s="962"/>
      <c r="CT3" s="962"/>
      <c r="CU3" s="962"/>
      <c r="CV3" s="962"/>
      <c r="CW3" s="962"/>
      <c r="CX3" s="962"/>
      <c r="CY3" s="962"/>
      <c r="CZ3" s="962"/>
      <c r="DA3" s="962"/>
      <c r="DB3" s="962"/>
      <c r="DC3" s="961"/>
      <c r="DD3" s="961"/>
      <c r="DE3" s="962"/>
      <c r="DF3" s="963"/>
      <c r="DG3" s="963"/>
      <c r="DH3" s="962"/>
      <c r="DI3" s="962"/>
      <c r="DJ3" s="962"/>
      <c r="DK3" s="963"/>
      <c r="DL3" s="962"/>
      <c r="DM3" s="962"/>
      <c r="DN3" s="962"/>
      <c r="DO3" s="962"/>
      <c r="DP3" s="962"/>
      <c r="DQ3" s="962"/>
      <c r="DR3" s="962"/>
      <c r="DS3" s="963"/>
      <c r="DT3" s="962"/>
      <c r="DU3" s="962"/>
      <c r="DV3" s="962"/>
      <c r="DW3" s="1075"/>
      <c r="DX3" s="1075"/>
      <c r="DY3" s="1075"/>
      <c r="DZ3" s="962"/>
      <c r="EA3" s="962"/>
    </row>
    <row r="4" spans="2:140" ht="12" customHeight="1">
      <c r="B4" s="967"/>
      <c r="C4" s="968"/>
      <c r="D4" s="968" t="s">
        <v>776</v>
      </c>
      <c r="E4" s="968"/>
      <c r="F4" s="968"/>
      <c r="G4" s="968"/>
      <c r="H4" s="968"/>
      <c r="I4" s="968"/>
      <c r="J4" s="968"/>
      <c r="K4" s="968"/>
      <c r="L4" s="968"/>
      <c r="M4" s="968"/>
      <c r="N4" s="968"/>
      <c r="O4" s="968"/>
      <c r="P4" s="968"/>
      <c r="Q4" s="968"/>
      <c r="R4" s="968"/>
      <c r="S4" s="968"/>
      <c r="T4" s="968"/>
      <c r="U4" s="968"/>
      <c r="V4" s="968"/>
      <c r="W4" s="968"/>
      <c r="X4" s="968"/>
      <c r="Y4" s="968"/>
      <c r="Z4" s="968"/>
      <c r="AA4" s="968"/>
      <c r="AB4" s="968"/>
      <c r="AC4" s="968"/>
      <c r="AD4" s="968"/>
      <c r="AE4" s="968"/>
      <c r="AF4" s="968"/>
      <c r="AG4" s="968"/>
      <c r="AH4" s="968"/>
      <c r="AI4" s="968"/>
      <c r="AJ4" s="968"/>
      <c r="AK4" s="968"/>
      <c r="AL4" s="968"/>
      <c r="AM4" s="968"/>
      <c r="AN4" s="968"/>
      <c r="AO4" s="968"/>
      <c r="AP4" s="968"/>
      <c r="AQ4" s="968"/>
      <c r="AR4" s="968"/>
      <c r="AS4" s="968"/>
      <c r="AT4" s="968"/>
      <c r="AU4" s="968"/>
      <c r="AV4" s="968"/>
      <c r="AW4" s="968"/>
      <c r="AX4" s="968"/>
      <c r="AY4" s="968"/>
      <c r="AZ4" s="968"/>
      <c r="BA4" s="968"/>
      <c r="BB4" s="968"/>
      <c r="BC4" s="968"/>
      <c r="BD4" s="968"/>
      <c r="BE4" s="968"/>
      <c r="BF4" s="968"/>
      <c r="BG4" s="968" t="s">
        <v>776</v>
      </c>
      <c r="BH4" s="968"/>
      <c r="BI4" s="968"/>
      <c r="BJ4" s="968"/>
      <c r="BK4" s="968"/>
      <c r="BL4" s="968"/>
      <c r="BM4" s="968"/>
      <c r="BN4" s="968"/>
      <c r="BO4" s="968"/>
      <c r="BP4" s="968"/>
      <c r="BQ4" s="968"/>
      <c r="BR4" s="968"/>
      <c r="BS4" s="968"/>
      <c r="BT4" s="968"/>
      <c r="BU4" s="970"/>
      <c r="BV4" s="970"/>
      <c r="BW4" s="970"/>
      <c r="BX4" s="970"/>
      <c r="BY4" s="970"/>
      <c r="BZ4" s="970"/>
      <c r="CA4" s="970"/>
      <c r="CB4" s="970"/>
      <c r="CC4" s="970"/>
      <c r="CD4" s="970"/>
      <c r="CE4" s="970"/>
      <c r="CF4" s="970"/>
      <c r="CG4" s="970"/>
      <c r="CH4" s="970"/>
      <c r="CI4" s="970"/>
      <c r="CJ4" s="970"/>
      <c r="CK4" s="970"/>
      <c r="CL4" s="970"/>
      <c r="CM4" s="970"/>
      <c r="CN4" s="970"/>
      <c r="CO4" s="970"/>
      <c r="CP4" s="970"/>
      <c r="CQ4" s="970"/>
      <c r="CR4" s="970"/>
      <c r="CS4" s="970"/>
      <c r="CT4" s="970"/>
      <c r="CU4" s="970"/>
      <c r="CV4" s="970"/>
      <c r="CW4" s="970"/>
      <c r="CX4" s="970"/>
      <c r="CY4" s="970"/>
      <c r="CZ4" s="969" t="s">
        <v>777</v>
      </c>
      <c r="DA4" s="969"/>
      <c r="DB4" s="969"/>
      <c r="DC4" s="969"/>
      <c r="DD4" s="969"/>
      <c r="DE4" s="969"/>
      <c r="DF4" s="968"/>
      <c r="DG4" s="968"/>
      <c r="DH4" s="969" t="s">
        <v>777</v>
      </c>
      <c r="DI4" s="968"/>
      <c r="DJ4" s="968"/>
      <c r="DK4" s="968"/>
      <c r="DL4" s="968"/>
      <c r="DM4" s="968"/>
      <c r="DN4" s="970"/>
      <c r="DO4" s="971"/>
      <c r="DP4" s="971"/>
      <c r="DQ4" s="972"/>
      <c r="DR4" s="973"/>
      <c r="DS4" s="973"/>
      <c r="DT4" s="974"/>
      <c r="DU4" s="963"/>
      <c r="DV4" s="974"/>
      <c r="DW4" s="963"/>
      <c r="DX4" s="963"/>
      <c r="DY4" s="963"/>
      <c r="DZ4" s="963"/>
      <c r="EA4" s="963"/>
    </row>
    <row r="5" spans="2:140" ht="18" customHeight="1">
      <c r="B5" s="1076" t="s">
        <v>733</v>
      </c>
      <c r="C5" s="1813" t="s">
        <v>768</v>
      </c>
      <c r="D5" s="1814">
        <v>1999</v>
      </c>
      <c r="E5" s="1815"/>
      <c r="F5" s="1815"/>
      <c r="G5" s="1815"/>
      <c r="H5" s="1816"/>
      <c r="I5" s="1817">
        <f>+D5+1</f>
        <v>2000</v>
      </c>
      <c r="J5" s="1815"/>
      <c r="K5" s="1815"/>
      <c r="L5" s="1815"/>
      <c r="M5" s="1076"/>
      <c r="N5" s="1817" t="str">
        <f>+DE5</f>
        <v>2001A</v>
      </c>
      <c r="O5" s="1815"/>
      <c r="P5" s="1815"/>
      <c r="Q5" s="1815"/>
      <c r="R5" s="1076"/>
      <c r="S5" s="1817" t="str">
        <f>+DF5</f>
        <v>2002A</v>
      </c>
      <c r="T5" s="1815"/>
      <c r="U5" s="1815"/>
      <c r="V5" s="1815"/>
      <c r="W5" s="1076"/>
      <c r="X5" s="1817" t="s">
        <v>585</v>
      </c>
      <c r="Y5" s="1815"/>
      <c r="Z5" s="1815"/>
      <c r="AA5" s="1815"/>
      <c r="AB5" s="1076"/>
      <c r="AC5" s="1817" t="s">
        <v>691</v>
      </c>
      <c r="AD5" s="1815"/>
      <c r="AE5" s="1815"/>
      <c r="AF5" s="1815"/>
      <c r="AG5" s="1076"/>
      <c r="AH5" s="1818" t="str">
        <f>DI5</f>
        <v>2005A</v>
      </c>
      <c r="AI5" s="1819"/>
      <c r="AJ5" s="1819"/>
      <c r="AK5" s="1819"/>
      <c r="AL5" s="1820"/>
      <c r="AM5" s="1817" t="str">
        <f>DJ5</f>
        <v>2006A</v>
      </c>
      <c r="AN5" s="1819"/>
      <c r="AO5" s="1819"/>
      <c r="AP5" s="1819"/>
      <c r="AQ5" s="1076"/>
      <c r="AR5" s="1817" t="str">
        <f>DK5</f>
        <v>2007A</v>
      </c>
      <c r="AS5" s="1819"/>
      <c r="AT5" s="1819"/>
      <c r="AU5" s="1819"/>
      <c r="AV5" s="1076"/>
      <c r="AW5" s="978" t="str">
        <f>DL5</f>
        <v>2008A</v>
      </c>
      <c r="AX5" s="978"/>
      <c r="AY5" s="978"/>
      <c r="AZ5" s="978"/>
      <c r="BA5" s="1810"/>
      <c r="BB5" s="2169" t="str">
        <f>DM5</f>
        <v>2009A</v>
      </c>
      <c r="BC5" s="2169"/>
      <c r="BD5" s="2169"/>
      <c r="BE5" s="2169"/>
      <c r="BF5" s="1810"/>
      <c r="BG5" s="2169" t="s">
        <v>748</v>
      </c>
      <c r="BH5" s="2169"/>
      <c r="BI5" s="2169"/>
      <c r="BJ5" s="2169"/>
      <c r="BK5" s="1810"/>
      <c r="BL5" s="2170" t="s">
        <v>141</v>
      </c>
      <c r="BM5" s="2169"/>
      <c r="BN5" s="2169"/>
      <c r="BO5" s="2169"/>
      <c r="BP5" s="1810"/>
      <c r="BQ5" s="2169" t="s">
        <v>479</v>
      </c>
      <c r="BR5" s="2169"/>
      <c r="BS5" s="2169"/>
      <c r="BT5" s="2169"/>
      <c r="BU5" s="1810"/>
      <c r="BV5" s="2169" t="s">
        <v>190</v>
      </c>
      <c r="BW5" s="2169"/>
      <c r="BX5" s="2169"/>
      <c r="BY5" s="2169"/>
      <c r="BZ5" s="1810"/>
      <c r="CA5" s="2169" t="s">
        <v>187</v>
      </c>
      <c r="CB5" s="2169"/>
      <c r="CC5" s="2169"/>
      <c r="CD5" s="2169"/>
      <c r="CE5" s="1810"/>
      <c r="CF5" s="2169" t="s">
        <v>788</v>
      </c>
      <c r="CG5" s="2169"/>
      <c r="CH5" s="2169"/>
      <c r="CI5" s="2169"/>
      <c r="CJ5" s="1810"/>
      <c r="CK5" s="2169" t="s">
        <v>800</v>
      </c>
      <c r="CL5" s="2169"/>
      <c r="CM5" s="2169"/>
      <c r="CN5" s="2169"/>
      <c r="CO5" s="1810"/>
      <c r="CP5" s="2169" t="s">
        <v>804</v>
      </c>
      <c r="CQ5" s="2169"/>
      <c r="CR5" s="2169"/>
      <c r="CS5" s="2169"/>
      <c r="CT5" s="2086"/>
      <c r="CU5" s="2168" t="s">
        <v>188</v>
      </c>
      <c r="CV5" s="2168"/>
      <c r="CW5" s="2168"/>
      <c r="CX5" s="2168"/>
      <c r="CY5" s="1810"/>
      <c r="CZ5" s="980" t="s">
        <v>152</v>
      </c>
      <c r="DA5" s="980" t="s">
        <v>153</v>
      </c>
      <c r="DB5" s="980" t="s">
        <v>154</v>
      </c>
      <c r="DC5" s="981" t="s">
        <v>155</v>
      </c>
      <c r="DD5" s="981" t="s">
        <v>436</v>
      </c>
      <c r="DE5" s="981" t="s">
        <v>520</v>
      </c>
      <c r="DF5" s="982" t="s">
        <v>568</v>
      </c>
      <c r="DG5" s="982" t="s">
        <v>585</v>
      </c>
      <c r="DH5" s="982" t="s">
        <v>691</v>
      </c>
      <c r="DI5" s="982" t="s">
        <v>260</v>
      </c>
      <c r="DJ5" s="983" t="s">
        <v>259</v>
      </c>
      <c r="DK5" s="984" t="s">
        <v>258</v>
      </c>
      <c r="DL5" s="983" t="s">
        <v>257</v>
      </c>
      <c r="DM5" s="982" t="s">
        <v>747</v>
      </c>
      <c r="DN5" s="979"/>
      <c r="DO5" s="983" t="s">
        <v>748</v>
      </c>
      <c r="DP5" s="982" t="s">
        <v>141</v>
      </c>
      <c r="DQ5" s="982" t="s">
        <v>479</v>
      </c>
      <c r="DR5" s="983" t="s">
        <v>190</v>
      </c>
      <c r="DS5" s="982" t="s">
        <v>187</v>
      </c>
      <c r="DT5" s="982" t="s">
        <v>788</v>
      </c>
      <c r="DU5" s="982" t="s">
        <v>800</v>
      </c>
      <c r="DV5" s="982" t="s">
        <v>804</v>
      </c>
      <c r="DW5" s="985" t="s">
        <v>188</v>
      </c>
      <c r="DX5" s="985" t="s">
        <v>787</v>
      </c>
      <c r="DY5" s="986" t="s">
        <v>797</v>
      </c>
      <c r="DZ5" s="987" t="s">
        <v>805</v>
      </c>
      <c r="EA5" s="985"/>
      <c r="EH5" s="1074"/>
      <c r="EI5" s="1074"/>
      <c r="EJ5" s="1074"/>
    </row>
    <row r="6" spans="2:140" ht="12" customHeight="1">
      <c r="B6" s="988" t="s">
        <v>778</v>
      </c>
      <c r="C6" s="993"/>
      <c r="D6" s="995" t="s">
        <v>734</v>
      </c>
      <c r="E6" s="995" t="s">
        <v>735</v>
      </c>
      <c r="F6" s="995" t="s">
        <v>736</v>
      </c>
      <c r="G6" s="995" t="s">
        <v>737</v>
      </c>
      <c r="H6" s="993"/>
      <c r="I6" s="993" t="str">
        <f>D6</f>
        <v>Apr</v>
      </c>
      <c r="J6" s="993" t="str">
        <f>E6</f>
        <v>Jul</v>
      </c>
      <c r="K6" s="993" t="str">
        <f>F6</f>
        <v>Oct</v>
      </c>
      <c r="L6" s="993" t="str">
        <f>G6</f>
        <v>Jan</v>
      </c>
      <c r="M6" s="1811"/>
      <c r="N6" s="993" t="str">
        <f>I6</f>
        <v>Apr</v>
      </c>
      <c r="O6" s="993" t="str">
        <f>J6</f>
        <v>Jul</v>
      </c>
      <c r="P6" s="993" t="str">
        <f>K6</f>
        <v>Oct</v>
      </c>
      <c r="Q6" s="993" t="str">
        <f>L6</f>
        <v>Jan</v>
      </c>
      <c r="R6" s="1811"/>
      <c r="S6" s="993" t="str">
        <f>N6</f>
        <v>Apr</v>
      </c>
      <c r="T6" s="993" t="str">
        <f>O6</f>
        <v>Jul</v>
      </c>
      <c r="U6" s="993" t="str">
        <f>P6</f>
        <v>Oct</v>
      </c>
      <c r="V6" s="993" t="str">
        <f>Q6</f>
        <v>Jan</v>
      </c>
      <c r="W6" s="1811"/>
      <c r="X6" s="991" t="s">
        <v>734</v>
      </c>
      <c r="Y6" s="991" t="s">
        <v>735</v>
      </c>
      <c r="Z6" s="991" t="s">
        <v>736</v>
      </c>
      <c r="AA6" s="991" t="s">
        <v>737</v>
      </c>
      <c r="AB6" s="1811"/>
      <c r="AC6" s="991" t="s">
        <v>734</v>
      </c>
      <c r="AD6" s="991" t="s">
        <v>735</v>
      </c>
      <c r="AE6" s="991" t="s">
        <v>736</v>
      </c>
      <c r="AF6" s="991" t="s">
        <v>737</v>
      </c>
      <c r="AG6" s="1811"/>
      <c r="AH6" s="991" t="s">
        <v>734</v>
      </c>
      <c r="AI6" s="991" t="s">
        <v>529</v>
      </c>
      <c r="AJ6" s="991" t="s">
        <v>530</v>
      </c>
      <c r="AK6" s="991" t="s">
        <v>737</v>
      </c>
      <c r="AL6" s="1811"/>
      <c r="AM6" s="991" t="s">
        <v>254</v>
      </c>
      <c r="AN6" s="991" t="s">
        <v>529</v>
      </c>
      <c r="AO6" s="991" t="s">
        <v>530</v>
      </c>
      <c r="AP6" s="991" t="s">
        <v>737</v>
      </c>
      <c r="AQ6" s="1811"/>
      <c r="AR6" s="991" t="s">
        <v>254</v>
      </c>
      <c r="AS6" s="991" t="s">
        <v>529</v>
      </c>
      <c r="AT6" s="991" t="s">
        <v>530</v>
      </c>
      <c r="AU6" s="991" t="s">
        <v>737</v>
      </c>
      <c r="AV6" s="991"/>
      <c r="AW6" s="991" t="s">
        <v>254</v>
      </c>
      <c r="AX6" s="991" t="s">
        <v>529</v>
      </c>
      <c r="AY6" s="991" t="s">
        <v>530</v>
      </c>
      <c r="AZ6" s="991" t="s">
        <v>737</v>
      </c>
      <c r="BA6" s="991"/>
      <c r="BB6" s="991" t="s">
        <v>254</v>
      </c>
      <c r="BC6" s="991" t="s">
        <v>529</v>
      </c>
      <c r="BD6" s="991" t="s">
        <v>530</v>
      </c>
      <c r="BE6" s="991" t="s">
        <v>737</v>
      </c>
      <c r="BF6" s="991"/>
      <c r="BG6" s="991" t="s">
        <v>254</v>
      </c>
      <c r="BH6" s="991" t="s">
        <v>529</v>
      </c>
      <c r="BI6" s="991" t="s">
        <v>530</v>
      </c>
      <c r="BJ6" s="991" t="s">
        <v>737</v>
      </c>
      <c r="BK6" s="991"/>
      <c r="BL6" s="990" t="s">
        <v>254</v>
      </c>
      <c r="BM6" s="991" t="s">
        <v>529</v>
      </c>
      <c r="BN6" s="991" t="s">
        <v>530</v>
      </c>
      <c r="BO6" s="991" t="s">
        <v>737</v>
      </c>
      <c r="BP6" s="991"/>
      <c r="BQ6" s="991" t="s">
        <v>254</v>
      </c>
      <c r="BR6" s="991" t="s">
        <v>529</v>
      </c>
      <c r="BS6" s="991" t="s">
        <v>530</v>
      </c>
      <c r="BT6" s="991" t="s">
        <v>737</v>
      </c>
      <c r="BU6" s="992"/>
      <c r="BV6" s="991" t="s">
        <v>254</v>
      </c>
      <c r="BW6" s="991" t="s">
        <v>529</v>
      </c>
      <c r="BX6" s="991" t="s">
        <v>530</v>
      </c>
      <c r="BY6" s="991" t="s">
        <v>737</v>
      </c>
      <c r="BZ6" s="992"/>
      <c r="CA6" s="991" t="s">
        <v>254</v>
      </c>
      <c r="CB6" s="991" t="s">
        <v>529</v>
      </c>
      <c r="CC6" s="991" t="s">
        <v>530</v>
      </c>
      <c r="CD6" s="991" t="s">
        <v>737</v>
      </c>
      <c r="CE6" s="992"/>
      <c r="CF6" s="991" t="s">
        <v>254</v>
      </c>
      <c r="CG6" s="991" t="s">
        <v>529</v>
      </c>
      <c r="CH6" s="991" t="s">
        <v>530</v>
      </c>
      <c r="CI6" s="991" t="s">
        <v>737</v>
      </c>
      <c r="CJ6" s="992"/>
      <c r="CK6" s="991" t="s">
        <v>254</v>
      </c>
      <c r="CL6" s="991" t="s">
        <v>529</v>
      </c>
      <c r="CM6" s="991" t="s">
        <v>530</v>
      </c>
      <c r="CN6" s="991" t="s">
        <v>737</v>
      </c>
      <c r="CO6" s="1811"/>
      <c r="CP6" s="991" t="s">
        <v>254</v>
      </c>
      <c r="CQ6" s="991" t="s">
        <v>529</v>
      </c>
      <c r="CR6" s="991" t="s">
        <v>530</v>
      </c>
      <c r="CS6" s="991" t="s">
        <v>737</v>
      </c>
      <c r="CT6" s="995"/>
      <c r="CU6" s="995" t="s">
        <v>254</v>
      </c>
      <c r="CV6" s="995" t="s">
        <v>529</v>
      </c>
      <c r="CW6" s="995" t="s">
        <v>530</v>
      </c>
      <c r="CX6" s="995" t="s">
        <v>737</v>
      </c>
      <c r="CY6" s="1811"/>
      <c r="CZ6" s="993" t="s">
        <v>737</v>
      </c>
      <c r="DA6" s="993" t="s">
        <v>737</v>
      </c>
      <c r="DB6" s="993" t="s">
        <v>737</v>
      </c>
      <c r="DC6" s="991" t="str">
        <f t="shared" ref="DC6:DH6" si="0">DB6</f>
        <v>Jan</v>
      </c>
      <c r="DD6" s="991" t="str">
        <f t="shared" si="0"/>
        <v>Jan</v>
      </c>
      <c r="DE6" s="991" t="str">
        <f t="shared" si="0"/>
        <v>Jan</v>
      </c>
      <c r="DF6" s="991" t="str">
        <f t="shared" si="0"/>
        <v>Jan</v>
      </c>
      <c r="DG6" s="991" t="str">
        <f t="shared" si="0"/>
        <v>Jan</v>
      </c>
      <c r="DH6" s="991" t="str">
        <f t="shared" si="0"/>
        <v>Jan</v>
      </c>
      <c r="DI6" s="991" t="str">
        <f>DH6</f>
        <v>Jan</v>
      </c>
      <c r="DJ6" s="990" t="s">
        <v>698</v>
      </c>
      <c r="DK6" s="994" t="s">
        <v>699</v>
      </c>
      <c r="DL6" s="990" t="s">
        <v>700</v>
      </c>
      <c r="DM6" s="991" t="s">
        <v>701</v>
      </c>
      <c r="DN6" s="989"/>
      <c r="DO6" s="990" t="s">
        <v>702</v>
      </c>
      <c r="DP6" s="991" t="s">
        <v>703</v>
      </c>
      <c r="DQ6" s="991" t="s">
        <v>704</v>
      </c>
      <c r="DR6" s="990" t="s">
        <v>705</v>
      </c>
      <c r="DS6" s="991" t="s">
        <v>706</v>
      </c>
      <c r="DT6" s="991" t="s">
        <v>707</v>
      </c>
      <c r="DU6" s="991" t="s">
        <v>708</v>
      </c>
      <c r="DV6" s="991" t="s">
        <v>789</v>
      </c>
      <c r="DW6" s="995" t="s">
        <v>790</v>
      </c>
      <c r="DX6" s="995" t="s">
        <v>791</v>
      </c>
      <c r="DY6" s="996" t="s">
        <v>798</v>
      </c>
      <c r="DZ6" s="996" t="s">
        <v>858</v>
      </c>
      <c r="EA6" s="995"/>
      <c r="EH6" s="1012"/>
      <c r="EI6" s="1012"/>
      <c r="EJ6" s="1012"/>
    </row>
    <row r="7" spans="2:140" ht="7.5" customHeight="1">
      <c r="B7" s="963"/>
      <c r="C7" s="999"/>
      <c r="D7" s="999"/>
      <c r="E7" s="999"/>
      <c r="F7" s="999"/>
      <c r="G7" s="999"/>
      <c r="H7" s="999"/>
      <c r="I7" s="999"/>
      <c r="J7" s="999"/>
      <c r="K7" s="999"/>
      <c r="L7" s="999"/>
      <c r="M7" s="1000"/>
      <c r="N7" s="999"/>
      <c r="O7" s="999"/>
      <c r="P7" s="999"/>
      <c r="Q7" s="999"/>
      <c r="R7" s="1000"/>
      <c r="S7" s="999"/>
      <c r="T7" s="999"/>
      <c r="U7" s="999"/>
      <c r="V7" s="999"/>
      <c r="W7" s="1000"/>
      <c r="X7" s="999"/>
      <c r="Y7" s="999"/>
      <c r="Z7" s="999"/>
      <c r="AA7" s="999"/>
      <c r="AB7" s="1000"/>
      <c r="AC7" s="999"/>
      <c r="AD7" s="999"/>
      <c r="AE7" s="999"/>
      <c r="AF7" s="999"/>
      <c r="AG7" s="1000"/>
      <c r="AH7" s="999"/>
      <c r="AI7" s="999"/>
      <c r="AJ7" s="999"/>
      <c r="AK7" s="999"/>
      <c r="AL7" s="1000"/>
      <c r="AM7" s="999"/>
      <c r="AN7" s="999"/>
      <c r="AO7" s="999"/>
      <c r="AP7" s="999"/>
      <c r="AQ7" s="1000"/>
      <c r="AR7" s="999"/>
      <c r="AS7" s="999"/>
      <c r="AT7" s="999"/>
      <c r="AU7" s="999"/>
      <c r="AV7" s="999"/>
      <c r="AW7" s="999"/>
      <c r="AX7" s="999"/>
      <c r="AY7" s="999"/>
      <c r="AZ7" s="999"/>
      <c r="BA7" s="999"/>
      <c r="BB7" s="999"/>
      <c r="BC7" s="999"/>
      <c r="BD7" s="999"/>
      <c r="BE7" s="999"/>
      <c r="BF7" s="999"/>
      <c r="BG7" s="999"/>
      <c r="BH7" s="999"/>
      <c r="BI7" s="999"/>
      <c r="BJ7" s="999"/>
      <c r="BK7" s="999"/>
      <c r="BL7" s="998"/>
      <c r="BM7" s="999"/>
      <c r="BN7" s="999"/>
      <c r="BO7" s="999"/>
      <c r="BP7" s="999"/>
      <c r="BQ7" s="999"/>
      <c r="BR7" s="999"/>
      <c r="BS7" s="999"/>
      <c r="BT7" s="999"/>
      <c r="BU7" s="1000"/>
      <c r="BV7" s="1821"/>
      <c r="BW7" s="1821"/>
      <c r="BX7" s="1821"/>
      <c r="BY7" s="1821"/>
      <c r="BZ7" s="1000"/>
      <c r="CA7" s="1000"/>
      <c r="CB7" s="1000"/>
      <c r="CC7" s="1000"/>
      <c r="CD7" s="1000"/>
      <c r="CE7" s="1000"/>
      <c r="CF7" s="1000"/>
      <c r="CG7" s="1000"/>
      <c r="CH7" s="1000"/>
      <c r="CI7" s="1000"/>
      <c r="CJ7" s="1000"/>
      <c r="CK7" s="1821"/>
      <c r="CL7" s="1821"/>
      <c r="CM7" s="1821"/>
      <c r="CN7" s="1821"/>
      <c r="CO7" s="1000"/>
      <c r="CP7" s="1000"/>
      <c r="CQ7" s="1000"/>
      <c r="CR7" s="1000"/>
      <c r="CS7" s="1000"/>
      <c r="CT7" s="1000"/>
      <c r="CU7" s="1000"/>
      <c r="CV7" s="1000"/>
      <c r="CW7" s="1000"/>
      <c r="CX7" s="1000"/>
      <c r="CY7" s="1000"/>
      <c r="CZ7" s="963"/>
      <c r="DA7" s="963"/>
      <c r="DB7" s="963"/>
      <c r="DC7" s="963"/>
      <c r="DD7" s="963"/>
      <c r="DE7" s="963"/>
      <c r="DF7" s="963"/>
      <c r="DG7" s="963"/>
      <c r="DH7" s="963"/>
      <c r="DI7" s="963"/>
      <c r="DJ7" s="1001"/>
      <c r="DK7" s="1002"/>
      <c r="DL7" s="1001"/>
      <c r="DM7" s="963"/>
      <c r="DN7" s="997"/>
      <c r="DO7" s="1001"/>
      <c r="DP7" s="963"/>
      <c r="DQ7" s="963"/>
      <c r="DR7" s="1001"/>
      <c r="DS7" s="963"/>
      <c r="DT7" s="963"/>
      <c r="DU7" s="963"/>
      <c r="DV7" s="963"/>
      <c r="DW7" s="963"/>
      <c r="DX7" s="963"/>
      <c r="DY7" s="1002"/>
      <c r="DZ7" s="1002"/>
      <c r="EA7" s="963"/>
      <c r="EH7" s="1012"/>
      <c r="EI7" s="1012"/>
      <c r="EJ7" s="1012"/>
    </row>
    <row r="8" spans="2:140" ht="12.75">
      <c r="B8" s="1003" t="s">
        <v>779</v>
      </c>
      <c r="C8" s="1006"/>
      <c r="D8" s="1006">
        <f>'qtrP&amp;L'!S10</f>
        <v>145.404</v>
      </c>
      <c r="E8" s="1006">
        <f>'qtrP&amp;L'!S11</f>
        <v>178.58199999999999</v>
      </c>
      <c r="F8" s="1006">
        <f>'qtrP&amp;L'!S12</f>
        <v>222.69300000000001</v>
      </c>
      <c r="G8" s="1006">
        <f>'qtrP&amp;L'!S13</f>
        <v>285.42500000000001</v>
      </c>
      <c r="H8" s="1006"/>
      <c r="I8" s="1006">
        <f>'qtrP&amp;L'!W10</f>
        <v>177.999</v>
      </c>
      <c r="J8" s="1006">
        <f>'qtrP&amp;L'!W11</f>
        <v>208.977</v>
      </c>
      <c r="K8" s="1006">
        <f>'qtrP&amp;L'!W12</f>
        <v>282.767</v>
      </c>
      <c r="L8" s="1006">
        <f>'qtrP&amp;L'!W13</f>
        <v>423.73399999999998</v>
      </c>
      <c r="M8" s="1006"/>
      <c r="N8" s="1006">
        <f>'qtrP&amp;L'!AB10</f>
        <v>251.548</v>
      </c>
      <c r="O8" s="1006">
        <f>'qtrP&amp;L'!AB11</f>
        <v>292.392</v>
      </c>
      <c r="P8" s="1006">
        <f>'qtrP&amp;L'!AB12</f>
        <v>363.65899999999999</v>
      </c>
      <c r="Q8" s="1006">
        <f>'qtrP&amp;L'!AB13</f>
        <v>464.3</v>
      </c>
      <c r="R8" s="1006"/>
      <c r="S8" s="1006">
        <f>'qtrP&amp;L'!AF10</f>
        <v>277.89299999999997</v>
      </c>
      <c r="T8" s="1006">
        <f>'qtrP&amp;L'!AF11</f>
        <v>319.2</v>
      </c>
      <c r="U8" s="1006">
        <f>'qtrP&amp;L'!AF12</f>
        <v>374.49400000000003</v>
      </c>
      <c r="V8" s="1006">
        <f>'qtrP&amp;L'!AF13</f>
        <v>491.55399999999997</v>
      </c>
      <c r="W8" s="1006"/>
      <c r="X8" s="1006">
        <f>'qtrP&amp;L'!AJ10</f>
        <v>291.858</v>
      </c>
      <c r="Y8" s="1006">
        <f>'qtrP&amp;L'!AJ11</f>
        <v>337.05500000000001</v>
      </c>
      <c r="Z8" s="1006">
        <f>'qtrP&amp;L'!AJ12</f>
        <v>373.8</v>
      </c>
      <c r="AA8" s="1006">
        <f>'qtrP&amp;L'!AJ13</f>
        <v>490.58</v>
      </c>
      <c r="AB8" s="1006"/>
      <c r="AC8" s="1006">
        <f>+'qtrP&amp;L'!$AN$10</f>
        <v>332.23</v>
      </c>
      <c r="AD8" s="1006">
        <f>+'qtrP&amp;L'!$AN$11</f>
        <v>395.40199999999999</v>
      </c>
      <c r="AE8" s="1006">
        <f>+'qtrP&amp;L'!$AN$12</f>
        <v>479.58499999999998</v>
      </c>
      <c r="AF8" s="1006">
        <f>+'qtrP&amp;L'!$AN$13</f>
        <v>674.024</v>
      </c>
      <c r="AG8" s="1006"/>
      <c r="AH8" s="1006">
        <f>+'qtrP&amp;L'!$AR$10</f>
        <v>456.47699999999998</v>
      </c>
      <c r="AI8" s="1006">
        <f>'qtrP&amp;L'!AR11</f>
        <v>515.86800000000005</v>
      </c>
      <c r="AJ8" s="1006">
        <f>'qtrP&amp;L'!AR12</f>
        <v>580.54700000000003</v>
      </c>
      <c r="AK8" s="1006">
        <f>+'qtrP&amp;L'!$AR$13</f>
        <v>769.07</v>
      </c>
      <c r="AL8" s="1006"/>
      <c r="AM8" s="1006">
        <f>'qtrP&amp;L'!AV10</f>
        <v>522.428</v>
      </c>
      <c r="AN8" s="1006">
        <f>'qtrP&amp;L'!AV11</f>
        <v>602.32600000000002</v>
      </c>
      <c r="AO8" s="1006">
        <f>'qtrP&amp;L'!AV12</f>
        <v>696.29</v>
      </c>
      <c r="AP8" s="1006">
        <f>'qtrP&amp;L'!AV13</f>
        <v>973.36500000000001</v>
      </c>
      <c r="AQ8" s="1006"/>
      <c r="AR8" s="1006">
        <f>'qtrP&amp;L'!AZ10</f>
        <v>612.38599999999997</v>
      </c>
      <c r="AS8" s="1006">
        <f>'qtrP&amp;L'!AZ11</f>
        <v>703.18899999999996</v>
      </c>
      <c r="AT8" s="1006">
        <f>'qtrP&amp;L'!AZ12</f>
        <v>744.44299999999998</v>
      </c>
      <c r="AU8" s="1006">
        <f>'qtrP&amp;L'!AZ13</f>
        <v>995.40099999999995</v>
      </c>
      <c r="AV8" s="1006"/>
      <c r="AW8" s="1006">
        <f>'qtrP&amp;L'!BD10</f>
        <v>640.30200000000002</v>
      </c>
      <c r="AX8" s="1006">
        <f>'qtrP&amp;L'!BD11</f>
        <v>688.81500000000005</v>
      </c>
      <c r="AY8" s="1006">
        <f>'qtrP&amp;L'!BD12</f>
        <v>754.03599999999994</v>
      </c>
      <c r="AZ8" s="1006">
        <f>'qtrP&amp;L'!BD13</f>
        <v>905.71299999999997</v>
      </c>
      <c r="BA8" s="1006"/>
      <c r="BB8" s="1006">
        <f>'qtrP&amp;L'!$BH$10</f>
        <v>601.67899999999997</v>
      </c>
      <c r="BC8" s="1006">
        <f>'qtrP&amp;L'!$BH$11</f>
        <v>646.798</v>
      </c>
      <c r="BD8" s="1006">
        <f>'qtrP&amp;L'!$BH$12</f>
        <v>736.01099999999997</v>
      </c>
      <c r="BE8" s="1006">
        <f>'qtrP&amp;L'!$BH$13</f>
        <v>955.78099999999995</v>
      </c>
      <c r="BF8" s="1006"/>
      <c r="BG8" s="1006">
        <f>'qtrP&amp;L'!$BL$10</f>
        <v>645.12</v>
      </c>
      <c r="BH8" s="1006">
        <f>'qtrP&amp;L'!$BL$11</f>
        <v>648.74099999999999</v>
      </c>
      <c r="BI8" s="1006">
        <f>'qtrP&amp;L'!$BL$12</f>
        <v>744.84899999999993</v>
      </c>
      <c r="BJ8" s="1006">
        <f>'qtrP&amp;L'!$BL$13</f>
        <v>906.58399999999995</v>
      </c>
      <c r="BK8" s="1006"/>
      <c r="BL8" s="1005">
        <f>'qtrP&amp;L'!$BP$10</f>
        <v>603.08400000000006</v>
      </c>
      <c r="BM8" s="1006">
        <f>'qtrP&amp;L'!$BP$11</f>
        <v>669.12</v>
      </c>
      <c r="BN8" s="1006">
        <f>'qtrP&amp;L'!$BP$12</f>
        <v>819.41899999999998</v>
      </c>
      <c r="BO8" s="1006">
        <f>'qtrP&amp;L'!$BP$13</f>
        <v>1028.442</v>
      </c>
      <c r="BP8" s="1006"/>
      <c r="BQ8" s="1006">
        <f>'qtrP&amp;L'!$BT$10</f>
        <v>708.69500000000005</v>
      </c>
      <c r="BR8" s="1006">
        <f>'qtrP&amp;L'!$BT$11</f>
        <v>739.68</v>
      </c>
      <c r="BS8" s="1006">
        <f>'qtrP&amp;L'!$BT$12</f>
        <v>910.37400000000002</v>
      </c>
      <c r="BT8" s="1006">
        <f>'qtrP&amp;L'!$BT$13</f>
        <v>1117.0530000000001</v>
      </c>
      <c r="BU8" s="1006"/>
      <c r="BV8" s="1006">
        <f>'qtrP&amp;L'!$BX$10</f>
        <v>679.47699999999998</v>
      </c>
      <c r="BW8" s="1006">
        <f>'qtrP&amp;L'!$BX$11</f>
        <v>727.31299999999999</v>
      </c>
      <c r="BX8" s="1006">
        <f>'qtrP&amp;L'!$BX$12</f>
        <v>857.30499999999995</v>
      </c>
      <c r="BY8" s="1006">
        <f>'qtrP&amp;L'!$BX$13</f>
        <v>1041.7070000000001</v>
      </c>
      <c r="BZ8" s="1006"/>
      <c r="CA8" s="1006">
        <f>'qtrP&amp;L'!$CB$10</f>
        <v>646.12900000000002</v>
      </c>
      <c r="CB8" s="1006">
        <f>'qtrP&amp;L'!$CB$11</f>
        <v>710.59500000000003</v>
      </c>
      <c r="CC8" s="1006">
        <f>'qtrP&amp;L'!$CB$12</f>
        <v>854.29</v>
      </c>
      <c r="CD8" s="1006">
        <f>'qtrP&amp;L'!$CB$13</f>
        <v>1071.8530000000001</v>
      </c>
      <c r="CE8" s="1006"/>
      <c r="CF8" s="1006">
        <f>'qtrP&amp;L'!CF10</f>
        <v>699.52</v>
      </c>
      <c r="CG8" s="1006">
        <f>'qtrP&amp;L'!$CF$11</f>
        <v>797.428</v>
      </c>
      <c r="CH8" s="1006">
        <f>'qtrP&amp;L'!$CF$12</f>
        <v>919.072</v>
      </c>
      <c r="CI8" s="1006">
        <f>'qtrP&amp;L'!$CF$13</f>
        <v>1105.828</v>
      </c>
      <c r="CJ8" s="1006"/>
      <c r="CK8" s="1006">
        <f>'qtrP&amp;L'!CJ10</f>
        <v>749.41600000000005</v>
      </c>
      <c r="CL8" s="1006">
        <f>'qtrP&amp;L'!$CJ$11</f>
        <v>822.59400000000005</v>
      </c>
      <c r="CM8" s="1006">
        <f>'qtrP&amp;L'!$CJ$12</f>
        <v>940.60900000000004</v>
      </c>
      <c r="CN8" s="1006">
        <f>'qtrP&amp;L'!$CJ$13</f>
        <v>1097.2460000000001</v>
      </c>
      <c r="CO8" s="1006"/>
      <c r="CP8" s="1006">
        <f t="array" ref="CP8:CS8">TRANSPOSE('qtrP&amp;L'!CN10:CN13)</f>
        <v>761.83600000000001</v>
      </c>
      <c r="CQ8" s="1006">
        <v>844.55700000000002</v>
      </c>
      <c r="CR8" s="1006">
        <v>960.43299999999999</v>
      </c>
      <c r="CS8" s="1006">
        <v>1228.723</v>
      </c>
      <c r="CT8" s="1006"/>
      <c r="CU8" s="1006">
        <f t="array" ref="CU8:CX8">TRANSPOSE('qtrP&amp;L'!CR10:CR13)</f>
        <v>808.29303830291394</v>
      </c>
      <c r="CV8" s="1006">
        <v>911.41708210582624</v>
      </c>
      <c r="CW8" s="1006">
        <v>960.37366019560545</v>
      </c>
      <c r="CX8" s="1006">
        <v>1166.2475736261315</v>
      </c>
      <c r="CY8" s="1006"/>
      <c r="CZ8" s="1006">
        <f>'yrP&amp;L'!C7</f>
        <v>326.404</v>
      </c>
      <c r="DA8" s="1006">
        <f>'yrP&amp;L'!D7</f>
        <v>405.71299999999997</v>
      </c>
      <c r="DB8" s="1006">
        <f>'yrP&amp;L'!E7</f>
        <v>587.6</v>
      </c>
      <c r="DC8" s="1006">
        <f>'yrP&amp;L'!F7</f>
        <v>832.10400000000004</v>
      </c>
      <c r="DD8" s="1006">
        <f>'yrP&amp;L'!G7</f>
        <v>1093.4769999999999</v>
      </c>
      <c r="DE8" s="1006">
        <f>'yrP&amp;L'!H7</f>
        <v>1371.8990000000001</v>
      </c>
      <c r="DF8" s="1006">
        <f>'yrP&amp;L'!I7</f>
        <v>1463.1410000000001</v>
      </c>
      <c r="DG8" s="1007">
        <f>'yrP&amp;L'!J7</f>
        <v>1435.4359999999999</v>
      </c>
      <c r="DH8" s="1006">
        <f>'yrP&amp;L'!K7</f>
        <v>1889.6469999999999</v>
      </c>
      <c r="DI8" s="1006">
        <f>'yrP&amp;L'!L7</f>
        <v>2321.962</v>
      </c>
      <c r="DJ8" s="1005">
        <f>'yrP&amp;L'!M7</f>
        <v>2794.4089999999997</v>
      </c>
      <c r="DK8" s="1008">
        <f>'yrP&amp;L'!N7</f>
        <v>3055.4189999999999</v>
      </c>
      <c r="DL8" s="1005">
        <f>'yrP&amp;L'!O7</f>
        <v>2988.866</v>
      </c>
      <c r="DM8" s="1006">
        <f>'yrP&amp;L'!P7</f>
        <v>2940.2689999999998</v>
      </c>
      <c r="DN8" s="1004"/>
      <c r="DO8" s="1005">
        <f>'yrP&amp;L'!Q7</f>
        <v>2945.2939999999999</v>
      </c>
      <c r="DP8" s="1006">
        <f>'yrP&amp;L'!R7</f>
        <v>3120.0650000000001</v>
      </c>
      <c r="DQ8" s="1006">
        <f>'yrP&amp;L'!S7</f>
        <v>3475.8019999999997</v>
      </c>
      <c r="DR8" s="1005">
        <f>'yrP&amp;L'!T7</f>
        <v>3305.8019999999997</v>
      </c>
      <c r="DS8" s="1006">
        <f>'yrP&amp;L'!U7</f>
        <v>3282.8670000000002</v>
      </c>
      <c r="DT8" s="1006">
        <f>'yrP&amp;L'!V7</f>
        <v>3521.848</v>
      </c>
      <c r="DU8" s="1006">
        <f>'yrP&amp;L'!W7</f>
        <v>3609.8650000000002</v>
      </c>
      <c r="DV8" s="1006">
        <f>'yrP&amp;L'!X7</f>
        <v>3795.549</v>
      </c>
      <c r="DW8" s="1006">
        <f>'yrP&amp;L'!Y7</f>
        <v>3846.3313542304768</v>
      </c>
      <c r="DX8" s="1006">
        <f>'yrP&amp;L'!Z7</f>
        <v>3913.2237388919393</v>
      </c>
      <c r="DY8" s="1009">
        <f>'yrP&amp;L'!AA7</f>
        <v>3974.8909109841375</v>
      </c>
      <c r="DZ8" s="1009">
        <f>'yrP&amp;L'!AB7</f>
        <v>3975.1315261343361</v>
      </c>
      <c r="EA8" s="1007"/>
      <c r="EH8" s="1012"/>
      <c r="EI8" s="1012"/>
      <c r="EJ8" s="1012"/>
    </row>
    <row r="9" spans="2:140" ht="6" customHeight="1">
      <c r="B9" s="963"/>
      <c r="C9" s="1011"/>
      <c r="D9" s="1006"/>
      <c r="E9" s="1006"/>
      <c r="F9" s="1006"/>
      <c r="G9" s="1006"/>
      <c r="H9" s="1011"/>
      <c r="I9" s="1006"/>
      <c r="J9" s="1006"/>
      <c r="K9" s="1006"/>
      <c r="L9" s="1006"/>
      <c r="M9" s="1011"/>
      <c r="N9" s="1006"/>
      <c r="O9" s="1006"/>
      <c r="P9" s="1006"/>
      <c r="Q9" s="1006"/>
      <c r="R9" s="1011"/>
      <c r="S9" s="1006"/>
      <c r="T9" s="1006"/>
      <c r="U9" s="1006"/>
      <c r="V9" s="1006"/>
      <c r="W9" s="1011"/>
      <c r="X9" s="1006"/>
      <c r="Y9" s="1006"/>
      <c r="Z9" s="1006"/>
      <c r="AA9" s="1006"/>
      <c r="AB9" s="1011"/>
      <c r="AC9" s="1006"/>
      <c r="AD9" s="1006"/>
      <c r="AE9" s="1006"/>
      <c r="AF9" s="1006"/>
      <c r="AG9" s="1011"/>
      <c r="AH9" s="1006"/>
      <c r="AI9" s="1006"/>
      <c r="AJ9" s="1006"/>
      <c r="AK9" s="1006"/>
      <c r="AL9" s="1011"/>
      <c r="AM9" s="1006"/>
      <c r="AN9" s="1006"/>
      <c r="AO9" s="1006"/>
      <c r="AP9" s="1006"/>
      <c r="AQ9" s="1011"/>
      <c r="AR9" s="1006"/>
      <c r="AS9" s="1006"/>
      <c r="AT9" s="1006"/>
      <c r="AU9" s="1006"/>
      <c r="AV9" s="1006"/>
      <c r="AW9" s="1006"/>
      <c r="AX9" s="1006"/>
      <c r="AY9" s="1006"/>
      <c r="AZ9" s="1006"/>
      <c r="BA9" s="1006"/>
      <c r="BB9" s="1006"/>
      <c r="BC9" s="1006"/>
      <c r="BD9" s="1006"/>
      <c r="BE9" s="1006"/>
      <c r="BF9" s="1006"/>
      <c r="BG9" s="1006"/>
      <c r="BH9" s="1006"/>
      <c r="BI9" s="1006"/>
      <c r="BJ9" s="1006"/>
      <c r="BK9" s="1006"/>
      <c r="BL9" s="1005"/>
      <c r="BM9" s="1006"/>
      <c r="BN9" s="1006"/>
      <c r="BO9" s="1006"/>
      <c r="BP9" s="1006"/>
      <c r="BQ9" s="1006"/>
      <c r="BR9" s="1006"/>
      <c r="BS9" s="1006"/>
      <c r="BT9" s="1006"/>
      <c r="BU9" s="1011"/>
      <c r="BV9" s="1011"/>
      <c r="BW9" s="1011"/>
      <c r="BX9" s="1011"/>
      <c r="BY9" s="1011"/>
      <c r="BZ9" s="1011"/>
      <c r="CA9" s="1011"/>
      <c r="CB9" s="1011"/>
      <c r="CC9" s="1011"/>
      <c r="CD9" s="1011"/>
      <c r="CE9" s="1011"/>
      <c r="CF9" s="1011"/>
      <c r="CG9" s="1011"/>
      <c r="CH9" s="1011"/>
      <c r="CI9" s="1011"/>
      <c r="CJ9" s="1011"/>
      <c r="CK9" s="1011"/>
      <c r="CL9" s="1011"/>
      <c r="CM9" s="1011"/>
      <c r="CN9" s="1011"/>
      <c r="CO9" s="1011"/>
      <c r="CP9" s="1011"/>
      <c r="CQ9" s="1011"/>
      <c r="CR9" s="1011"/>
      <c r="CS9" s="1011"/>
      <c r="CT9" s="1011"/>
      <c r="CU9" s="1011"/>
      <c r="CV9" s="1011"/>
      <c r="CW9" s="1011"/>
      <c r="CX9" s="1011"/>
      <c r="CY9" s="1011"/>
      <c r="CZ9" s="1006" t="s">
        <v>733</v>
      </c>
      <c r="DA9" s="1006" t="s">
        <v>733</v>
      </c>
      <c r="DB9" s="1006" t="s">
        <v>733</v>
      </c>
      <c r="DC9" s="1006" t="s">
        <v>733</v>
      </c>
      <c r="DD9" s="1006" t="s">
        <v>733</v>
      </c>
      <c r="DE9" s="1006" t="s">
        <v>733</v>
      </c>
      <c r="DF9" s="1006" t="s">
        <v>733</v>
      </c>
      <c r="DG9" s="1006" t="s">
        <v>733</v>
      </c>
      <c r="DH9" s="1006" t="s">
        <v>733</v>
      </c>
      <c r="DI9" s="1006" t="s">
        <v>733</v>
      </c>
      <c r="DJ9" s="1005" t="s">
        <v>733</v>
      </c>
      <c r="DK9" s="1008" t="s">
        <v>733</v>
      </c>
      <c r="DL9" s="1005" t="s">
        <v>733</v>
      </c>
      <c r="DM9" s="1006" t="s">
        <v>733</v>
      </c>
      <c r="DN9" s="1010"/>
      <c r="DO9" s="1005" t="s">
        <v>733</v>
      </c>
      <c r="DP9" s="1006" t="s">
        <v>733</v>
      </c>
      <c r="DQ9" s="1006" t="s">
        <v>733</v>
      </c>
      <c r="DR9" s="1005" t="s">
        <v>733</v>
      </c>
      <c r="DS9" s="1006"/>
      <c r="DT9" s="1006"/>
      <c r="DU9" s="1006"/>
      <c r="DV9" s="1006"/>
      <c r="DW9" s="1006"/>
      <c r="DX9" s="1006"/>
      <c r="DY9" s="1008"/>
      <c r="DZ9" s="1008"/>
      <c r="EA9" s="1006"/>
      <c r="EH9" s="1012"/>
      <c r="EI9" s="1012"/>
      <c r="EJ9" s="1012"/>
    </row>
    <row r="10" spans="2:140" ht="12.75">
      <c r="B10" s="1003" t="s">
        <v>780</v>
      </c>
      <c r="C10" s="1006"/>
      <c r="D10" s="1006">
        <f>'qtrP&amp;L'!S20</f>
        <v>86.376999999999995</v>
      </c>
      <c r="E10" s="1006">
        <f>'qtrP&amp;L'!S21</f>
        <v>105.99299999999999</v>
      </c>
      <c r="F10" s="1006">
        <f>'qtrP&amp;L'!S22</f>
        <v>126.849</v>
      </c>
      <c r="G10" s="1006">
        <f>'qtrP&amp;L'!S23</f>
        <v>156.37700000000001</v>
      </c>
      <c r="H10" s="1006"/>
      <c r="I10" s="1006">
        <f>'qtrP&amp;L'!W20</f>
        <v>107.943</v>
      </c>
      <c r="J10" s="1006">
        <f>'qtrP&amp;L'!W21</f>
        <v>145.387</v>
      </c>
      <c r="K10" s="1006">
        <f>'qtrP&amp;L'!W22</f>
        <v>162.68799999999999</v>
      </c>
      <c r="L10" s="1006">
        <f>'qtrP&amp;L'!W23</f>
        <v>241.23400000000001</v>
      </c>
      <c r="M10" s="1006"/>
      <c r="N10" s="1006">
        <f>'qtrP&amp;L'!AB20</f>
        <v>149.678</v>
      </c>
      <c r="O10" s="1006">
        <f>'qtrP&amp;L'!AB21</f>
        <v>184.40299999999999</v>
      </c>
      <c r="P10" s="1006">
        <f>'qtrP&amp;L'!AB22</f>
        <v>214.12</v>
      </c>
      <c r="Q10" s="1006">
        <f>'qtrP&amp;L'!AB23</f>
        <v>276.33</v>
      </c>
      <c r="R10" s="1006"/>
      <c r="S10" s="1006">
        <f>'qtrP&amp;L'!AF20</f>
        <v>167.874</v>
      </c>
      <c r="T10" s="1006">
        <f>'qtrP&amp;L'!AF21</f>
        <v>209.46899999999999</v>
      </c>
      <c r="U10" s="1006">
        <f>'qtrP&amp;L'!AF22</f>
        <v>228.16399999999999</v>
      </c>
      <c r="V10" s="1006">
        <f>'qtrP&amp;L'!AF23</f>
        <v>315.13600000000002</v>
      </c>
      <c r="W10" s="1006"/>
      <c r="X10" s="1006">
        <f>'qtrP&amp;L'!AJ20</f>
        <v>185.87</v>
      </c>
      <c r="Y10" s="1006">
        <f>'qtrP&amp;L'!AJ21</f>
        <v>225.86600000000001</v>
      </c>
      <c r="Z10" s="1006">
        <f>'qtrP&amp;L'!AJ22</f>
        <v>231.53100000000001</v>
      </c>
      <c r="AA10" s="1006">
        <f>'qtrP&amp;L'!AJ23</f>
        <v>299.8</v>
      </c>
      <c r="AB10" s="1006"/>
      <c r="AC10" s="1006">
        <f>+'qtrP&amp;L'!$AN$20</f>
        <v>183.511</v>
      </c>
      <c r="AD10" s="1006">
        <f>+'qtrP&amp;L'!$AN$21</f>
        <v>232.548</v>
      </c>
      <c r="AE10" s="1006">
        <f>+'qtrP&amp;L'!$AN$22</f>
        <v>245.727</v>
      </c>
      <c r="AF10" s="1006">
        <f>+'qtrP&amp;L'!$AN$23</f>
        <v>341.64699999999999</v>
      </c>
      <c r="AG10" s="1006"/>
      <c r="AH10" s="1006">
        <f>+'qtrP&amp;L'!$AR$20</f>
        <v>234.31700000000001</v>
      </c>
      <c r="AI10" s="1006">
        <f>'qtrP&amp;L'!AR21</f>
        <v>287.88799999999998</v>
      </c>
      <c r="AJ10" s="1006">
        <f>'qtrP&amp;L'!AR22</f>
        <v>311.18</v>
      </c>
      <c r="AK10" s="1006">
        <f>+'qtrP&amp;L'!$AR$23</f>
        <v>412.61599999999999</v>
      </c>
      <c r="AL10" s="1006"/>
      <c r="AM10" s="1006">
        <f>'qtrP&amp;L'!AV20</f>
        <v>268.05900000000003</v>
      </c>
      <c r="AN10" s="1006">
        <f>'qtrP&amp;L'!AV21</f>
        <v>327.065</v>
      </c>
      <c r="AO10" s="1006">
        <f>'qtrP&amp;L'!AV22</f>
        <v>351.96600000000001</v>
      </c>
      <c r="AP10" s="1006">
        <f>+'qtrP&amp;L'!$AV$23</f>
        <v>506.89</v>
      </c>
      <c r="AQ10" s="1006"/>
      <c r="AR10" s="1006">
        <f>'qtrP&amp;L'!AZ20</f>
        <v>313.92700000000002</v>
      </c>
      <c r="AS10" s="1006">
        <f>'qtrP&amp;L'!AZ21</f>
        <v>386.74200000000002</v>
      </c>
      <c r="AT10" s="1006">
        <f>'qtrP&amp;L'!AZ22</f>
        <v>391.52600000000001</v>
      </c>
      <c r="AU10" s="1006">
        <f>+'qtrP&amp;L'!$AZ$23</f>
        <v>540.08600000000001</v>
      </c>
      <c r="AV10" s="1006"/>
      <c r="AW10" s="1006">
        <f>'qtrP&amp;L'!BD20</f>
        <v>376.63499999999999</v>
      </c>
      <c r="AX10" s="1006">
        <f>'qtrP&amp;L'!BD21</f>
        <v>399.43099999999998</v>
      </c>
      <c r="AY10" s="1006">
        <f>'qtrP&amp;L'!BD22</f>
        <v>444.62400000000002</v>
      </c>
      <c r="AZ10" s="1006">
        <f>'qtrP&amp;L'!BD23</f>
        <v>594.07600000000002</v>
      </c>
      <c r="BA10" s="1006"/>
      <c r="BB10" s="1006">
        <f>'qtrP&amp;L'!$BH$20</f>
        <v>378.07599999999996</v>
      </c>
      <c r="BC10" s="1006">
        <f>'qtrP&amp;L'!$BH$21</f>
        <v>392.9</v>
      </c>
      <c r="BD10" s="1006">
        <f>'qtrP&amp;L'!$BH$22</f>
        <v>431.83600000000001</v>
      </c>
      <c r="BE10" s="1006">
        <f>'qtrP&amp;L'!$BH$23</f>
        <v>564.02700000000004</v>
      </c>
      <c r="BF10" s="1006"/>
      <c r="BG10" s="1006">
        <f>'qtrP&amp;L'!$BL$20</f>
        <v>385.99700000000001</v>
      </c>
      <c r="BH10" s="1006">
        <f>'qtrP&amp;L'!$BL$21</f>
        <v>407.43099999999998</v>
      </c>
      <c r="BI10" s="1006">
        <f>'qtrP&amp;L'!$BL$22</f>
        <v>429.42899999999997</v>
      </c>
      <c r="BJ10" s="1006">
        <f>'qtrP&amp;L'!$BL$23</f>
        <v>540.28639999999996</v>
      </c>
      <c r="BK10" s="1006"/>
      <c r="BL10" s="1005">
        <f>'qtrP&amp;L'!$BP$20</f>
        <v>369.26499999999999</v>
      </c>
      <c r="BM10" s="1006">
        <f>'qtrP&amp;L'!$BP$21</f>
        <v>432.94200000000001</v>
      </c>
      <c r="BN10" s="1006">
        <f>'qtrP&amp;L'!$BP$22</f>
        <v>507.16400000000004</v>
      </c>
      <c r="BO10" s="1006">
        <f>'qtrP&amp;L'!$BP$23</f>
        <v>666.09999999999991</v>
      </c>
      <c r="BP10" s="1006"/>
      <c r="BQ10" s="1006">
        <f>'qtrP&amp;L'!$BT$20</f>
        <v>433.78199999999998</v>
      </c>
      <c r="BR10" s="1006">
        <f>'qtrP&amp;L'!$BT$21</f>
        <v>463.11599999999999</v>
      </c>
      <c r="BS10" s="1006">
        <f>'qtrP&amp;L'!$BT$22</f>
        <v>531.28399999999999</v>
      </c>
      <c r="BT10" s="1006">
        <f>'qtrP&amp;L'!$BT$23</f>
        <v>656.40499999999997</v>
      </c>
      <c r="BU10" s="1006"/>
      <c r="BV10" s="1006">
        <f>'qtrP&amp;L'!$BX$20</f>
        <v>413.44299999999998</v>
      </c>
      <c r="BW10" s="1006">
        <f>'qtrP&amp;L'!$BX$21</f>
        <v>481.81799999999998</v>
      </c>
      <c r="BX10" s="1006">
        <f>'qtrP&amp;L'!$BX$22</f>
        <v>558.42999999999995</v>
      </c>
      <c r="BY10" s="1006">
        <f>'qtrP&amp;L'!$BX$23</f>
        <v>709.48800000000006</v>
      </c>
      <c r="BZ10" s="1006"/>
      <c r="CA10" s="1006">
        <f>'qtrP&amp;L'!$CB$20</f>
        <v>420.28399999999999</v>
      </c>
      <c r="CB10" s="1006">
        <f>'qtrP&amp;L'!$CB$21</f>
        <v>473.048</v>
      </c>
      <c r="CC10" s="1006">
        <f>'qtrP&amp;L'!$CB$22</f>
        <v>538.81799999999998</v>
      </c>
      <c r="CD10" s="1006">
        <f>'qtrP&amp;L'!$CB$23</f>
        <v>696.04300000000001</v>
      </c>
      <c r="CE10" s="1006"/>
      <c r="CF10" s="1006">
        <f>'qtrP&amp;L'!$CF$20</f>
        <v>437.30799999999999</v>
      </c>
      <c r="CG10" s="1006">
        <f>'qtrP&amp;L'!$CF$21</f>
        <v>512.38900000000001</v>
      </c>
      <c r="CH10" s="1006">
        <f>'qtrP&amp;L'!$CF$22</f>
        <v>551.54</v>
      </c>
      <c r="CI10" s="1006">
        <f>'qtrP&amp;L'!$CF$23</f>
        <v>717.87699999999995</v>
      </c>
      <c r="CJ10" s="1006"/>
      <c r="CK10" s="1006">
        <f>'qtrP&amp;L'!$CJ$20</f>
        <v>455.964</v>
      </c>
      <c r="CL10" s="1006">
        <f>'qtrP&amp;L'!$CJ$21</f>
        <v>515.49900000000002</v>
      </c>
      <c r="CM10" s="1006">
        <f>'qtrP&amp;L'!$CJ$22</f>
        <v>562.79300000000001</v>
      </c>
      <c r="CN10" s="1006">
        <f>'qtrP&amp;L'!$CJ$23</f>
        <v>708.74400000000003</v>
      </c>
      <c r="CO10" s="1006"/>
      <c r="CP10" s="1006">
        <f t="array" ref="CP10:CS10">TRANSPOSE('qtrP&amp;L'!CN20:CN23)</f>
        <v>484.01400000000001</v>
      </c>
      <c r="CQ10" s="1006">
        <v>550.22800000000007</v>
      </c>
      <c r="CR10" s="1006">
        <v>585.52</v>
      </c>
      <c r="CS10" s="1006">
        <v>803.60299999999995</v>
      </c>
      <c r="CT10" s="1006"/>
      <c r="CU10" s="1006">
        <f t="array" ref="CU10:CX10">TRANSPOSE('qtrP&amp;L'!CR20:CR23)</f>
        <v>509.22461413083579</v>
      </c>
      <c r="CV10" s="1006">
        <v>584.21834962983462</v>
      </c>
      <c r="CW10" s="1006">
        <v>590.62980102029735</v>
      </c>
      <c r="CX10" s="1006">
        <v>768.55715101962073</v>
      </c>
      <c r="CY10" s="1006"/>
      <c r="CZ10" s="1006">
        <f>'yrP&amp;L'!C11</f>
        <v>227.64800000000002</v>
      </c>
      <c r="DA10" s="1006">
        <f>'yrP&amp;L'!D11</f>
        <v>268.74599999999998</v>
      </c>
      <c r="DB10" s="1006">
        <f>'yrP&amp;L'!E11</f>
        <v>353.089</v>
      </c>
      <c r="DC10" s="1006">
        <f>'yrP&amp;L'!F11</f>
        <v>475.596</v>
      </c>
      <c r="DD10" s="1006">
        <f>'yrP&amp;L'!G11</f>
        <v>657.25199999999995</v>
      </c>
      <c r="DE10" s="1006">
        <f>'yrP&amp;L'!H11</f>
        <v>824.53099999999995</v>
      </c>
      <c r="DF10" s="1006">
        <f>'yrP&amp;L'!I11</f>
        <v>920.64300000000003</v>
      </c>
      <c r="DG10" s="1006">
        <f>'yrP&amp;L'!J11</f>
        <v>885.93899999999996</v>
      </c>
      <c r="DH10" s="1006">
        <f>'yrP&amp;L'!K11</f>
        <v>1008.4589999999999</v>
      </c>
      <c r="DI10" s="1006">
        <f>'yrP&amp;L'!L11</f>
        <v>1244.213</v>
      </c>
      <c r="DJ10" s="1005">
        <f>'yrP&amp;L'!M11</f>
        <v>1453.98</v>
      </c>
      <c r="DK10" s="1008">
        <f>'yrP&amp;L'!N11</f>
        <v>1632.2810000000002</v>
      </c>
      <c r="DL10" s="1005">
        <f>'yrP&amp;L'!O11</f>
        <v>1814.7660000000001</v>
      </c>
      <c r="DM10" s="1006">
        <f>'yrP&amp;L'!P11</f>
        <v>1766.8389999999999</v>
      </c>
      <c r="DN10" s="1004"/>
      <c r="DO10" s="1005">
        <f>'yrP&amp;L'!Q11</f>
        <v>1763.1433999999999</v>
      </c>
      <c r="DP10" s="1006">
        <f>'yrP&amp;L'!R11</f>
        <v>1975.471</v>
      </c>
      <c r="DQ10" s="1006">
        <f>'yrP&amp;L'!S11</f>
        <v>2084.5869999999995</v>
      </c>
      <c r="DR10" s="1005">
        <f>'yrP&amp;L'!T11</f>
        <v>2163.1790000000001</v>
      </c>
      <c r="DS10" s="1006">
        <f>'yrP&amp;L'!U11</f>
        <v>2128.1930000000002</v>
      </c>
      <c r="DT10" s="1006">
        <f>'yrP&amp;L'!V11</f>
        <v>2219.114</v>
      </c>
      <c r="DU10" s="1006">
        <f>'yrP&amp;L'!W11</f>
        <v>2243</v>
      </c>
      <c r="DV10" s="1006">
        <f>'yrP&amp;L'!X11</f>
        <v>2423.3650000000002</v>
      </c>
      <c r="DW10" s="1006">
        <f>'yrP&amp;L'!Y11</f>
        <v>2452.6299158005886</v>
      </c>
      <c r="DX10" s="1006">
        <f>'yrP&amp;L'!Z11</f>
        <v>2500.5499691519494</v>
      </c>
      <c r="DY10" s="1008">
        <f>'yrP&amp;L'!AA11</f>
        <v>2547.9050739408322</v>
      </c>
      <c r="DZ10" s="1008">
        <f>'yrP&amp;L'!AB11</f>
        <v>2552.0344397782437</v>
      </c>
      <c r="EA10" s="1006"/>
      <c r="EH10" s="1012"/>
      <c r="EI10" s="1012"/>
      <c r="EJ10" s="1012"/>
    </row>
    <row r="11" spans="2:140" ht="6" customHeight="1">
      <c r="B11" s="963"/>
      <c r="C11" s="1006"/>
      <c r="D11" s="1006"/>
      <c r="E11" s="1006"/>
      <c r="F11" s="1006"/>
      <c r="G11" s="1006"/>
      <c r="H11" s="1006"/>
      <c r="I11" s="1006"/>
      <c r="J11" s="1006"/>
      <c r="K11" s="1006"/>
      <c r="L11" s="1006"/>
      <c r="M11" s="1006"/>
      <c r="N11" s="1006"/>
      <c r="O11" s="1006"/>
      <c r="P11" s="1006"/>
      <c r="Q11" s="1006"/>
      <c r="R11" s="1006"/>
      <c r="S11" s="1006"/>
      <c r="T11" s="1006"/>
      <c r="U11" s="1006"/>
      <c r="V11" s="1006"/>
      <c r="W11" s="1006"/>
      <c r="X11" s="1006"/>
      <c r="Y11" s="1006"/>
      <c r="Z11" s="1006"/>
      <c r="AA11" s="1006"/>
      <c r="AB11" s="1006"/>
      <c r="AC11" s="1006"/>
      <c r="AD11" s="1006"/>
      <c r="AE11" s="1006"/>
      <c r="AF11" s="1006"/>
      <c r="AG11" s="1006"/>
      <c r="AH11" s="1006"/>
      <c r="AI11" s="1006"/>
      <c r="AJ11" s="1006"/>
      <c r="AK11" s="1006"/>
      <c r="AL11" s="1006"/>
      <c r="AM11" s="1006"/>
      <c r="AN11" s="1006"/>
      <c r="AO11" s="1006"/>
      <c r="AP11" s="1006"/>
      <c r="AQ11" s="1006"/>
      <c r="AR11" s="1006"/>
      <c r="AS11" s="1006"/>
      <c r="AT11" s="1006"/>
      <c r="AU11" s="1006"/>
      <c r="AV11" s="1006"/>
      <c r="AW11" s="1006"/>
      <c r="AX11" s="1006"/>
      <c r="AY11" s="1006"/>
      <c r="AZ11" s="1006"/>
      <c r="BA11" s="1006"/>
      <c r="BB11" s="1006"/>
      <c r="BC11" s="1006"/>
      <c r="BD11" s="1006"/>
      <c r="BE11" s="1006"/>
      <c r="BF11" s="1006"/>
      <c r="BG11" s="1006"/>
      <c r="BH11" s="1006"/>
      <c r="BI11" s="1006"/>
      <c r="BJ11" s="1006"/>
      <c r="BK11" s="1006"/>
      <c r="BL11" s="1005"/>
      <c r="BM11" s="1006"/>
      <c r="BN11" s="1006"/>
      <c r="BO11" s="1012"/>
      <c r="BP11" s="1006"/>
      <c r="BQ11" s="1006"/>
      <c r="BR11" s="1006"/>
      <c r="BS11" s="1006"/>
      <c r="BT11" s="1006"/>
      <c r="BU11" s="1012"/>
      <c r="BV11" s="1012"/>
      <c r="BW11" s="1012"/>
      <c r="BX11" s="1012"/>
      <c r="BY11" s="1012"/>
      <c r="BZ11" s="1012"/>
      <c r="CA11" s="1012"/>
      <c r="CB11" s="1012"/>
      <c r="CC11" s="1012"/>
      <c r="CD11" s="1012"/>
      <c r="CE11" s="1012"/>
      <c r="CF11" s="1012"/>
      <c r="CG11" s="1012"/>
      <c r="CH11" s="1012"/>
      <c r="CI11" s="1012"/>
      <c r="CJ11" s="1012"/>
      <c r="CK11" s="1012"/>
      <c r="CL11" s="1012"/>
      <c r="CM11" s="1012"/>
      <c r="CN11" s="1012"/>
      <c r="CO11" s="1012"/>
      <c r="CP11" s="1012"/>
      <c r="CQ11" s="1012"/>
      <c r="CR11" s="1012"/>
      <c r="CS11" s="1012"/>
      <c r="CT11" s="1012"/>
      <c r="CU11" s="1012"/>
      <c r="CV11" s="1012"/>
      <c r="CW11" s="1012"/>
      <c r="CX11" s="1012"/>
      <c r="CY11" s="1012"/>
      <c r="CZ11" s="1006"/>
      <c r="DA11" s="1006"/>
      <c r="DB11" s="1006"/>
      <c r="DC11" s="1006"/>
      <c r="DD11" s="1006"/>
      <c r="DE11" s="1006"/>
      <c r="DF11" s="1006"/>
      <c r="DG11" s="1006"/>
      <c r="DH11" s="1006"/>
      <c r="DI11" s="1006"/>
      <c r="DJ11" s="1005"/>
      <c r="DK11" s="1008"/>
      <c r="DL11" s="1005"/>
      <c r="DM11" s="1006"/>
      <c r="DO11" s="1005"/>
      <c r="DP11" s="1006"/>
      <c r="DQ11" s="1006"/>
      <c r="DR11" s="1005"/>
      <c r="DS11" s="1006"/>
      <c r="DT11" s="1006"/>
      <c r="DU11" s="1006"/>
      <c r="DV11" s="1006"/>
      <c r="DW11" s="1006"/>
      <c r="DX11" s="1006"/>
      <c r="DY11" s="1008"/>
      <c r="DZ11" s="1008"/>
      <c r="EA11" s="1006"/>
      <c r="EH11" s="1012"/>
      <c r="EI11" s="1012"/>
      <c r="EJ11" s="1012"/>
    </row>
    <row r="12" spans="2:140" ht="12.75">
      <c r="B12" s="1003" t="s">
        <v>781</v>
      </c>
      <c r="C12" s="1006"/>
      <c r="D12" s="1006">
        <f>D8-D10</f>
        <v>59.027000000000001</v>
      </c>
      <c r="E12" s="1006">
        <f>E8-E10</f>
        <v>72.588999999999999</v>
      </c>
      <c r="F12" s="1006">
        <f>F8-F10</f>
        <v>95.844000000000008</v>
      </c>
      <c r="G12" s="1006">
        <f>G8-G10</f>
        <v>129.048</v>
      </c>
      <c r="H12" s="1006"/>
      <c r="I12" s="1006">
        <f>I8-I10</f>
        <v>70.055999999999997</v>
      </c>
      <c r="J12" s="1006">
        <f>J8-J10</f>
        <v>63.59</v>
      </c>
      <c r="K12" s="1006">
        <f>K8-K10</f>
        <v>120.07900000000001</v>
      </c>
      <c r="L12" s="1006">
        <f>L8-L10</f>
        <v>182.49999999999997</v>
      </c>
      <c r="M12" s="1006"/>
      <c r="N12" s="1006">
        <f>N8-N10</f>
        <v>101.87</v>
      </c>
      <c r="O12" s="1006">
        <f>O8-O10</f>
        <v>107.989</v>
      </c>
      <c r="P12" s="1006">
        <f>P8-P10</f>
        <v>149.53899999999999</v>
      </c>
      <c r="Q12" s="1006">
        <f>Q8-Q10</f>
        <v>187.97000000000003</v>
      </c>
      <c r="R12" s="1006"/>
      <c r="S12" s="1006">
        <f>S8-S10</f>
        <v>110.01899999999998</v>
      </c>
      <c r="T12" s="1006">
        <f>T8-T10</f>
        <v>109.73099999999999</v>
      </c>
      <c r="U12" s="1006">
        <f>U8-U10</f>
        <v>146.33000000000004</v>
      </c>
      <c r="V12" s="1006">
        <f>V8-V10</f>
        <v>176.41799999999995</v>
      </c>
      <c r="W12" s="1006"/>
      <c r="X12" s="1006">
        <f>X8-X10</f>
        <v>105.988</v>
      </c>
      <c r="Y12" s="1006">
        <f>Y8-Y10</f>
        <v>111.18899999999999</v>
      </c>
      <c r="Z12" s="1006">
        <f>Z8-Z10</f>
        <v>142.26900000000001</v>
      </c>
      <c r="AA12" s="1006">
        <f>AA8-AA10</f>
        <v>190.77999999999997</v>
      </c>
      <c r="AB12" s="1006"/>
      <c r="AC12" s="1006">
        <f>AC8-AC10</f>
        <v>148.71900000000002</v>
      </c>
      <c r="AD12" s="1006">
        <f>AD8-AD10</f>
        <v>162.85399999999998</v>
      </c>
      <c r="AE12" s="1006">
        <f>AE8-AE10</f>
        <v>233.85799999999998</v>
      </c>
      <c r="AF12" s="1006">
        <f>AF8-AF10</f>
        <v>332.37700000000001</v>
      </c>
      <c r="AG12" s="1006"/>
      <c r="AH12" s="1006">
        <f>AH8-AH10</f>
        <v>222.15999999999997</v>
      </c>
      <c r="AI12" s="1006">
        <f>AI8-AI10</f>
        <v>227.98000000000008</v>
      </c>
      <c r="AJ12" s="1006">
        <f>AJ8-AJ10</f>
        <v>269.36700000000002</v>
      </c>
      <c r="AK12" s="1006">
        <f>AK8-AK10</f>
        <v>356.45400000000006</v>
      </c>
      <c r="AL12" s="1006"/>
      <c r="AM12" s="1006">
        <f>AM8-AM10</f>
        <v>254.36899999999997</v>
      </c>
      <c r="AN12" s="1006">
        <f>AN8-AN10</f>
        <v>275.26100000000002</v>
      </c>
      <c r="AO12" s="1006">
        <f>AO8-AO10</f>
        <v>344.32399999999996</v>
      </c>
      <c r="AP12" s="1006">
        <f>AP8-AP10</f>
        <v>466.47500000000002</v>
      </c>
      <c r="AQ12" s="1006"/>
      <c r="AR12" s="1006">
        <f>AR8-AR10</f>
        <v>298.45899999999995</v>
      </c>
      <c r="AS12" s="1006">
        <f>AS8-AS10</f>
        <v>316.44699999999995</v>
      </c>
      <c r="AT12" s="1006">
        <f>AT8-AT10</f>
        <v>352.91699999999997</v>
      </c>
      <c r="AU12" s="1006">
        <f>AU8-AU10</f>
        <v>455.31499999999994</v>
      </c>
      <c r="AV12" s="1006"/>
      <c r="AW12" s="1006">
        <f>AW8-AW10</f>
        <v>263.66700000000003</v>
      </c>
      <c r="AX12" s="1006">
        <f>AX8-AX10</f>
        <v>289.38400000000007</v>
      </c>
      <c r="AY12" s="1006">
        <f>AY8-AY10</f>
        <v>309.41199999999992</v>
      </c>
      <c r="AZ12" s="1006">
        <f>AZ8-AZ10</f>
        <v>311.63699999999994</v>
      </c>
      <c r="BA12" s="1006"/>
      <c r="BB12" s="1006">
        <f>BB8-BB10</f>
        <v>223.60300000000001</v>
      </c>
      <c r="BC12" s="1006">
        <f>BC8-BC10</f>
        <v>253.89800000000002</v>
      </c>
      <c r="BD12" s="1006">
        <f>BD8-BD10</f>
        <v>304.17499999999995</v>
      </c>
      <c r="BE12" s="1006">
        <f>BE8-BE10</f>
        <v>391.75399999999991</v>
      </c>
      <c r="BF12" s="1006"/>
      <c r="BG12" s="1006">
        <f>BG8-BG10</f>
        <v>259.12299999999999</v>
      </c>
      <c r="BH12" s="1006">
        <f>BH8-BH10</f>
        <v>241.31</v>
      </c>
      <c r="BI12" s="1006">
        <f>BI8-BI10</f>
        <v>315.41999999999996</v>
      </c>
      <c r="BJ12" s="1006">
        <f>BJ8-BJ10</f>
        <v>366.29759999999999</v>
      </c>
      <c r="BK12" s="1006"/>
      <c r="BL12" s="1005">
        <f>BL8-BL10</f>
        <v>233.81900000000007</v>
      </c>
      <c r="BM12" s="1006">
        <f>BM8-BM10</f>
        <v>236.178</v>
      </c>
      <c r="BN12" s="1006">
        <f>BN8-BN10</f>
        <v>312.25499999999994</v>
      </c>
      <c r="BO12" s="1006">
        <f>BO8-BO10</f>
        <v>362.3420000000001</v>
      </c>
      <c r="BP12" s="1006"/>
      <c r="BQ12" s="1006">
        <f>BQ8-BQ10</f>
        <v>274.91300000000007</v>
      </c>
      <c r="BR12" s="1006">
        <f>BR8-BR10</f>
        <v>276.56399999999996</v>
      </c>
      <c r="BS12" s="1006">
        <f>BS8-BS10</f>
        <v>379.09000000000003</v>
      </c>
      <c r="BT12" s="1006">
        <f>BT8-BT10</f>
        <v>460.64800000000014</v>
      </c>
      <c r="BU12" s="1006"/>
      <c r="BV12" s="1006">
        <f>BV8-BV10</f>
        <v>266.03399999999999</v>
      </c>
      <c r="BW12" s="1006">
        <f>BW8-BW10</f>
        <v>245.495</v>
      </c>
      <c r="BX12" s="1006">
        <f>BX8-BX10</f>
        <v>298.875</v>
      </c>
      <c r="BY12" s="1006">
        <f>BY8-BY10</f>
        <v>332.21900000000005</v>
      </c>
      <c r="BZ12" s="1006"/>
      <c r="CA12" s="1006">
        <f>CA8-CA10</f>
        <v>225.84500000000003</v>
      </c>
      <c r="CB12" s="1006">
        <f>CB8-CB10</f>
        <v>237.54700000000003</v>
      </c>
      <c r="CC12" s="1006">
        <f>CC8-CC10</f>
        <v>315.47199999999998</v>
      </c>
      <c r="CD12" s="1006">
        <f>CD8-CD10</f>
        <v>375.81000000000006</v>
      </c>
      <c r="CE12" s="1006"/>
      <c r="CF12" s="1006">
        <f>CF8-CF10</f>
        <v>262.21199999999999</v>
      </c>
      <c r="CG12" s="1006">
        <f>CG8-CG10</f>
        <v>285.03899999999999</v>
      </c>
      <c r="CH12" s="1006">
        <f>CH8-CH10</f>
        <v>367.53200000000004</v>
      </c>
      <c r="CI12" s="1006">
        <f>CI8-CI10</f>
        <v>387.95100000000002</v>
      </c>
      <c r="CJ12" s="1006"/>
      <c r="CK12" s="1006">
        <f>CK8-CK10</f>
        <v>293.45200000000006</v>
      </c>
      <c r="CL12" s="1006">
        <f>CL8-CL10</f>
        <v>307.09500000000003</v>
      </c>
      <c r="CM12" s="1006">
        <f>CM8-CM10</f>
        <v>377.81600000000003</v>
      </c>
      <c r="CN12" s="1006">
        <f>CN8-CN10</f>
        <v>388.50200000000007</v>
      </c>
      <c r="CO12" s="1006"/>
      <c r="CP12" s="1006">
        <f>CP8-CP10</f>
        <v>277.822</v>
      </c>
      <c r="CQ12" s="1006">
        <f>CQ8-CQ10</f>
        <v>294.32899999999995</v>
      </c>
      <c r="CR12" s="1006">
        <f>CR8-CR10</f>
        <v>374.91300000000001</v>
      </c>
      <c r="CS12" s="1006">
        <f>CS8-CS10</f>
        <v>425.12</v>
      </c>
      <c r="CT12" s="1006"/>
      <c r="CU12" s="1006">
        <f>CU8-CU10</f>
        <v>299.06842417207815</v>
      </c>
      <c r="CV12" s="1006">
        <f>CV8-CV10</f>
        <v>327.19873247599162</v>
      </c>
      <c r="CW12" s="1006">
        <f>CW8-CW10</f>
        <v>369.7438591753081</v>
      </c>
      <c r="CX12" s="1006">
        <f>CX8-CX10</f>
        <v>397.69042260651077</v>
      </c>
      <c r="CY12" s="1006"/>
      <c r="CZ12" s="1006">
        <f>CZ8-CZ10</f>
        <v>98.755999999999972</v>
      </c>
      <c r="DA12" s="1006">
        <f>DA8-DA10</f>
        <v>136.96699999999998</v>
      </c>
      <c r="DB12" s="1006">
        <f t="shared" ref="DB12:DG12" si="1">DB8-DB10</f>
        <v>234.51100000000002</v>
      </c>
      <c r="DC12" s="1006">
        <f t="shared" si="1"/>
        <v>356.50800000000004</v>
      </c>
      <c r="DD12" s="1006">
        <f t="shared" si="1"/>
        <v>436.22499999999991</v>
      </c>
      <c r="DE12" s="1006">
        <f t="shared" si="1"/>
        <v>547.36800000000017</v>
      </c>
      <c r="DF12" s="1006">
        <f t="shared" si="1"/>
        <v>542.49800000000005</v>
      </c>
      <c r="DG12" s="1006">
        <f t="shared" si="1"/>
        <v>549.49699999999996</v>
      </c>
      <c r="DH12" s="1006">
        <f t="shared" ref="DH12:DM12" si="2">DH8-DH10</f>
        <v>881.18799999999999</v>
      </c>
      <c r="DI12" s="1006">
        <f t="shared" si="2"/>
        <v>1077.749</v>
      </c>
      <c r="DJ12" s="1005">
        <f t="shared" si="2"/>
        <v>1340.4289999999996</v>
      </c>
      <c r="DK12" s="1008">
        <f t="shared" si="2"/>
        <v>1423.1379999999997</v>
      </c>
      <c r="DL12" s="1005">
        <f t="shared" si="2"/>
        <v>1174.0999999999999</v>
      </c>
      <c r="DM12" s="1006">
        <f t="shared" si="2"/>
        <v>1173.4299999999998</v>
      </c>
      <c r="DN12" s="1004"/>
      <c r="DO12" s="1005">
        <f t="shared" ref="DO12:DT12" si="3">DO8-DO10</f>
        <v>1182.1505999999999</v>
      </c>
      <c r="DP12" s="1006">
        <f t="shared" si="3"/>
        <v>1144.5940000000001</v>
      </c>
      <c r="DQ12" s="1006">
        <f t="shared" si="3"/>
        <v>1391.2150000000001</v>
      </c>
      <c r="DR12" s="1005">
        <f t="shared" si="3"/>
        <v>1142.6229999999996</v>
      </c>
      <c r="DS12" s="1006">
        <f t="shared" si="3"/>
        <v>1154.674</v>
      </c>
      <c r="DT12" s="1006">
        <f t="shared" si="3"/>
        <v>1302.7339999999999</v>
      </c>
      <c r="DU12" s="1006">
        <f t="shared" ref="DU12:DZ12" si="4">DU8-DU10</f>
        <v>1366.8650000000002</v>
      </c>
      <c r="DV12" s="1006">
        <f t="shared" si="4"/>
        <v>1372.1839999999997</v>
      </c>
      <c r="DW12" s="1006">
        <f t="shared" si="4"/>
        <v>1393.7014384298882</v>
      </c>
      <c r="DX12" s="1006">
        <f t="shared" si="4"/>
        <v>1412.6737697399899</v>
      </c>
      <c r="DY12" s="1008">
        <f t="shared" si="4"/>
        <v>1426.9858370433053</v>
      </c>
      <c r="DZ12" s="1008">
        <f t="shared" si="4"/>
        <v>1423.0970863560924</v>
      </c>
      <c r="EA12" s="1006"/>
      <c r="EH12" s="1012"/>
      <c r="EI12" s="1012"/>
      <c r="EJ12" s="1012"/>
    </row>
    <row r="13" spans="2:140" ht="12.75">
      <c r="B13" s="1013" t="s">
        <v>782</v>
      </c>
      <c r="C13" s="1013"/>
      <c r="D13" s="1013">
        <f>'qtrP&amp;L'!S30</f>
        <v>37.107999999999997</v>
      </c>
      <c r="E13" s="1013">
        <f>'qtrP&amp;L'!S31</f>
        <v>42.692999999999998</v>
      </c>
      <c r="F13" s="1013">
        <f>'qtrP&amp;L'!S32</f>
        <v>53.707999999999998</v>
      </c>
      <c r="G13" s="1013">
        <f>'qtrP&amp;L'!S33</f>
        <v>61.286000000000001</v>
      </c>
      <c r="H13" s="1013"/>
      <c r="I13" s="1013">
        <f>'qtrP&amp;L'!W30</f>
        <v>46.707000000000001</v>
      </c>
      <c r="J13" s="1013">
        <f>'qtrP&amp;L'!W31</f>
        <v>55.015999999999998</v>
      </c>
      <c r="K13" s="1013">
        <f>'qtrP&amp;L'!W32</f>
        <v>67.644000000000005</v>
      </c>
      <c r="L13" s="1013">
        <f>'qtrP&amp;L'!W33</f>
        <v>97.106999999999999</v>
      </c>
      <c r="M13" s="1013"/>
      <c r="N13" s="1013">
        <f>'qtrP&amp;L'!AB30</f>
        <v>69.614999999999995</v>
      </c>
      <c r="O13" s="1013">
        <f>'qtrP&amp;L'!AB31</f>
        <v>75.284000000000006</v>
      </c>
      <c r="P13" s="1013">
        <f>'qtrP&amp;L'!AB32</f>
        <v>88.61</v>
      </c>
      <c r="Q13" s="1013">
        <f>'qtrP&amp;L'!AB33</f>
        <v>105.511</v>
      </c>
      <c r="R13" s="1013"/>
      <c r="S13" s="1013">
        <f>'qtrP&amp;L'!AF30</f>
        <v>78.138999999999996</v>
      </c>
      <c r="T13" s="1013">
        <f>'qtrP&amp;L'!AF31</f>
        <v>81.153999999999996</v>
      </c>
      <c r="U13" s="1013">
        <f>'qtrP&amp;L'!AF32</f>
        <v>89.844999999999999</v>
      </c>
      <c r="V13" s="1013">
        <f>'qtrP&amp;L'!AF33</f>
        <v>101.614</v>
      </c>
      <c r="W13" s="1013"/>
      <c r="X13" s="1013">
        <f>'qtrP&amp;L'!AJ30</f>
        <v>82.855999999999995</v>
      </c>
      <c r="Y13" s="1013">
        <f>'qtrP&amp;L'!AJ31</f>
        <v>84.825999999999993</v>
      </c>
      <c r="Z13" s="1013">
        <f>'qtrP&amp;L'!AJ32</f>
        <v>98.731999999999999</v>
      </c>
      <c r="AA13" s="1013">
        <f>'qtrP&amp;L'!AJ33</f>
        <v>105.782</v>
      </c>
      <c r="AB13" s="1013"/>
      <c r="AC13" s="1013">
        <f>+'qtrP&amp;L'!$AN$30</f>
        <v>89.85</v>
      </c>
      <c r="AD13" s="1013">
        <f>+'qtrP&amp;L'!$AN$31</f>
        <v>94.950999999999993</v>
      </c>
      <c r="AE13" s="1013">
        <f>+'qtrP&amp;L'!$AN$32</f>
        <v>119.642</v>
      </c>
      <c r="AF13" s="1013">
        <f>+'qtrP&amp;L'!$AN$33</f>
        <v>142.386</v>
      </c>
      <c r="AG13" s="1013"/>
      <c r="AH13" s="1013">
        <f>+'qtrP&amp;L'!$AR$30</f>
        <v>117.089</v>
      </c>
      <c r="AI13" s="1013">
        <f>'qtrP&amp;L'!AR31</f>
        <v>123.774</v>
      </c>
      <c r="AJ13" s="1013">
        <f>+'qtrP&amp;L'!$AR$32</f>
        <v>137.78299999999999</v>
      </c>
      <c r="AK13" s="1013">
        <f>+'qtrP&amp;L'!$AR$33</f>
        <v>164.202</v>
      </c>
      <c r="AL13" s="1013"/>
      <c r="AM13" s="1013">
        <f>+'qtrP&amp;L'!$AV$30</f>
        <v>134.66900000000001</v>
      </c>
      <c r="AN13" s="1013">
        <f>'qtrP&amp;L'!AV31</f>
        <v>142.77199999999999</v>
      </c>
      <c r="AO13" s="1013">
        <f>+'qtrP&amp;L'!$AV$32</f>
        <v>170.43100000000001</v>
      </c>
      <c r="AP13" s="1013">
        <f>+'qtrP&amp;L'!$AV$33</f>
        <v>217.73500000000001</v>
      </c>
      <c r="AQ13" s="1013"/>
      <c r="AR13" s="1013">
        <f>+'qtrP&amp;L'!$AZ$30</f>
        <v>156.989</v>
      </c>
      <c r="AS13" s="1013">
        <f>'qtrP&amp;L'!AZ31</f>
        <v>166.386</v>
      </c>
      <c r="AT13" s="1013">
        <f>+'qtrP&amp;L'!$AZ$32</f>
        <v>174.161</v>
      </c>
      <c r="AU13" s="1013">
        <f>+'qtrP&amp;L'!$AZ$33</f>
        <v>217.64400000000001</v>
      </c>
      <c r="AV13" s="1013"/>
      <c r="AW13" s="1013">
        <f>'qtrP&amp;L'!BD30</f>
        <v>169.63800000000001</v>
      </c>
      <c r="AX13" s="1013">
        <f>'qtrP&amp;L'!BD31</f>
        <v>167.898</v>
      </c>
      <c r="AY13" s="1013">
        <f>'qtrP&amp;L'!BD32</f>
        <v>181.715</v>
      </c>
      <c r="AZ13" s="1013">
        <f>'qtrP&amp;L'!BD33</f>
        <v>214.79000000000002</v>
      </c>
      <c r="BA13" s="1013"/>
      <c r="BB13" s="1013">
        <f>'qtrP&amp;L'!$BH$30</f>
        <v>151.78800000000001</v>
      </c>
      <c r="BC13" s="1013">
        <f>'qtrP&amp;L'!$BH$31</f>
        <v>160.858</v>
      </c>
      <c r="BD13" s="1013">
        <f>'qtrP&amp;L'!$BH$32</f>
        <v>184.94800000000001</v>
      </c>
      <c r="BE13" s="1013">
        <f>'qtrP&amp;L'!$BH$33</f>
        <v>227.684</v>
      </c>
      <c r="BF13" s="1013"/>
      <c r="BG13" s="1013">
        <f>'qtrP&amp;L'!$BL$30</f>
        <v>167.06700000000001</v>
      </c>
      <c r="BH13" s="1013">
        <f>'qtrP&amp;L'!$BL$31</f>
        <v>163.74099999999999</v>
      </c>
      <c r="BI13" s="1013">
        <f>'qtrP&amp;L'!$BL$32</f>
        <v>181.54100000000003</v>
      </c>
      <c r="BJ13" s="1013">
        <f>'qtrP&amp;L'!$BL$33</f>
        <v>190.57499999999999</v>
      </c>
      <c r="BK13" s="1013"/>
      <c r="BL13" s="1015">
        <f>'qtrP&amp;L'!$BP$30</f>
        <v>155.25200000000001</v>
      </c>
      <c r="BM13" s="1013">
        <f>'qtrP&amp;L'!$BP$31</f>
        <v>163.113</v>
      </c>
      <c r="BN13" s="1013">
        <f>'qtrP&amp;L'!$BP$32</f>
        <v>185.68700000000001</v>
      </c>
      <c r="BO13" s="1013">
        <f>'qtrP&amp;L'!$BP$33</f>
        <v>208.535</v>
      </c>
      <c r="BP13" s="1013"/>
      <c r="BQ13" s="1013">
        <f>'qtrP&amp;L'!$BT$30</f>
        <v>178.53899999999999</v>
      </c>
      <c r="BR13" s="1013">
        <f>'qtrP&amp;L'!$BT$31</f>
        <v>177.75800000000001</v>
      </c>
      <c r="BS13" s="1013">
        <f>'qtrP&amp;L'!$BT$32</f>
        <v>219.12799999999999</v>
      </c>
      <c r="BT13" s="1013">
        <f>'qtrP&amp;L'!$BT$33</f>
        <v>253.13</v>
      </c>
      <c r="BU13" s="1013"/>
      <c r="BV13" s="1013">
        <f>'qtrP&amp;L'!BX30</f>
        <v>180.74100000000001</v>
      </c>
      <c r="BW13" s="1013">
        <f>'qtrP&amp;L'!BX31</f>
        <v>186.33600000000001</v>
      </c>
      <c r="BX13" s="1013">
        <f>'qtrP&amp;L'!BX32</f>
        <v>205.72499999999999</v>
      </c>
      <c r="BY13" s="1013">
        <f>'qtrP&amp;L'!BX33</f>
        <v>215.863</v>
      </c>
      <c r="BZ13" s="1013"/>
      <c r="CA13" s="1013">
        <f>'qtrP&amp;L'!CB30</f>
        <v>185.05799999999999</v>
      </c>
      <c r="CB13" s="1013">
        <f>'qtrP&amp;L'!CB31</f>
        <v>190.078</v>
      </c>
      <c r="CC13" s="1013">
        <f>'qtrP&amp;L'!CB32</f>
        <v>204.64099999999999</v>
      </c>
      <c r="CD13" s="1013">
        <f>'qtrP&amp;L'!CB33</f>
        <v>226.721</v>
      </c>
      <c r="CE13" s="1013"/>
      <c r="CF13" s="1013">
        <f>'qtrP&amp;L'!CF30</f>
        <v>185.09100000000001</v>
      </c>
      <c r="CG13" s="1013">
        <f>'qtrP&amp;L'!CF31</f>
        <v>195.791</v>
      </c>
      <c r="CH13" s="1013">
        <f>'qtrP&amp;L'!CF32</f>
        <v>220.798</v>
      </c>
      <c r="CI13" s="1013">
        <f>'qtrP&amp;L'!CF33</f>
        <v>233.02</v>
      </c>
      <c r="CJ13" s="1013"/>
      <c r="CK13" s="1013">
        <f>'qtrP&amp;L'!CJ30</f>
        <v>195.99299999999999</v>
      </c>
      <c r="CL13" s="1013">
        <f>'qtrP&amp;L'!CJ31</f>
        <v>199.536</v>
      </c>
      <c r="CM13" s="1013">
        <f>'qtrP&amp;L'!CJ32</f>
        <v>219.91200000000001</v>
      </c>
      <c r="CN13" s="1013">
        <f>'qtrP&amp;L'!CJ33</f>
        <v>242.059</v>
      </c>
      <c r="CO13" s="1013"/>
      <c r="CP13" s="1013">
        <f t="array" ref="CP13:CS13">TRANSPOSE('qtrP&amp;L'!CN30:CN33)</f>
        <v>194.97900000000001</v>
      </c>
      <c r="CQ13" s="1013">
        <v>203.71700000000001</v>
      </c>
      <c r="CR13" s="1013">
        <v>217.14599999999999</v>
      </c>
      <c r="CS13" s="1013">
        <v>263.84300000000002</v>
      </c>
      <c r="CT13" s="1013"/>
      <c r="CU13" s="1013">
        <f t="array" ref="CU13:CX13">TRANSPOSE('qtrP&amp;L'!CR30:CR33)</f>
        <v>202.88155261403139</v>
      </c>
      <c r="CV13" s="1013">
        <v>210.53734596644588</v>
      </c>
      <c r="CW13" s="1013">
        <v>225.68781014596726</v>
      </c>
      <c r="CX13" s="1013">
        <v>256.5744661977489</v>
      </c>
      <c r="CY13" s="1013"/>
      <c r="CZ13" s="1013">
        <f>'yrP&amp;L'!C19</f>
        <v>83.81</v>
      </c>
      <c r="DA13" s="1013">
        <f>'yrP&amp;L'!D19</f>
        <v>98.528999999999996</v>
      </c>
      <c r="DB13" s="1013">
        <f>'yrP&amp;L'!E19</f>
        <v>138.84700000000001</v>
      </c>
      <c r="DC13" s="1013">
        <f>'yrP&amp;L'!F19</f>
        <v>194.79499999999999</v>
      </c>
      <c r="DD13" s="1013">
        <f>'yrP&amp;L'!G19</f>
        <v>266.47400000000005</v>
      </c>
      <c r="DE13" s="1013">
        <f>'yrP&amp;L'!H19</f>
        <v>339.02</v>
      </c>
      <c r="DF13" s="1013">
        <f>'yrP&amp;L'!I19</f>
        <v>350.75200000000001</v>
      </c>
      <c r="DG13" s="1013">
        <f>'yrP&amp;L'!J19</f>
        <v>356.26100000000002</v>
      </c>
      <c r="DH13" s="1013">
        <f>'yrP&amp;L'!K19</f>
        <v>450.77699999999999</v>
      </c>
      <c r="DI13" s="1013">
        <f>'yrP&amp;L'!L19</f>
        <v>540.33199999999999</v>
      </c>
      <c r="DJ13" s="1015">
        <f>'yrP&amp;L'!M19</f>
        <v>665.60700000000008</v>
      </c>
      <c r="DK13" s="1016">
        <f>'yrP&amp;L'!N19</f>
        <v>715.18000000000006</v>
      </c>
      <c r="DL13" s="1015">
        <f>'yrP&amp;L'!O19</f>
        <v>734.04099999999994</v>
      </c>
      <c r="DM13" s="1013">
        <f>'yrP&amp;L'!P19</f>
        <v>725.27800000000002</v>
      </c>
      <c r="DN13" s="1014"/>
      <c r="DO13" s="1015">
        <f>'yrP&amp;L'!Q19</f>
        <v>702.92399999999998</v>
      </c>
      <c r="DP13" s="1013">
        <f>'yrP&amp;L'!R19</f>
        <v>712.58699999999999</v>
      </c>
      <c r="DQ13" s="1013">
        <f>'yrP&amp;L'!S19</f>
        <v>828.55499999999995</v>
      </c>
      <c r="DR13" s="1015">
        <f>'yrP&amp;L'!T19</f>
        <v>788.66499999999996</v>
      </c>
      <c r="DS13" s="1013">
        <f>'yrP&amp;L'!U19</f>
        <v>806.49799999999993</v>
      </c>
      <c r="DT13" s="1013">
        <f>'yrP&amp;L'!V19</f>
        <v>834.7</v>
      </c>
      <c r="DU13" s="1013">
        <f>'yrP&amp;L'!W19</f>
        <v>857.5</v>
      </c>
      <c r="DV13" s="1013">
        <f>'yrP&amp;L'!X19</f>
        <v>879.68499999999995</v>
      </c>
      <c r="DW13" s="1013">
        <f>'yrP&amp;L'!Y19</f>
        <v>895.68117492419356</v>
      </c>
      <c r="DX13" s="1013">
        <f>'yrP&amp;L'!Z19</f>
        <v>913.34642065737864</v>
      </c>
      <c r="DY13" s="1016">
        <f>'yrP&amp;L'!AA19</f>
        <v>933.30438589907556</v>
      </c>
      <c r="DZ13" s="1016">
        <f>'yrP&amp;L'!AB19</f>
        <v>939.72109277815707</v>
      </c>
      <c r="EA13" s="1013"/>
      <c r="EH13" s="1012"/>
      <c r="EI13" s="1012"/>
      <c r="EJ13" s="1012"/>
    </row>
    <row r="14" spans="2:140" ht="12.75" hidden="1" outlineLevel="1">
      <c r="B14" s="1013" t="s">
        <v>660</v>
      </c>
      <c r="C14" s="1013"/>
      <c r="D14" s="1013"/>
      <c r="E14" s="1013"/>
      <c r="F14" s="1013"/>
      <c r="G14" s="1013"/>
      <c r="H14" s="1013"/>
      <c r="I14" s="1013"/>
      <c r="J14" s="1013"/>
      <c r="K14" s="1013"/>
      <c r="L14" s="1013"/>
      <c r="M14" s="1013"/>
      <c r="N14" s="1013"/>
      <c r="O14" s="1013"/>
      <c r="P14" s="1013"/>
      <c r="Q14" s="1013"/>
      <c r="R14" s="1013"/>
      <c r="S14" s="1013"/>
      <c r="T14" s="1013"/>
      <c r="U14" s="1013"/>
      <c r="V14" s="1013"/>
      <c r="W14" s="1013"/>
      <c r="X14" s="1018">
        <f>'qtrP&amp;L'!$AJ40</f>
        <v>5.5737436588535418</v>
      </c>
      <c r="Y14" s="1018">
        <f>'qtrP&amp;L'!$AJ41</f>
        <v>5.5737436588535418</v>
      </c>
      <c r="Z14" s="1018">
        <f>'qtrP&amp;L'!$AJ42</f>
        <v>5.5737436588535418</v>
      </c>
      <c r="AA14" s="1018">
        <f>'qtrP&amp;L'!$AJ43</f>
        <v>5.5737436588535418</v>
      </c>
      <c r="AB14" s="1018"/>
      <c r="AC14" s="1018">
        <f>'qtrP&amp;L'!$AN40</f>
        <v>3.945531018097328</v>
      </c>
      <c r="AD14" s="1018">
        <f>'qtrP&amp;L'!$AN41</f>
        <v>3.945531018097328</v>
      </c>
      <c r="AE14" s="1018">
        <f>'qtrP&amp;L'!$AN42</f>
        <v>3.945531018097328</v>
      </c>
      <c r="AF14" s="1018">
        <f>'qtrP&amp;L'!$AN43</f>
        <v>3.945531018097328</v>
      </c>
      <c r="AG14" s="1013"/>
      <c r="AH14" s="1018">
        <f>'qtrP&amp;L'!$AR40</f>
        <v>4.5</v>
      </c>
      <c r="AI14" s="1018">
        <f>'qtrP&amp;L'!$AR41</f>
        <v>4.5</v>
      </c>
      <c r="AJ14" s="1018">
        <f>'qtrP&amp;L'!$AR42</f>
        <v>4.5</v>
      </c>
      <c r="AK14" s="1018">
        <f>'qtrP&amp;L'!$AR43</f>
        <v>4.5</v>
      </c>
      <c r="AL14" s="1013"/>
      <c r="AM14" s="1018">
        <f>'qtrP&amp;L'!$AV40</f>
        <v>3.6</v>
      </c>
      <c r="AN14" s="1018">
        <f>'qtrP&amp;L'!$AV41</f>
        <v>1.8069780000000002</v>
      </c>
      <c r="AO14" s="1018">
        <f>'qtrP&amp;L'!$AV42</f>
        <v>3.3</v>
      </c>
      <c r="AP14" s="1018">
        <f>'qtrP&amp;L'!$AV43</f>
        <v>3.8930220000000002</v>
      </c>
      <c r="AQ14" s="1013"/>
      <c r="AR14" s="1018">
        <f>'qtrP&amp;L'!$AZ40</f>
        <v>3.6</v>
      </c>
      <c r="AS14" s="1018">
        <f>'qtrP&amp;L'!$AZ41</f>
        <v>1.8069780000000002</v>
      </c>
      <c r="AT14" s="1018">
        <f>'qtrP&amp;L'!$AZ42</f>
        <v>3.3</v>
      </c>
      <c r="AU14" s="1018">
        <f>'qtrP&amp;L'!$AZ43</f>
        <v>3.8930220000000002</v>
      </c>
      <c r="AV14" s="1018"/>
      <c r="AW14" s="1018">
        <f>'qtrP&amp;L'!BD40</f>
        <v>3.6</v>
      </c>
      <c r="AX14" s="1018">
        <f>'qtrP&amp;L'!BD41</f>
        <v>1.8069780000000002</v>
      </c>
      <c r="AY14" s="1018">
        <f>'qtrP&amp;L'!BD42</f>
        <v>3.3</v>
      </c>
      <c r="AZ14" s="1018">
        <f>'qtrP&amp;L'!BD43</f>
        <v>3.8930220000000002</v>
      </c>
      <c r="BA14" s="1018"/>
      <c r="BB14" s="1018">
        <f>'qtrP&amp;L'!BH40</f>
        <v>3.6</v>
      </c>
      <c r="BC14" s="1018">
        <f>'qtrP&amp;L'!BH41</f>
        <v>1.8069780000000002</v>
      </c>
      <c r="BD14" s="1018">
        <f>'qtrP&amp;L'!BH42</f>
        <v>3.3</v>
      </c>
      <c r="BE14" s="1018">
        <f>'qtrP&amp;L'!BH43</f>
        <v>3.8930220000000002</v>
      </c>
      <c r="BF14" s="1018"/>
      <c r="BG14" s="1018">
        <f>'qtrP&amp;L'!BM40</f>
        <v>0.5580357142857143</v>
      </c>
      <c r="BH14" s="1018">
        <f>'qtrP&amp;L'!BM41</f>
        <v>0.27853611842013998</v>
      </c>
      <c r="BI14" s="1018">
        <f>'qtrP&amp;L'!BM42</f>
        <v>0.44304281807453588</v>
      </c>
      <c r="BJ14" s="1018">
        <f>'qtrP&amp;L'!BM43</f>
        <v>0.42941657915868803</v>
      </c>
      <c r="BK14" s="1018"/>
      <c r="BL14" s="1017">
        <f>'qtrP&amp;L'!BR40</f>
        <v>0</v>
      </c>
      <c r="BM14" s="1018">
        <f>'qtrP&amp;L'!BR41</f>
        <v>0</v>
      </c>
      <c r="BN14" s="1018">
        <f>'qtrP&amp;L'!BR42</f>
        <v>0</v>
      </c>
      <c r="BO14" s="1018">
        <f>'qtrP&amp;L'!BR43</f>
        <v>0</v>
      </c>
      <c r="BP14" s="1018"/>
      <c r="BQ14" s="1018">
        <f>'qtrP&amp;L'!BT40</f>
        <v>3.6</v>
      </c>
      <c r="BR14" s="1018">
        <f>'qtrP&amp;L'!BT41</f>
        <v>1.8069780000000002</v>
      </c>
      <c r="BS14" s="1018">
        <f>'qtrP&amp;L'!BT42</f>
        <v>3.3</v>
      </c>
      <c r="BT14" s="1018">
        <f>'qtrP&amp;L'!BT43</f>
        <v>3.8930220000000002</v>
      </c>
      <c r="BU14" s="1013"/>
      <c r="BV14" s="1018">
        <f>'qtrP&amp;L'!BX40</f>
        <v>3.6</v>
      </c>
      <c r="BW14" s="1018">
        <f>'qtrP&amp;L'!BX41</f>
        <v>1.8069780000000002</v>
      </c>
      <c r="BX14" s="1018">
        <f>'qtrP&amp;L'!BX42</f>
        <v>3.3</v>
      </c>
      <c r="BY14" s="1018">
        <f>'qtrP&amp;L'!BX43</f>
        <v>3.8930220000000002</v>
      </c>
      <c r="BZ14" s="1013"/>
      <c r="CA14" s="1018">
        <f>'qtrP&amp;L'!CC40</f>
        <v>0.55716428143606</v>
      </c>
      <c r="CB14" s="1018">
        <f>'qtrP&amp;L'!CC41</f>
        <v>0.25429084077428071</v>
      </c>
      <c r="CC14" s="1018">
        <f>'qtrP&amp;L'!CC42</f>
        <v>0.38628568752999565</v>
      </c>
      <c r="CD14" s="1018">
        <f>'qtrP&amp;L'!CC43</f>
        <v>0.36320484245507545</v>
      </c>
      <c r="CE14" s="1013"/>
      <c r="CF14" s="1018">
        <f>'qtrP&amp;L'!CH40</f>
        <v>0</v>
      </c>
      <c r="CG14" s="1018">
        <f>'qtrP&amp;L'!CH41</f>
        <v>0</v>
      </c>
      <c r="CH14" s="1018">
        <f>'qtrP&amp;L'!CH42</f>
        <v>0</v>
      </c>
      <c r="CI14" s="1018">
        <f>'qtrP&amp;L'!CH43</f>
        <v>0</v>
      </c>
      <c r="CJ14" s="1013"/>
      <c r="CK14" s="1018">
        <f>'qtrP&amp;L'!CM40</f>
        <v>0</v>
      </c>
      <c r="CL14" s="1018">
        <f>'qtrP&amp;L'!CM41</f>
        <v>0</v>
      </c>
      <c r="CM14" s="1018">
        <f>'qtrP&amp;L'!CM42</f>
        <v>0</v>
      </c>
      <c r="CN14" s="1018">
        <f>'qtrP&amp;L'!CM43</f>
        <v>0</v>
      </c>
      <c r="CO14" s="1013"/>
      <c r="CP14" s="1018">
        <f>'qtrP&amp;L'!DJ40</f>
        <v>0</v>
      </c>
      <c r="CQ14" s="1018">
        <f>'qtrP&amp;L'!DJ41</f>
        <v>0</v>
      </c>
      <c r="CR14" s="1018">
        <f>'qtrP&amp;L'!DJ42</f>
        <v>0</v>
      </c>
      <c r="CS14" s="1018">
        <f>'qtrP&amp;L'!DJ43</f>
        <v>0</v>
      </c>
      <c r="CT14" s="1018"/>
      <c r="CU14" s="1018"/>
      <c r="CV14" s="1018"/>
      <c r="CW14" s="1018"/>
      <c r="CX14" s="1018"/>
      <c r="CY14" s="1013"/>
      <c r="CZ14" s="1013"/>
      <c r="DA14" s="1013"/>
      <c r="DB14" s="1013"/>
      <c r="DC14" s="1013"/>
      <c r="DD14" s="1013"/>
      <c r="DE14" s="1018">
        <f>'yrP&amp;L'!H25</f>
        <v>18.906605289350193</v>
      </c>
      <c r="DF14" s="1018">
        <f>'yrP&amp;L'!I25</f>
        <v>12.780885344001803</v>
      </c>
      <c r="DG14" s="1018">
        <f>'yrP&amp;L'!J25</f>
        <v>22.294974635414167</v>
      </c>
      <c r="DH14" s="1018">
        <f>'yrP&amp;L'!K25</f>
        <v>15.782124072389312</v>
      </c>
      <c r="DI14" s="1018">
        <f>'yrP&amp;L'!L25</f>
        <v>18</v>
      </c>
      <c r="DJ14" s="1017">
        <f>'yrP&amp;L'!M25</f>
        <v>12.6</v>
      </c>
      <c r="DK14" s="1016">
        <f>'yrP&amp;L'!N25</f>
        <v>12.6</v>
      </c>
      <c r="DL14" s="1015">
        <f>'yrP&amp;L'!O25</f>
        <v>12.6</v>
      </c>
      <c r="DM14" s="1013">
        <f>'yrP&amp;L'!P25</f>
        <v>12.6</v>
      </c>
      <c r="DN14" s="1014"/>
      <c r="DO14" s="1015">
        <f>'yrP&amp;L'!Q25</f>
        <v>12.6</v>
      </c>
      <c r="DP14" s="1013">
        <f>'yrP&amp;L'!R25</f>
        <v>12.6</v>
      </c>
      <c r="DQ14" s="1013">
        <f>'yrP&amp;L'!S25</f>
        <v>12.6</v>
      </c>
      <c r="DR14" s="1015">
        <f>'yrP&amp;L'!T25</f>
        <v>12.6</v>
      </c>
      <c r="DS14" s="1013">
        <f>'yrP&amp;L'!U25</f>
        <v>12.6</v>
      </c>
      <c r="DT14" s="1013">
        <f>'yrP&amp;L'!V25</f>
        <v>12.6</v>
      </c>
      <c r="DU14" s="1013">
        <f>'yrP&amp;L'!W25</f>
        <v>12.6</v>
      </c>
      <c r="DV14" s="1013">
        <f>'yrP&amp;L'!X25</f>
        <v>12.6</v>
      </c>
      <c r="DW14" s="1013">
        <f>'yrP&amp;L'!Y25</f>
        <v>12.6</v>
      </c>
      <c r="DX14" s="1013">
        <f>'yrP&amp;L'!Z25</f>
        <v>12.6</v>
      </c>
      <c r="DY14" s="1016">
        <f>'yrP&amp;L'!AA25</f>
        <v>12.6</v>
      </c>
      <c r="DZ14" s="1016">
        <f>'yrP&amp;L'!AB25</f>
        <v>12.6</v>
      </c>
      <c r="EA14" s="1013"/>
      <c r="EH14" s="1012"/>
      <c r="EI14" s="1012"/>
      <c r="EJ14" s="1012"/>
    </row>
    <row r="15" spans="2:140" ht="12.75" collapsed="1">
      <c r="B15" s="1013" t="s">
        <v>783</v>
      </c>
      <c r="C15" s="1013"/>
      <c r="D15" s="1013">
        <f>'qtrP&amp;L'!S50</f>
        <v>2.484</v>
      </c>
      <c r="E15" s="1013">
        <f>'qtrP&amp;L'!S51</f>
        <v>2.7530000000000001</v>
      </c>
      <c r="F15" s="1013">
        <f>'qtrP&amp;L'!S52</f>
        <v>3.1930000000000001</v>
      </c>
      <c r="G15" s="1013">
        <f>'qtrP&amp;L'!S53</f>
        <v>3.7690000000000001</v>
      </c>
      <c r="H15" s="1013"/>
      <c r="I15" s="1013">
        <f>'qtrP&amp;L'!W50</f>
        <v>4.2910000000000004</v>
      </c>
      <c r="J15" s="1013">
        <f>'qtrP&amp;L'!W51</f>
        <v>4.952</v>
      </c>
      <c r="K15" s="1013">
        <f>'qtrP&amp;L'!W52</f>
        <v>5.7089999999999996</v>
      </c>
      <c r="L15" s="1013">
        <f>'qtrP&amp;L'!W53</f>
        <v>8.2479999999999993</v>
      </c>
      <c r="M15" s="1013"/>
      <c r="N15" s="1013">
        <f>'qtrP&amp;L'!AB50</f>
        <v>8.0980000000000008</v>
      </c>
      <c r="O15" s="1013">
        <f>'qtrP&amp;L'!AB51</f>
        <v>9.8510000000000009</v>
      </c>
      <c r="P15" s="1013">
        <f>'qtrP&amp;L'!AB52</f>
        <v>11.403</v>
      </c>
      <c r="Q15" s="1013">
        <f>'qtrP&amp;L'!AB53</f>
        <v>12.523</v>
      </c>
      <c r="R15" s="1013"/>
      <c r="S15" s="1013">
        <f>'qtrP&amp;L'!AF50</f>
        <v>11.958</v>
      </c>
      <c r="T15" s="1013">
        <f>'qtrP&amp;L'!AF51</f>
        <v>12.487</v>
      </c>
      <c r="U15" s="1013">
        <f>'qtrP&amp;L'!AF52</f>
        <v>12.968999999999999</v>
      </c>
      <c r="V15" s="1013">
        <f>'qtrP&amp;L'!AF53</f>
        <v>13.247</v>
      </c>
      <c r="W15" s="1013"/>
      <c r="X15" s="1013">
        <f>'qtrP&amp;L'!AJ50</f>
        <v>13.416</v>
      </c>
      <c r="Y15" s="1013">
        <f>'qtrP&amp;L'!AJ51</f>
        <v>13.763</v>
      </c>
      <c r="Z15" s="1013">
        <f>'qtrP&amp;L'!AJ52</f>
        <v>14.372999999999999</v>
      </c>
      <c r="AA15" s="1013">
        <f>'qtrP&amp;L'!AJ53</f>
        <v>15.704000000000001</v>
      </c>
      <c r="AB15" s="1013"/>
      <c r="AC15" s="1013">
        <f>+'qtrP&amp;L'!$AN$50</f>
        <v>15.738</v>
      </c>
      <c r="AD15" s="1013">
        <f>+'qtrP&amp;L'!$AN$51</f>
        <v>16.885999999999999</v>
      </c>
      <c r="AE15" s="1013">
        <f>+'qtrP&amp;L'!$AN$52</f>
        <v>17.344999999999999</v>
      </c>
      <c r="AF15" s="1013">
        <f>+'qtrP&amp;L'!$AN$53</f>
        <v>18.303999999999998</v>
      </c>
      <c r="AG15" s="1013"/>
      <c r="AH15" s="1013">
        <f>+'qtrP&amp;L'!$AR$50</f>
        <v>18.102</v>
      </c>
      <c r="AI15" s="1013">
        <f>'qtrP&amp;L'!AR51</f>
        <v>18.581</v>
      </c>
      <c r="AJ15" s="1013">
        <f>+'qtrP&amp;L'!$AR$52</f>
        <v>18.745999999999999</v>
      </c>
      <c r="AK15" s="1013">
        <f>+'qtrP&amp;L'!$AR$53</f>
        <v>18.995999999999999</v>
      </c>
      <c r="AL15" s="1013"/>
      <c r="AM15" s="1013">
        <f>+'qtrP&amp;L'!$AV$50</f>
        <v>21.434000000000001</v>
      </c>
      <c r="AN15" s="1013">
        <f>'qtrP&amp;L'!AV51</f>
        <v>23.236999999999998</v>
      </c>
      <c r="AO15" s="1013">
        <f>+'qtrP&amp;L'!$AV$52</f>
        <v>21.391999999999999</v>
      </c>
      <c r="AP15" s="1013">
        <f>+'qtrP&amp;L'!$AV$53</f>
        <v>21.97</v>
      </c>
      <c r="AQ15" s="1013"/>
      <c r="AR15" s="1013">
        <f>+'qtrP&amp;L'!$AZ$50</f>
        <v>25.481999999999999</v>
      </c>
      <c r="AS15" s="1013">
        <f>'qtrP&amp;L'!AZ51</f>
        <v>27.375</v>
      </c>
      <c r="AT15" s="1013">
        <f>+'qtrP&amp;L'!$AZ$52</f>
        <v>27.867000000000001</v>
      </c>
      <c r="AU15" s="1013">
        <f>+'qtrP&amp;L'!$AZ$53</f>
        <v>28.478999999999999</v>
      </c>
      <c r="AV15" s="1013"/>
      <c r="AW15" s="1013">
        <f>'qtrP&amp;L'!BD50</f>
        <v>29.55</v>
      </c>
      <c r="AX15" s="1013">
        <f>'qtrP&amp;L'!BD51</f>
        <v>32.058999999999997</v>
      </c>
      <c r="AY15" s="1013">
        <f>'qtrP&amp;L'!BD52</f>
        <v>32.816000000000003</v>
      </c>
      <c r="AZ15" s="1013">
        <f>'qtrP&amp;L'!BD53</f>
        <v>36.793999999999997</v>
      </c>
      <c r="BA15" s="1013"/>
      <c r="BB15" s="1013">
        <f>'qtrP&amp;L'!$BH$50</f>
        <v>32.988</v>
      </c>
      <c r="BC15" s="1013">
        <f>'qtrP&amp;L'!$BH$51</f>
        <v>33.431000000000004</v>
      </c>
      <c r="BD15" s="1013">
        <f>'qtrP&amp;L'!$BH$52</f>
        <v>34.653000000000006</v>
      </c>
      <c r="BE15" s="1013">
        <f>'qtrP&amp;L'!$BH$53</f>
        <v>36.688000000000002</v>
      </c>
      <c r="BF15" s="1013"/>
      <c r="BG15" s="1013">
        <f>'qtrP&amp;L'!$BL$50</f>
        <v>35.454000000000001</v>
      </c>
      <c r="BH15" s="1013">
        <f>'qtrP&amp;L'!$BL$51</f>
        <v>35.951000000000001</v>
      </c>
      <c r="BI15" s="1013">
        <f>'qtrP&amp;L'!$BL$52</f>
        <v>35.533999999999999</v>
      </c>
      <c r="BJ15" s="1013">
        <f>'qtrP&amp;L'!$BL$53</f>
        <v>32.735999999999997</v>
      </c>
      <c r="BK15" s="1013"/>
      <c r="BL15" s="1015">
        <f>'qtrP&amp;L'!$BP$50</f>
        <v>34.436</v>
      </c>
      <c r="BM15" s="1013">
        <f>'qtrP&amp;L'!$BP$51</f>
        <v>34.997</v>
      </c>
      <c r="BN15" s="1013">
        <f>'qtrP&amp;L'!$BP$52</f>
        <v>34.414999999999999</v>
      </c>
      <c r="BO15" s="1013">
        <f>'qtrP&amp;L'!$BP$53</f>
        <v>34.11</v>
      </c>
      <c r="BP15" s="1013"/>
      <c r="BQ15" s="1013">
        <f>'qtrP&amp;L'!$BT$50</f>
        <v>32.066000000000003</v>
      </c>
      <c r="BR15" s="1013">
        <f>'qtrP&amp;L'!$BT$51</f>
        <v>31.933</v>
      </c>
      <c r="BS15" s="1013">
        <f>'qtrP&amp;L'!$BT$52</f>
        <v>31.420999999999999</v>
      </c>
      <c r="BT15" s="1013">
        <f>'qtrP&amp;L'!$BT$53</f>
        <v>30.116</v>
      </c>
      <c r="BU15" s="1013"/>
      <c r="BV15" s="1013">
        <f>'qtrP&amp;L'!BX50</f>
        <v>27.933</v>
      </c>
      <c r="BW15" s="1013">
        <f>'qtrP&amp;L'!BX51</f>
        <v>29.734000000000002</v>
      </c>
      <c r="BX15" s="1013">
        <f>'qtrP&amp;L'!BX52</f>
        <v>31.998000000000001</v>
      </c>
      <c r="BY15" s="1013">
        <f>'qtrP&amp;L'!BX53</f>
        <v>30.585000000000001</v>
      </c>
      <c r="BZ15" s="1013"/>
      <c r="CA15" s="1013">
        <f>'qtrP&amp;L'!CB50</f>
        <v>32.362000000000002</v>
      </c>
      <c r="CB15" s="1013">
        <f>'qtrP&amp;L'!CB51</f>
        <v>35.421999999999997</v>
      </c>
      <c r="CC15" s="1013">
        <f>'qtrP&amp;L'!CB52</f>
        <v>36.527999999999999</v>
      </c>
      <c r="CD15" s="1013">
        <f>'qtrP&amp;L'!CB53</f>
        <v>36.878999999999998</v>
      </c>
      <c r="CE15" s="1013"/>
      <c r="CF15" s="1013">
        <f>'qtrP&amp;L'!CF50</f>
        <v>35.127000000000002</v>
      </c>
      <c r="CG15" s="1013">
        <f>'qtrP&amp;L'!CF51</f>
        <v>36.109000000000002</v>
      </c>
      <c r="CH15" s="1013">
        <f>'qtrP&amp;L'!CF52</f>
        <v>37.622999999999998</v>
      </c>
      <c r="CI15" s="1013">
        <f>'qtrP&amp;L'!CF53</f>
        <v>39.295000000000002</v>
      </c>
      <c r="CJ15" s="1013"/>
      <c r="CK15" s="1013">
        <f>'qtrP&amp;L'!CJ50</f>
        <v>38.783000000000001</v>
      </c>
      <c r="CL15" s="1013">
        <f>'qtrP&amp;L'!CJ51</f>
        <v>38.9</v>
      </c>
      <c r="CM15" s="1013">
        <f>'qtrP&amp;L'!CJ52</f>
        <v>39.636000000000003</v>
      </c>
      <c r="CN15" s="1013">
        <f>'qtrP&amp;L'!CJ53</f>
        <v>39.402999999999999</v>
      </c>
      <c r="CO15" s="1013"/>
      <c r="CP15" s="1013">
        <f t="array" ref="CP15:CS15">TRANSPOSE('qtrP&amp;L'!CN50:CN53)</f>
        <v>40.445999999999998</v>
      </c>
      <c r="CQ15" s="1013">
        <v>40.283000000000001</v>
      </c>
      <c r="CR15" s="1013">
        <v>43.149000000000001</v>
      </c>
      <c r="CS15" s="1013">
        <v>43.542999999999999</v>
      </c>
      <c r="CT15" s="1013"/>
      <c r="CU15" s="1013">
        <f t="array" ref="CU15:CX15">TRANSPOSE('qtrP&amp;L'!CR50:CR53)</f>
        <v>43.243677549205898</v>
      </c>
      <c r="CV15" s="1013">
        <v>44.65943702318549</v>
      </c>
      <c r="CW15" s="1013">
        <v>44.657375199095661</v>
      </c>
      <c r="CX15" s="1013">
        <v>45.483655371419125</v>
      </c>
      <c r="CY15" s="1013"/>
      <c r="CZ15" s="1013">
        <f>'yrP&amp;L'!C28</f>
        <v>6.0869999999999997</v>
      </c>
      <c r="DA15" s="1013">
        <f>'yrP&amp;L'!D28</f>
        <v>7.3179999999999987</v>
      </c>
      <c r="DB15" s="1013">
        <f>'yrP&amp;L'!E28</f>
        <v>8.6110000000000007</v>
      </c>
      <c r="DC15" s="1013">
        <f>'yrP&amp;L'!F28</f>
        <v>12.199</v>
      </c>
      <c r="DD15" s="1013">
        <f>'yrP&amp;L'!G28</f>
        <v>23.2</v>
      </c>
      <c r="DE15" s="1013">
        <f>'yrP&amp;L'!H28</f>
        <v>41.875</v>
      </c>
      <c r="DF15" s="1013">
        <f>'yrP&amp;L'!I28</f>
        <v>50.661000000000001</v>
      </c>
      <c r="DG15" s="1013">
        <f>'yrP&amp;L'!J28</f>
        <v>59.965000000000003</v>
      </c>
      <c r="DH15" s="1013">
        <f>'yrP&amp;L'!K28</f>
        <v>69.442999999999998</v>
      </c>
      <c r="DI15" s="1013">
        <f>'yrP&amp;L'!L28</f>
        <v>78.727999999999994</v>
      </c>
      <c r="DJ15" s="1015">
        <f>'yrP&amp;L'!M28</f>
        <v>88.033000000000001</v>
      </c>
      <c r="DK15" s="1016">
        <f>'yrP&amp;L'!N28</f>
        <v>109.203</v>
      </c>
      <c r="DL15" s="1015">
        <f>'yrP&amp;L'!O28</f>
        <v>131.21899999999999</v>
      </c>
      <c r="DM15" s="1013">
        <f>'yrP&amp;L'!P28</f>
        <v>137.76000000000002</v>
      </c>
      <c r="DN15" s="1014"/>
      <c r="DO15" s="1015">
        <f>'yrP&amp;L'!Q28</f>
        <v>139.67499999999998</v>
      </c>
      <c r="DP15" s="1013">
        <f>'yrP&amp;L'!R28</f>
        <v>137.95799999999997</v>
      </c>
      <c r="DQ15" s="1013">
        <f>'yrP&amp;L'!S28</f>
        <v>125.536</v>
      </c>
      <c r="DR15" s="1015">
        <f>'yrP&amp;L'!T28</f>
        <v>120.25</v>
      </c>
      <c r="DS15" s="1013">
        <f>'yrP&amp;L'!U28</f>
        <v>141.19099999999997</v>
      </c>
      <c r="DT15" s="1013">
        <f>'yrP&amp;L'!V28</f>
        <v>148.154</v>
      </c>
      <c r="DU15" s="1013">
        <f>'yrP&amp;L'!W28</f>
        <v>156.72199999999998</v>
      </c>
      <c r="DV15" s="1013">
        <f>'yrP&amp;L'!X28</f>
        <v>167.42099999999999</v>
      </c>
      <c r="DW15" s="1013">
        <f>'yrP&amp;L'!Y28</f>
        <v>178.04414514290619</v>
      </c>
      <c r="DX15" s="1013">
        <f>'yrP&amp;L'!Z28</f>
        <v>178.83432486736163</v>
      </c>
      <c r="DY15" s="1016">
        <f>'yrP&amp;L'!AA28</f>
        <v>186.81987281625447</v>
      </c>
      <c r="DZ15" s="1016">
        <f>'yrP&amp;L'!AB28</f>
        <v>190.80631325444813</v>
      </c>
      <c r="EA15" s="1013"/>
      <c r="EH15" s="1012"/>
      <c r="EI15" s="1012"/>
      <c r="EJ15" s="1012"/>
    </row>
    <row r="16" spans="2:140" ht="12" hidden="1" customHeight="1">
      <c r="B16" s="1013" t="s">
        <v>584</v>
      </c>
      <c r="C16" s="1013"/>
      <c r="D16" s="1013"/>
      <c r="E16" s="1013"/>
      <c r="F16" s="1013"/>
      <c r="G16" s="1013"/>
      <c r="H16" s="1013"/>
      <c r="I16" s="1013"/>
      <c r="J16" s="1013"/>
      <c r="K16" s="1013"/>
      <c r="L16" s="1013"/>
      <c r="M16" s="1013"/>
      <c r="N16" s="1013"/>
      <c r="O16" s="1013"/>
      <c r="P16" s="1013"/>
      <c r="Q16" s="1013"/>
      <c r="R16" s="1013"/>
      <c r="S16" s="1013">
        <f>+'qtrP&amp;L'!$AF$60</f>
        <v>0</v>
      </c>
      <c r="T16" s="1013">
        <f>+'qtrP&amp;L'!$AF$61</f>
        <v>0</v>
      </c>
      <c r="U16" s="1013">
        <f>+'qtrP&amp;L'!$AF$62</f>
        <v>0</v>
      </c>
      <c r="V16" s="1013">
        <f>+'qtrP&amp;L'!$AF$63</f>
        <v>0</v>
      </c>
      <c r="W16" s="1013"/>
      <c r="X16" s="1013">
        <f>+'qtrP&amp;L'!$AJ$60</f>
        <v>0</v>
      </c>
      <c r="Y16" s="1013">
        <f>+'qtrP&amp;L'!$AJ$61</f>
        <v>0</v>
      </c>
      <c r="Z16" s="1013">
        <f>+'qtrP&amp;L'!$AJ$62</f>
        <v>8</v>
      </c>
      <c r="AA16" s="1013">
        <f>+'qtrP&amp;L'!$AJ$63</f>
        <v>0</v>
      </c>
      <c r="AB16" s="1013"/>
      <c r="AC16" s="1013">
        <f>+'qtrP&amp;L'!$AN$60</f>
        <v>0</v>
      </c>
      <c r="AD16" s="1013">
        <f>+'qtrP&amp;L'!$AN$61</f>
        <v>0</v>
      </c>
      <c r="AE16" s="1013">
        <f>+'qtrP&amp;L'!$AN$62</f>
        <v>0</v>
      </c>
      <c r="AF16" s="1013">
        <f>+'qtrP&amp;L'!$AN$63</f>
        <v>0</v>
      </c>
      <c r="AG16" s="1013"/>
      <c r="AH16" s="1013">
        <f>+'qtrP&amp;L'!$AR$60</f>
        <v>0</v>
      </c>
      <c r="AI16" s="1013">
        <v>0</v>
      </c>
      <c r="AJ16" s="1013">
        <f>+'qtrP&amp;L'!$AR$62</f>
        <v>0</v>
      </c>
      <c r="AK16" s="1013">
        <f>+'qtrP&amp;L'!$AR$63</f>
        <v>0</v>
      </c>
      <c r="AL16" s="1013"/>
      <c r="AM16" s="1013">
        <f>+'qtrP&amp;L'!$AV$60</f>
        <v>0</v>
      </c>
      <c r="AN16" s="1013">
        <f>+'qtrP&amp;L'!$AV$61</f>
        <v>0</v>
      </c>
      <c r="AO16" s="1013">
        <f>+'qtrP&amp;L'!$AV$62</f>
        <v>0</v>
      </c>
      <c r="AP16" s="1013">
        <f>+'qtrP&amp;L'!$AV$63</f>
        <v>0</v>
      </c>
      <c r="AQ16" s="1013"/>
      <c r="AR16" s="1013">
        <f>+'qtrP&amp;L'!$AZ$60</f>
        <v>0</v>
      </c>
      <c r="AS16" s="1013">
        <f>+'qtrP&amp;L'!$AZ$61</f>
        <v>0</v>
      </c>
      <c r="AT16" s="1013">
        <f>+'qtrP&amp;L'!$AZ$62</f>
        <v>0</v>
      </c>
      <c r="AU16" s="1013">
        <f>+'qtrP&amp;L'!$AZ$63</f>
        <v>0</v>
      </c>
      <c r="AV16" s="1013"/>
      <c r="AW16" s="1013">
        <f>'qtrP&amp;L'!BD59</f>
        <v>0</v>
      </c>
      <c r="AX16" s="1013">
        <f>'qtrP&amp;L'!BD60</f>
        <v>0</v>
      </c>
      <c r="AY16" s="1013">
        <f>'qtrP&amp;L'!BD62</f>
        <v>0</v>
      </c>
      <c r="AZ16" s="1013">
        <f>'qtrP&amp;L'!BD63</f>
        <v>0</v>
      </c>
      <c r="BA16" s="1013"/>
      <c r="BB16" s="1013">
        <f>'qtrP&amp;L'!$BH$59</f>
        <v>0</v>
      </c>
      <c r="BC16" s="1013">
        <f>'qtrP&amp;L'!$BH$60</f>
        <v>0</v>
      </c>
      <c r="BD16" s="1013">
        <f>'qtrP&amp;L'!$BH$62</f>
        <v>0</v>
      </c>
      <c r="BE16" s="1013">
        <f>'qtrP&amp;L'!$BH$63</f>
        <v>0</v>
      </c>
      <c r="BF16" s="1013"/>
      <c r="BG16" s="1013">
        <f>'qtrP&amp;L'!$BL$59</f>
        <v>0</v>
      </c>
      <c r="BH16" s="1013">
        <f>'qtrP&amp;L'!$BL$60</f>
        <v>0</v>
      </c>
      <c r="BI16" s="1013">
        <f>'qtrP&amp;L'!$BL$62</f>
        <v>0</v>
      </c>
      <c r="BJ16" s="1013">
        <f>'qtrP&amp;L'!$BL$63</f>
        <v>0</v>
      </c>
      <c r="BK16" s="1013"/>
      <c r="BL16" s="1015">
        <f>'qtrP&amp;L'!$BP$59</f>
        <v>0</v>
      </c>
      <c r="BM16" s="1013">
        <f>'qtrP&amp;L'!$BP$60</f>
        <v>0</v>
      </c>
      <c r="BN16" s="1013">
        <f>'qtrP&amp;L'!$BP$62</f>
        <v>0</v>
      </c>
      <c r="BO16" s="1013">
        <f>'qtrP&amp;L'!$BP$63</f>
        <v>0</v>
      </c>
      <c r="BP16" s="1013"/>
      <c r="BQ16" s="1013">
        <f>'qtrP&amp;L'!$BT$59</f>
        <v>0</v>
      </c>
      <c r="BR16" s="1013">
        <f>'qtrP&amp;L'!$BT$60</f>
        <v>0</v>
      </c>
      <c r="BS16" s="1013">
        <f>'qtrP&amp;L'!$BT$62</f>
        <v>0</v>
      </c>
      <c r="BT16" s="1013">
        <f>'qtrP&amp;L'!$BT$63</f>
        <v>0</v>
      </c>
      <c r="BU16" s="1013"/>
      <c r="BV16" s="1013">
        <f>'qtrP&amp;L'!BX60</f>
        <v>0</v>
      </c>
      <c r="BW16" s="1013">
        <f>'qtrP&amp;L'!BX61</f>
        <v>0</v>
      </c>
      <c r="BX16" s="1013">
        <f>'qtrP&amp;L'!BX62</f>
        <v>0</v>
      </c>
      <c r="BY16" s="1013">
        <f>'qtrP&amp;L'!BX63</f>
        <v>0</v>
      </c>
      <c r="BZ16" s="1013"/>
      <c r="CA16" s="1013">
        <f>'qtrP&amp;L'!CC60</f>
        <v>0</v>
      </c>
      <c r="CB16" s="1013">
        <f>'qtrP&amp;L'!CC61</f>
        <v>0</v>
      </c>
      <c r="CC16" s="1013">
        <f>'qtrP&amp;L'!CC62</f>
        <v>0</v>
      </c>
      <c r="CD16" s="1013">
        <f>'qtrP&amp;L'!CC63</f>
        <v>0</v>
      </c>
      <c r="CE16" s="1013"/>
      <c r="CF16" s="1013">
        <f>'qtrP&amp;L'!CH60</f>
        <v>0</v>
      </c>
      <c r="CG16" s="1013">
        <f>'qtrP&amp;L'!CH61</f>
        <v>0</v>
      </c>
      <c r="CH16" s="1013">
        <f>'qtrP&amp;L'!CH62</f>
        <v>0</v>
      </c>
      <c r="CI16" s="1013">
        <f>'qtrP&amp;L'!CH63</f>
        <v>0</v>
      </c>
      <c r="CJ16" s="1013"/>
      <c r="CK16" s="1013">
        <f>'qtrP&amp;L'!CM60</f>
        <v>0</v>
      </c>
      <c r="CL16" s="1013">
        <f>'qtrP&amp;L'!CM61</f>
        <v>0</v>
      </c>
      <c r="CM16" s="1013">
        <f>'qtrP&amp;L'!CM62</f>
        <v>0</v>
      </c>
      <c r="CN16" s="1013">
        <f>'qtrP&amp;L'!CM63</f>
        <v>0</v>
      </c>
      <c r="CO16" s="1013"/>
      <c r="CP16" s="1013">
        <f>'qtrP&amp;L'!DJ60</f>
        <v>0</v>
      </c>
      <c r="CQ16" s="1013">
        <f>'qtrP&amp;L'!DJ61</f>
        <v>0</v>
      </c>
      <c r="CR16" s="1013">
        <f>'qtrP&amp;L'!DJ62</f>
        <v>0</v>
      </c>
      <c r="CS16" s="1013">
        <f>'qtrP&amp;L'!DJ63</f>
        <v>0</v>
      </c>
      <c r="CT16" s="1013"/>
      <c r="CU16" s="1013"/>
      <c r="CV16" s="1013"/>
      <c r="CW16" s="1013"/>
      <c r="CX16" s="1013"/>
      <c r="CY16" s="1013"/>
      <c r="CZ16" s="1013"/>
      <c r="DA16" s="1013"/>
      <c r="DB16" s="1013"/>
      <c r="DC16" s="1013"/>
      <c r="DD16" s="1013"/>
      <c r="DE16" s="1013">
        <f>+'yrP&amp;L'!H31</f>
        <v>0</v>
      </c>
      <c r="DF16" s="1013">
        <f>+'yrP&amp;L'!I31</f>
        <v>0</v>
      </c>
      <c r="DG16" s="1013">
        <f>+'yrP&amp;L'!J31</f>
        <v>0</v>
      </c>
      <c r="DH16" s="1013">
        <f>+'yrP&amp;L'!K31</f>
        <v>-14.12</v>
      </c>
      <c r="DI16" s="1013">
        <f>+'yrP&amp;L'!L31</f>
        <v>0</v>
      </c>
      <c r="DJ16" s="1015">
        <f>+'yrP&amp;L'!M31</f>
        <v>0</v>
      </c>
      <c r="DK16" s="1016">
        <f>+'yrP&amp;L'!N31</f>
        <v>0</v>
      </c>
      <c r="DL16" s="1015">
        <f>+'yrP&amp;L'!O31</f>
        <v>0</v>
      </c>
      <c r="DM16" s="1013">
        <f>+'yrP&amp;L'!P31</f>
        <v>0</v>
      </c>
      <c r="DN16" s="1014"/>
      <c r="DO16" s="1015">
        <f>+'yrP&amp;L'!Q31</f>
        <v>0</v>
      </c>
      <c r="DP16" s="1013">
        <f>+'yrP&amp;L'!R31</f>
        <v>0</v>
      </c>
      <c r="DQ16" s="1013">
        <f>+'yrP&amp;L'!S31</f>
        <v>0</v>
      </c>
      <c r="DR16" s="1015">
        <f>+'yrP&amp;L'!T31</f>
        <v>0</v>
      </c>
      <c r="DS16" s="1013">
        <f>+'yrP&amp;L'!U31</f>
        <v>0</v>
      </c>
      <c r="DT16" s="1013">
        <f>+'yrP&amp;L'!V31</f>
        <v>0</v>
      </c>
      <c r="DU16" s="1013">
        <f>+'yrP&amp;L'!W31</f>
        <v>0</v>
      </c>
      <c r="DV16" s="1013">
        <f>+'yrP&amp;L'!X31</f>
        <v>0</v>
      </c>
      <c r="DW16" s="1013">
        <f>+'yrP&amp;L'!Y31</f>
        <v>0</v>
      </c>
      <c r="DX16" s="1013">
        <f>+'yrP&amp;L'!Z31</f>
        <v>0</v>
      </c>
      <c r="DY16" s="1016">
        <f>+'yrP&amp;L'!AA31</f>
        <v>0</v>
      </c>
      <c r="DZ16" s="1016">
        <f>+'yrP&amp;L'!AB31</f>
        <v>0</v>
      </c>
      <c r="EA16" s="1013"/>
      <c r="EH16" s="1012"/>
      <c r="EI16" s="1012"/>
      <c r="EJ16" s="1012"/>
    </row>
    <row r="17" spans="2:140" ht="12.75">
      <c r="B17" s="1003" t="s">
        <v>784</v>
      </c>
      <c r="C17" s="1006"/>
      <c r="D17" s="1006">
        <f>D12-D13-D15</f>
        <v>19.435000000000002</v>
      </c>
      <c r="E17" s="1006">
        <f>E12-E13-E15</f>
        <v>27.143000000000001</v>
      </c>
      <c r="F17" s="1006">
        <f>F12-F13-F15</f>
        <v>38.943000000000012</v>
      </c>
      <c r="G17" s="1006">
        <f>G12-G13-G15</f>
        <v>63.993000000000002</v>
      </c>
      <c r="H17" s="1006"/>
      <c r="I17" s="1006">
        <f>I12-I13-I15</f>
        <v>19.057999999999996</v>
      </c>
      <c r="J17" s="1006">
        <f>J12-J13-J15</f>
        <v>3.6220000000000052</v>
      </c>
      <c r="K17" s="1006">
        <f>K12-K13-K15</f>
        <v>46.725999999999999</v>
      </c>
      <c r="L17" s="1006">
        <f>L12-L13-L15</f>
        <v>77.144999999999968</v>
      </c>
      <c r="M17" s="1006"/>
      <c r="N17" s="1006">
        <f>N12-N13-N15</f>
        <v>24.157000000000011</v>
      </c>
      <c r="O17" s="1006">
        <f>O12-O13-O15</f>
        <v>22.853999999999999</v>
      </c>
      <c r="P17" s="1006">
        <f>P12-P13-P15</f>
        <v>49.525999999999989</v>
      </c>
      <c r="Q17" s="1006">
        <f>Q12-Q13-Q15</f>
        <v>69.936000000000035</v>
      </c>
      <c r="R17" s="1006"/>
      <c r="S17" s="1006">
        <f>S12-S13-S15</f>
        <v>19.921999999999983</v>
      </c>
      <c r="T17" s="1006">
        <f>T12-T13-T15</f>
        <v>16.089999999999996</v>
      </c>
      <c r="U17" s="1006">
        <f>U12-U13-U15</f>
        <v>43.516000000000041</v>
      </c>
      <c r="V17" s="1006">
        <f>V12-V13-V15</f>
        <v>61.556999999999945</v>
      </c>
      <c r="W17" s="1006"/>
      <c r="X17" s="1006">
        <f>X12-X13-X15</f>
        <v>9.7160000000000046</v>
      </c>
      <c r="Y17" s="1006">
        <f>Y12-Y13-Y15</f>
        <v>12.6</v>
      </c>
      <c r="Z17" s="1006">
        <f>Z12-Z13-Z15-Z16</f>
        <v>21.164000000000009</v>
      </c>
      <c r="AA17" s="1006">
        <f>AA12-AA13-AA15</f>
        <v>69.293999999999983</v>
      </c>
      <c r="AB17" s="1006"/>
      <c r="AC17" s="1006">
        <f>AC12-AC13-AC15-AC16</f>
        <v>43.131000000000029</v>
      </c>
      <c r="AD17" s="1006">
        <f>AD12-AD13-AD15-AD16</f>
        <v>51.016999999999996</v>
      </c>
      <c r="AE17" s="1006">
        <f>AE12-AE13-AE15-AE16</f>
        <v>96.870999999999981</v>
      </c>
      <c r="AF17" s="1006">
        <f>AF12-AF13-AF15-AF16</f>
        <v>171.68700000000001</v>
      </c>
      <c r="AG17" s="1006"/>
      <c r="AH17" s="1006">
        <f>AH12-AH13-AH15-AH16</f>
        <v>86.968999999999966</v>
      </c>
      <c r="AI17" s="1006">
        <f>AI12-AI13-AI15-AI16</f>
        <v>85.625000000000071</v>
      </c>
      <c r="AJ17" s="1006">
        <f>AJ12-AJ13-AJ15-AJ16</f>
        <v>112.83800000000004</v>
      </c>
      <c r="AK17" s="1006">
        <f>AK12-AK13-AK15-AK16</f>
        <v>173.25600000000006</v>
      </c>
      <c r="AL17" s="1006"/>
      <c r="AM17" s="1006">
        <f>AM12-AM13-AM15-AM16</f>
        <v>98.265999999999963</v>
      </c>
      <c r="AN17" s="1006">
        <f>AN12-AN13-AN15-AN16</f>
        <v>109.25200000000004</v>
      </c>
      <c r="AO17" s="1006">
        <f>AO12-AO13-AO15-AO16</f>
        <v>152.50099999999995</v>
      </c>
      <c r="AP17" s="1006">
        <f>AP12-AP13-AP15-AP16</f>
        <v>226.77</v>
      </c>
      <c r="AQ17" s="1006"/>
      <c r="AR17" s="1006">
        <f>AR12-AR13-AR15-AR16</f>
        <v>115.98799999999994</v>
      </c>
      <c r="AS17" s="1006">
        <f>AS12-AS13-AS15-AS16</f>
        <v>122.68599999999995</v>
      </c>
      <c r="AT17" s="1006">
        <f>AT12-AT13-AT15-AT16</f>
        <v>150.88899999999998</v>
      </c>
      <c r="AU17" s="1006">
        <f>AU12-AU13-AU15-AU16</f>
        <v>209.19199999999995</v>
      </c>
      <c r="AV17" s="1006"/>
      <c r="AW17" s="1006">
        <f>AW12-AW13-AW15-AW16</f>
        <v>64.479000000000028</v>
      </c>
      <c r="AX17" s="1006">
        <f>AX12-AX13-AX15-AX16</f>
        <v>89.427000000000078</v>
      </c>
      <c r="AY17" s="1006">
        <f>AY12-AY13-AY15-AY16</f>
        <v>94.880999999999915</v>
      </c>
      <c r="AZ17" s="1006">
        <f>AZ12-AZ13-AZ15-AZ16</f>
        <v>60.052999999999926</v>
      </c>
      <c r="BA17" s="1006"/>
      <c r="BB17" s="1006">
        <f>BB12-BB13-BB15-BB16</f>
        <v>38.826999999999998</v>
      </c>
      <c r="BC17" s="1006">
        <f>BC12-BC13-BC15-BC16</f>
        <v>59.609000000000016</v>
      </c>
      <c r="BD17" s="1006">
        <f>BD12-BD13-BD15-BD16</f>
        <v>84.573999999999941</v>
      </c>
      <c r="BE17" s="1006">
        <f>BE12-BE13-BE15-BE16</f>
        <v>127.38199999999991</v>
      </c>
      <c r="BF17" s="1006"/>
      <c r="BG17" s="1006">
        <f>BG12-BG13-BG15-BG16</f>
        <v>56.601999999999983</v>
      </c>
      <c r="BH17" s="1006">
        <f>BH12-BH13-BH15-BH16</f>
        <v>41.618000000000016</v>
      </c>
      <c r="BI17" s="1006">
        <f>BI12-BI13-BI15-BI16</f>
        <v>98.344999999999942</v>
      </c>
      <c r="BJ17" s="1006">
        <f>BJ12-BJ13-BJ15-BJ16</f>
        <v>142.98660000000001</v>
      </c>
      <c r="BK17" s="1006"/>
      <c r="BL17" s="1005">
        <f>BL12-BL13-BL15-BL16</f>
        <v>44.131000000000064</v>
      </c>
      <c r="BM17" s="1006">
        <f>BM12-BM13-BM15-BM16</f>
        <v>38.067999999999998</v>
      </c>
      <c r="BN17" s="1006">
        <f>BN12-BN13-BN15-BN16</f>
        <v>92.152999999999935</v>
      </c>
      <c r="BO17" s="1006">
        <f>BO12-BO13-BO15-BO16</f>
        <v>119.6970000000001</v>
      </c>
      <c r="BP17" s="1006"/>
      <c r="BQ17" s="1006">
        <f>BQ12-BQ13-BQ15-BQ16</f>
        <v>64.308000000000078</v>
      </c>
      <c r="BR17" s="1006">
        <f>BR12-BR13-BR15-BR16</f>
        <v>66.872999999999962</v>
      </c>
      <c r="BS17" s="1006">
        <f>BS12-BS13-BS15-BS16</f>
        <v>128.54100000000005</v>
      </c>
      <c r="BT17" s="1006">
        <f>BT12-BT13-BT15-BT16</f>
        <v>177.40200000000016</v>
      </c>
      <c r="BU17" s="1006"/>
      <c r="BV17" s="1006">
        <f>BV12-BV13-BV15-BV16</f>
        <v>57.359999999999978</v>
      </c>
      <c r="BW17" s="1006">
        <f>BW12-BW13-BW15-BW16</f>
        <v>29.42499999999999</v>
      </c>
      <c r="BX17" s="1006">
        <f>BX12-BX13-BX15-BX16</f>
        <v>61.152000000000001</v>
      </c>
      <c r="BY17" s="1006">
        <f>BY12-BY13-BY15-BY16</f>
        <v>85.771000000000043</v>
      </c>
      <c r="BZ17" s="1006"/>
      <c r="CA17" s="1006">
        <f>CA12-CA13-CA15-CA16</f>
        <v>8.4250000000000327</v>
      </c>
      <c r="CB17" s="1006">
        <f>CB12-CB13-CB15-CB16</f>
        <v>12.047000000000025</v>
      </c>
      <c r="CC17" s="1006">
        <f>CC12-CC13-CC15-CC16</f>
        <v>74.302999999999997</v>
      </c>
      <c r="CD17" s="1006">
        <f>CD12-CD13-CD15-CD16</f>
        <v>112.21000000000006</v>
      </c>
      <c r="CE17" s="1006"/>
      <c r="CF17" s="1006">
        <f>CF12-CF13-CF15-CF16</f>
        <v>41.993999999999978</v>
      </c>
      <c r="CG17" s="1006">
        <f>CG12-CG13-CG15-CG16</f>
        <v>53.138999999999989</v>
      </c>
      <c r="CH17" s="1006">
        <f>CH12-CH13-CH15-CH16</f>
        <v>109.11100000000005</v>
      </c>
      <c r="CI17" s="1006">
        <f>CI12-CI13-CI15-CI16</f>
        <v>115.63600000000001</v>
      </c>
      <c r="CJ17" s="1006"/>
      <c r="CK17" s="1006">
        <f>CK12-CK13-CK15-CK16</f>
        <v>58.676000000000059</v>
      </c>
      <c r="CL17" s="1006">
        <f>CL12-CL13-CL15-CL16</f>
        <v>68.65900000000002</v>
      </c>
      <c r="CM17" s="1006">
        <f>CM12-CM13-CM15-CM16</f>
        <v>118.26800000000003</v>
      </c>
      <c r="CN17" s="1006">
        <f>CN12-CN13-CN15-CN16</f>
        <v>107.04000000000008</v>
      </c>
      <c r="CO17" s="1006"/>
      <c r="CP17" s="1006">
        <f>CP12-CP13-CP15-CP16</f>
        <v>42.396999999999991</v>
      </c>
      <c r="CQ17" s="1006">
        <f>CQ12-CQ13-CQ15-CQ16</f>
        <v>50.328999999999937</v>
      </c>
      <c r="CR17" s="1006">
        <f>CR12-CR13-CR15-CR16</f>
        <v>114.61800000000002</v>
      </c>
      <c r="CS17" s="1006">
        <f>CS12-CS13-CS15-CS16</f>
        <v>117.73399999999998</v>
      </c>
      <c r="CT17" s="1006"/>
      <c r="CU17" s="1006">
        <f>CU12-CU13-CU15-CU16</f>
        <v>52.943194008840862</v>
      </c>
      <c r="CV17" s="1006">
        <f>CV12-CV13-CV15-CV16</f>
        <v>72.001949486360246</v>
      </c>
      <c r="CW17" s="1006">
        <f>CW12-CW13-CW15-CW16</f>
        <v>99.398673830245173</v>
      </c>
      <c r="CX17" s="1006">
        <f>CX12-CX13-CX15-CX16</f>
        <v>95.632301037342728</v>
      </c>
      <c r="CY17" s="1006"/>
      <c r="CZ17" s="1006">
        <f t="shared" ref="CZ17:DF17" si="5">CZ12-CZ13-CZ15</f>
        <v>8.8589999999999698</v>
      </c>
      <c r="DA17" s="1006">
        <f t="shared" si="5"/>
        <v>31.11999999999999</v>
      </c>
      <c r="DB17" s="1006">
        <f t="shared" si="5"/>
        <v>87.053000000000011</v>
      </c>
      <c r="DC17" s="1006">
        <f t="shared" si="5"/>
        <v>149.51400000000004</v>
      </c>
      <c r="DD17" s="1006">
        <f t="shared" si="5"/>
        <v>146.55099999999987</v>
      </c>
      <c r="DE17" s="1006">
        <f t="shared" si="5"/>
        <v>166.47300000000018</v>
      </c>
      <c r="DF17" s="1006">
        <f t="shared" si="5"/>
        <v>141.08500000000004</v>
      </c>
      <c r="DG17" s="1006">
        <f>DG12-DG13-DG15-DG16</f>
        <v>133.27099999999993</v>
      </c>
      <c r="DH17" s="1006">
        <f t="shared" ref="DH17:DM17" si="6">DH12-DH13-DH15</f>
        <v>360.96800000000002</v>
      </c>
      <c r="DI17" s="1006">
        <f t="shared" si="6"/>
        <v>458.68900000000002</v>
      </c>
      <c r="DJ17" s="1005">
        <f t="shared" si="6"/>
        <v>586.78899999999953</v>
      </c>
      <c r="DK17" s="1008">
        <f t="shared" si="6"/>
        <v>598.75499999999965</v>
      </c>
      <c r="DL17" s="1005">
        <f t="shared" si="6"/>
        <v>308.83999999999997</v>
      </c>
      <c r="DM17" s="1006">
        <f t="shared" si="6"/>
        <v>310.39199999999983</v>
      </c>
      <c r="DN17" s="1004"/>
      <c r="DO17" s="1005">
        <f t="shared" ref="DO17:DT17" si="7">DO12-DO13-DO15</f>
        <v>339.55160000000001</v>
      </c>
      <c r="DP17" s="1006">
        <f>DP12-DP13-DP15</f>
        <v>294.04900000000009</v>
      </c>
      <c r="DQ17" s="1006">
        <f>DQ12-DQ13-DQ15</f>
        <v>437.12400000000019</v>
      </c>
      <c r="DR17" s="1005">
        <f t="shared" si="7"/>
        <v>233.70799999999963</v>
      </c>
      <c r="DS17" s="1006">
        <f t="shared" si="7"/>
        <v>206.98500000000007</v>
      </c>
      <c r="DT17" s="1006">
        <f t="shared" si="7"/>
        <v>319.87999999999988</v>
      </c>
      <c r="DU17" s="1006">
        <f t="shared" ref="DU17:DZ17" si="8">DU12-DU13-DU15</f>
        <v>352.64300000000026</v>
      </c>
      <c r="DV17" s="1006">
        <f t="shared" si="8"/>
        <v>325.0779999999998</v>
      </c>
      <c r="DW17" s="1006">
        <f t="shared" si="8"/>
        <v>319.97611836278844</v>
      </c>
      <c r="DX17" s="1006">
        <f t="shared" si="8"/>
        <v>320.49302421524965</v>
      </c>
      <c r="DY17" s="1008">
        <f t="shared" si="8"/>
        <v>306.86157832797528</v>
      </c>
      <c r="DZ17" s="1008">
        <f t="shared" si="8"/>
        <v>292.5696803234872</v>
      </c>
      <c r="EA17" s="1006"/>
      <c r="EH17" s="1012"/>
      <c r="EI17" s="1012"/>
      <c r="EJ17" s="1012"/>
    </row>
    <row r="18" spans="2:140" ht="8.25" customHeight="1">
      <c r="B18" s="963"/>
      <c r="C18" s="1006"/>
      <c r="D18" s="1006"/>
      <c r="E18" s="1006"/>
      <c r="F18" s="1006"/>
      <c r="G18" s="1006"/>
      <c r="H18" s="1006"/>
      <c r="I18" s="1006"/>
      <c r="J18" s="1006"/>
      <c r="K18" s="1006"/>
      <c r="L18" s="1006"/>
      <c r="M18" s="1006"/>
      <c r="N18" s="1006"/>
      <c r="O18" s="1006"/>
      <c r="P18" s="1006"/>
      <c r="Q18" s="1006"/>
      <c r="R18" s="1006"/>
      <c r="S18" s="1006"/>
      <c r="T18" s="1006"/>
      <c r="U18" s="1006"/>
      <c r="V18" s="1006"/>
      <c r="W18" s="1006"/>
      <c r="X18" s="1006"/>
      <c r="Y18" s="1006"/>
      <c r="Z18" s="1006"/>
      <c r="AA18" s="1006"/>
      <c r="AB18" s="1006"/>
      <c r="AC18" s="1006"/>
      <c r="AD18" s="1006"/>
      <c r="AE18" s="1006"/>
      <c r="AF18" s="1006"/>
      <c r="AG18" s="1006"/>
      <c r="AH18" s="1006"/>
      <c r="AI18" s="1006"/>
      <c r="AJ18" s="1006"/>
      <c r="AK18" s="1006"/>
      <c r="AL18" s="1006"/>
      <c r="AM18" s="1006"/>
      <c r="AN18" s="1006"/>
      <c r="AO18" s="1006"/>
      <c r="AP18" s="1006"/>
      <c r="AQ18" s="1006"/>
      <c r="AR18" s="1006"/>
      <c r="AS18" s="1006"/>
      <c r="AT18" s="1006"/>
      <c r="AU18" s="1006"/>
      <c r="AV18" s="1006"/>
      <c r="AW18" s="1006"/>
      <c r="AX18" s="1006"/>
      <c r="AY18" s="1006"/>
      <c r="AZ18" s="1006"/>
      <c r="BA18" s="1006"/>
      <c r="BB18" s="1006"/>
      <c r="BC18" s="1006"/>
      <c r="BD18" s="1006"/>
      <c r="BE18" s="1006"/>
      <c r="BF18" s="1006"/>
      <c r="BG18" s="1006"/>
      <c r="BH18" s="1006"/>
      <c r="BI18" s="1006"/>
      <c r="BJ18" s="1006"/>
      <c r="BK18" s="1006"/>
      <c r="BL18" s="1005"/>
      <c r="BM18" s="1006"/>
      <c r="BN18" s="1006"/>
      <c r="BO18" s="1006"/>
      <c r="BP18" s="1006"/>
      <c r="BQ18" s="1006"/>
      <c r="BR18" s="1006"/>
      <c r="BS18" s="1006"/>
      <c r="BT18" s="1006"/>
      <c r="BU18" s="1006"/>
      <c r="BV18" s="1006"/>
      <c r="BW18" s="1006"/>
      <c r="BX18" s="1006"/>
      <c r="BY18" s="1006"/>
      <c r="BZ18" s="1006"/>
      <c r="CA18" s="1006"/>
      <c r="CB18" s="1006"/>
      <c r="CC18" s="1006"/>
      <c r="CD18" s="1006"/>
      <c r="CE18" s="1006"/>
      <c r="CF18" s="1006"/>
      <c r="CG18" s="1006"/>
      <c r="CH18" s="1006"/>
      <c r="CI18" s="1006"/>
      <c r="CJ18" s="1006"/>
      <c r="CK18" s="1006"/>
      <c r="CL18" s="1006"/>
      <c r="CM18" s="1006"/>
      <c r="CN18" s="1006"/>
      <c r="CO18" s="1006"/>
      <c r="CP18" s="1006"/>
      <c r="CQ18" s="1006"/>
      <c r="CR18" s="1006"/>
      <c r="CS18" s="1006"/>
      <c r="CT18" s="1006"/>
      <c r="CU18" s="1006"/>
      <c r="CV18" s="1006"/>
      <c r="CW18" s="1006"/>
      <c r="CX18" s="1006"/>
      <c r="CY18" s="1006"/>
      <c r="CZ18" s="1006"/>
      <c r="DA18" s="1006"/>
      <c r="DB18" s="1006"/>
      <c r="DC18" s="1006"/>
      <c r="DD18" s="1006"/>
      <c r="DE18" s="1006"/>
      <c r="DF18" s="1006"/>
      <c r="DG18" s="1006"/>
      <c r="DH18" s="1006"/>
      <c r="DI18" s="1006"/>
      <c r="DJ18" s="1005"/>
      <c r="DK18" s="1008"/>
      <c r="DL18" s="1005"/>
      <c r="DM18" s="1006"/>
      <c r="DN18" s="1004"/>
      <c r="DO18" s="1005"/>
      <c r="DP18" s="1006"/>
      <c r="DQ18" s="1006"/>
      <c r="DR18" s="1005"/>
      <c r="DS18" s="1006"/>
      <c r="DT18" s="1006"/>
      <c r="DU18" s="1006"/>
      <c r="DV18" s="1006"/>
      <c r="DW18" s="1006"/>
      <c r="DX18" s="1006"/>
      <c r="DY18" s="1008"/>
      <c r="DZ18" s="1008"/>
      <c r="EA18" s="1006"/>
      <c r="EH18" s="1012"/>
      <c r="EI18" s="1012"/>
      <c r="EJ18" s="1012"/>
    </row>
    <row r="19" spans="2:140" ht="12.75">
      <c r="B19" s="1013" t="s">
        <v>178</v>
      </c>
      <c r="C19" s="1013"/>
      <c r="D19" s="1013">
        <f>'qtrP&amp;L'!S80</f>
        <v>-0.73399999999999999</v>
      </c>
      <c r="E19" s="1013">
        <f>'qtrP&amp;L'!S81</f>
        <v>-0.78500000000000003</v>
      </c>
      <c r="F19" s="1013">
        <f>'qtrP&amp;L'!S82</f>
        <v>-1.153</v>
      </c>
      <c r="G19" s="1013">
        <f>'qtrP&amp;L'!S83</f>
        <v>2.8319999999999999</v>
      </c>
      <c r="H19" s="1013"/>
      <c r="I19" s="1013">
        <f>'qtrP&amp;L'!W80</f>
        <v>-1.7130000000000001</v>
      </c>
      <c r="J19" s="1013">
        <f>'qtrP&amp;L'!W81</f>
        <v>-0.94799999999999995</v>
      </c>
      <c r="K19" s="1013">
        <f>'qtrP&amp;L'!W82</f>
        <v>-1.1859999999999999</v>
      </c>
      <c r="L19" s="1013">
        <f>'qtrP&amp;L'!W83</f>
        <v>-2.4020000000000001</v>
      </c>
      <c r="M19" s="1013"/>
      <c r="N19" s="1013">
        <f>'qtrP&amp;L'!AB80</f>
        <v>-0.96899999999999997</v>
      </c>
      <c r="O19" s="1013">
        <f>'qtrP&amp;L'!AB81</f>
        <v>-0.876</v>
      </c>
      <c r="P19" s="1013">
        <f>'qtrP&amp;L'!AB82</f>
        <v>-5.2999999999999999E-2</v>
      </c>
      <c r="Q19" s="1013">
        <f>'qtrP&amp;L'!AB83</f>
        <v>-0.874</v>
      </c>
      <c r="R19" s="1013"/>
      <c r="S19" s="1013">
        <f>'qtrP&amp;L'!AF80</f>
        <v>-0.66100000000000003</v>
      </c>
      <c r="T19" s="1013">
        <f>'qtrP&amp;L'!AF81</f>
        <v>-0.19600000000000001</v>
      </c>
      <c r="U19" s="1013">
        <f>'qtrP&amp;L'!AF82</f>
        <v>-0.28399999999999997</v>
      </c>
      <c r="V19" s="1013">
        <f>'qtrP&amp;L'!AF83</f>
        <v>-1.387</v>
      </c>
      <c r="W19" s="1013"/>
      <c r="X19" s="1013">
        <f>'qtrP&amp;L'!AJ80</f>
        <v>-0.64100000000000001</v>
      </c>
      <c r="Y19" s="1013">
        <f>'qtrP&amp;L'!AJ81</f>
        <v>-0.51400000000000001</v>
      </c>
      <c r="Z19" s="1013">
        <f>'qtrP&amp;L'!AJ82</f>
        <v>-0.48299999999999998</v>
      </c>
      <c r="AA19" s="1013">
        <f>'qtrP&amp;L'!AJ83</f>
        <v>-0.46899999999999997</v>
      </c>
      <c r="AB19" s="1013"/>
      <c r="AC19" s="1013">
        <f>+'qtrP&amp;L'!$AN$80</f>
        <v>-0.94</v>
      </c>
      <c r="AD19" s="1013">
        <f>+'qtrP&amp;L'!$AN$81</f>
        <v>-0.49099999999999999</v>
      </c>
      <c r="AE19" s="1013">
        <f>+'qtrP&amp;L'!$AN$82</f>
        <v>0.64500000000000002</v>
      </c>
      <c r="AF19" s="1013">
        <f>+'qtrP&amp;L'!$AN$83</f>
        <v>-3.343</v>
      </c>
      <c r="AG19" s="1013"/>
      <c r="AH19" s="1013">
        <f>+'qtrP&amp;L'!$AR$80</f>
        <v>-3.5279999999999996</v>
      </c>
      <c r="AI19" s="1013">
        <f>'qtrP&amp;L'!AR81</f>
        <v>-4.8609999999999998</v>
      </c>
      <c r="AJ19" s="1013">
        <f>+'qtrP&amp;L'!$AR$82</f>
        <v>-4.5419999999999998</v>
      </c>
      <c r="AK19" s="1013">
        <f>+'qtrP&amp;L'!$AR$83</f>
        <v>-5.3479999999999999</v>
      </c>
      <c r="AL19" s="1013"/>
      <c r="AM19" s="1013">
        <f>+'qtrP&amp;L'!$AV$80</f>
        <v>-8.0960000000000001</v>
      </c>
      <c r="AN19" s="1013">
        <f>'qtrP&amp;L'!AV81</f>
        <v>-8.9689999999999994</v>
      </c>
      <c r="AO19" s="1013">
        <f>+'qtrP&amp;L'!$AV$82</f>
        <v>-9.08</v>
      </c>
      <c r="AP19" s="1013">
        <f>+'qtrP&amp;L'!$AV$83</f>
        <v>-16.132999999999999</v>
      </c>
      <c r="AQ19" s="1013"/>
      <c r="AR19" s="1013">
        <f>+'qtrP&amp;L'!$AZ$80</f>
        <v>-11.301</v>
      </c>
      <c r="AS19" s="1013">
        <f>'qtrP&amp;L'!AZ81</f>
        <v>-8.766</v>
      </c>
      <c r="AT19" s="1013">
        <f>+'qtrP&amp;L'!$AZ$82</f>
        <v>-6.9050000000000002</v>
      </c>
      <c r="AU19" s="1013">
        <f>+'qtrP&amp;L'!$AZ$83</f>
        <v>-10.654</v>
      </c>
      <c r="AV19" s="1013"/>
      <c r="AW19" s="1013">
        <f>'qtrP&amp;L'!BD80</f>
        <v>-6.4580000000000002</v>
      </c>
      <c r="AX19" s="1013">
        <f>'qtrP&amp;L'!BD81</f>
        <v>-3.9750000000000001</v>
      </c>
      <c r="AY19" s="1013">
        <f>'qtrP&amp;L'!BD82</f>
        <v>-4.4679999999999982</v>
      </c>
      <c r="AZ19" s="1013">
        <f>'qtrP&amp;L'!BD83</f>
        <v>-2.9049999999999998</v>
      </c>
      <c r="BA19" s="1013"/>
      <c r="BB19" s="1013">
        <f>'qtrP&amp;L'!$BH$80</f>
        <v>-0.43800000000000028</v>
      </c>
      <c r="BC19" s="1013">
        <f>'qtrP&amp;L'!$BH$81</f>
        <v>4.1509999999999998</v>
      </c>
      <c r="BD19" s="1013">
        <f>'qtrP&amp;L'!$BH$82</f>
        <v>0.45100000000000001</v>
      </c>
      <c r="BE19" s="1013">
        <f>'qtrP&amp;L'!$BH$83</f>
        <v>-0.89600000000000002</v>
      </c>
      <c r="BF19" s="1013"/>
      <c r="BG19" s="1013">
        <f>'qtrP&amp;L'!$BL$80</f>
        <v>-0.121</v>
      </c>
      <c r="BH19" s="1013">
        <f>'qtrP&amp;L'!$BL$81</f>
        <v>1.1099999999999999</v>
      </c>
      <c r="BI19" s="1013">
        <f>'qtrP&amp;L'!$BL$82</f>
        <v>-1.986</v>
      </c>
      <c r="BJ19" s="1013">
        <f>'qtrP&amp;L'!$BL$83</f>
        <v>-1.0269999999999999</v>
      </c>
      <c r="BK19" s="1013"/>
      <c r="BL19" s="1015">
        <f>'qtrP&amp;L'!$BP$80</f>
        <v>-4.5119999999999996</v>
      </c>
      <c r="BM19" s="1013">
        <f>'qtrP&amp;L'!$BP$81</f>
        <v>-1.431</v>
      </c>
      <c r="BN19" s="1013">
        <f>'qtrP&amp;L'!$BP$82</f>
        <v>0.40699999999999997</v>
      </c>
      <c r="BO19" s="1013">
        <f>'qtrP&amp;L'!$BP$83</f>
        <v>-0.33800000000000002</v>
      </c>
      <c r="BP19" s="1013"/>
      <c r="BQ19" s="1013">
        <f>'qtrP&amp;L'!$BT$80</f>
        <v>-3.5070000000000001</v>
      </c>
      <c r="BR19" s="1013">
        <f>'qtrP&amp;L'!$BT$81</f>
        <v>0.34300000000000003</v>
      </c>
      <c r="BS19" s="1013">
        <f>'qtrP&amp;L'!$BT$82</f>
        <v>-2.8220000000000001</v>
      </c>
      <c r="BT19" s="1013">
        <f>'qtrP&amp;L'!$BT$83</f>
        <v>-1.446</v>
      </c>
      <c r="BU19" s="1013"/>
      <c r="BV19" s="1013">
        <f>'qtrP&amp;L'!BX80</f>
        <v>0.68200000000000005</v>
      </c>
      <c r="BW19" s="1013">
        <f>'qtrP&amp;L'!BX81</f>
        <v>-1.149</v>
      </c>
      <c r="BX19" s="1013">
        <f>'qtrP&amp;L'!BX82</f>
        <v>-0.52</v>
      </c>
      <c r="BY19" s="1013">
        <f>'qtrP&amp;L'!BX83</f>
        <v>-1.5499999999999998</v>
      </c>
      <c r="BZ19" s="1013"/>
      <c r="CA19" s="1013">
        <f>'qtrP&amp;L'!CB80</f>
        <v>-0.68600000000000005</v>
      </c>
      <c r="CB19" s="1013">
        <f>'qtrP&amp;L'!CB81</f>
        <v>-0.85</v>
      </c>
      <c r="CC19" s="1013">
        <f>'qtrP&amp;L'!CB82</f>
        <v>-0.52</v>
      </c>
      <c r="CD19" s="1013">
        <f>'qtrP&amp;L'!CB83</f>
        <v>-1.552</v>
      </c>
      <c r="CE19" s="1013"/>
      <c r="CF19" s="1013">
        <f>'qtrP&amp;L'!CF80</f>
        <v>-5.97</v>
      </c>
      <c r="CG19" s="1013">
        <f>'qtrP&amp;L'!CF81</f>
        <v>2.2370000000000001</v>
      </c>
      <c r="CH19" s="1013">
        <f>'qtrP&amp;L'!CF82</f>
        <v>-0.52100000000000002</v>
      </c>
      <c r="CI19" s="1013">
        <f>'qtrP&amp;L'!CF83</f>
        <v>2.262</v>
      </c>
      <c r="CJ19" s="1013"/>
      <c r="CK19" s="1013">
        <f>'qtrP&amp;L'!CJ80</f>
        <v>-4.9349999999999996</v>
      </c>
      <c r="CL19" s="1013">
        <f>'qtrP&amp;L'!CJ81</f>
        <v>3.1339999999999999</v>
      </c>
      <c r="CM19" s="1013">
        <f>'qtrP&amp;L'!CJ82</f>
        <v>-0.60299999999999998</v>
      </c>
      <c r="CN19" s="1013">
        <f>'qtrP&amp;L'!CJ83</f>
        <v>-1.38</v>
      </c>
      <c r="CO19" s="1013"/>
      <c r="CP19" s="1013">
        <f t="array" ref="CP19:CS19">TRANSPOSE('qtrP&amp;L'!CN80:CN83)</f>
        <v>-0.40300000000000002</v>
      </c>
      <c r="CQ19" s="1013">
        <v>-2.577</v>
      </c>
      <c r="CR19" s="1013">
        <v>13.243</v>
      </c>
      <c r="CS19" s="1013">
        <v>-2.6120000000000001</v>
      </c>
      <c r="CT19" s="1013"/>
      <c r="CU19" s="1013">
        <f t="array" ref="CU19:CX19">TRANSPOSE('qtrP&amp;L'!CR80:CR83)</f>
        <v>-0.5</v>
      </c>
      <c r="CV19" s="1013">
        <v>-0.5</v>
      </c>
      <c r="CW19" s="1013">
        <v>-0.5</v>
      </c>
      <c r="CX19" s="1013">
        <v>-0.5</v>
      </c>
      <c r="CY19" s="1013"/>
      <c r="CZ19" s="1013">
        <f>'yrP&amp;L'!C36</f>
        <v>-0.97299999999999986</v>
      </c>
      <c r="DA19" s="1013">
        <f>'yrP&amp;L'!D36</f>
        <v>-1.1579999999999999</v>
      </c>
      <c r="DB19" s="1013">
        <f>'yrP&amp;L'!E36</f>
        <v>-2.4359999999999999</v>
      </c>
      <c r="DC19" s="1013">
        <f>'yrP&amp;L'!F36</f>
        <v>0.1599999999999997</v>
      </c>
      <c r="DD19" s="1013">
        <f>'yrP&amp;L'!G36</f>
        <v>-6.2490000000000006</v>
      </c>
      <c r="DE19" s="1013">
        <f>'yrP&amp;L'!H36</f>
        <v>-2.7719999999999998</v>
      </c>
      <c r="DF19" s="1013">
        <f>'yrP&amp;L'!I36</f>
        <v>-2.528</v>
      </c>
      <c r="DG19" s="1013">
        <f>'yrP&amp;L'!J36</f>
        <v>-2.016</v>
      </c>
      <c r="DH19" s="1013">
        <f>'yrP&amp;L'!K36</f>
        <v>-5.867</v>
      </c>
      <c r="DI19" s="1013">
        <f>'yrP&amp;L'!L36</f>
        <v>-18.277999999999999</v>
      </c>
      <c r="DJ19" s="1015">
        <f>'yrP&amp;L'!M36</f>
        <v>-42.277999999999992</v>
      </c>
      <c r="DK19" s="1016">
        <f>'yrP&amp;L'!N36</f>
        <v>-37.626000000000005</v>
      </c>
      <c r="DL19" s="1015">
        <f>'yrP&amp;L'!O36</f>
        <v>-17.805999999999997</v>
      </c>
      <c r="DM19" s="1013">
        <f>'yrP&amp;L'!P36</f>
        <v>3.2679999999999998</v>
      </c>
      <c r="DN19" s="1014"/>
      <c r="DO19" s="1015">
        <f>'yrP&amp;L'!Q36</f>
        <v>-2.024</v>
      </c>
      <c r="DP19" s="1013">
        <f>'yrP&amp;L'!R36</f>
        <v>-5.8739999999999997</v>
      </c>
      <c r="DQ19" s="1013">
        <f>'yrP&amp;L'!S36</f>
        <v>-7.4320000000000004</v>
      </c>
      <c r="DR19" s="1015">
        <f>'yrP&amp;L'!T36</f>
        <v>-2.5369999999999999</v>
      </c>
      <c r="DS19" s="1013">
        <f>'yrP&amp;L'!U36</f>
        <v>-3.6080000000000001</v>
      </c>
      <c r="DT19" s="1013">
        <f>'yrP&amp;L'!V36</f>
        <v>-1.9919999999999995</v>
      </c>
      <c r="DU19" s="1013">
        <f>'yrP&amp;L'!W36</f>
        <v>-3.7839999999999998</v>
      </c>
      <c r="DV19" s="1013">
        <f>'yrP&amp;L'!X36</f>
        <v>7.6509999999999998</v>
      </c>
      <c r="DW19" s="1013">
        <f>'yrP&amp;L'!Y36</f>
        <v>-2</v>
      </c>
      <c r="DX19" s="1013">
        <f>'yrP&amp;L'!Z36</f>
        <v>-6.3853062776180705E-2</v>
      </c>
      <c r="DY19" s="1016">
        <f>'yrP&amp;L'!AA36</f>
        <v>-6.4859301640495581E-2</v>
      </c>
      <c r="DZ19" s="1016">
        <f>'yrP&amp;L'!AB36</f>
        <v>-6.4863227818837452E-2</v>
      </c>
      <c r="EA19" s="1013"/>
      <c r="EH19" s="1012"/>
      <c r="EI19" s="1012"/>
      <c r="EJ19" s="1012"/>
    </row>
    <row r="20" spans="2:140" ht="12.75">
      <c r="B20" s="1013" t="s">
        <v>785</v>
      </c>
      <c r="C20" s="1006"/>
      <c r="D20" s="1006">
        <f>D17-D19</f>
        <v>20.169000000000004</v>
      </c>
      <c r="E20" s="1006">
        <f>E17-E19</f>
        <v>27.928000000000001</v>
      </c>
      <c r="F20" s="1006">
        <f>F17-F19</f>
        <v>40.096000000000011</v>
      </c>
      <c r="G20" s="1006">
        <f>G17-G19</f>
        <v>61.161000000000001</v>
      </c>
      <c r="H20" s="1006"/>
      <c r="I20" s="1006">
        <f>I17-I19</f>
        <v>20.770999999999997</v>
      </c>
      <c r="J20" s="1006">
        <f>J17-J19</f>
        <v>4.5700000000000056</v>
      </c>
      <c r="K20" s="1006">
        <f>K17-K19</f>
        <v>47.911999999999999</v>
      </c>
      <c r="L20" s="1006">
        <f>L17-L19</f>
        <v>79.546999999999969</v>
      </c>
      <c r="M20" s="1006"/>
      <c r="N20" s="1006">
        <f>N17-N19</f>
        <v>25.126000000000012</v>
      </c>
      <c r="O20" s="1006">
        <f>O17-O19</f>
        <v>23.73</v>
      </c>
      <c r="P20" s="1006">
        <f>P17-P19</f>
        <v>49.578999999999986</v>
      </c>
      <c r="Q20" s="1006">
        <f>Q17-Q19</f>
        <v>70.810000000000031</v>
      </c>
      <c r="R20" s="1006"/>
      <c r="S20" s="1006">
        <f>S17-S19</f>
        <v>20.582999999999984</v>
      </c>
      <c r="T20" s="1006">
        <f>T17-T19</f>
        <v>16.285999999999998</v>
      </c>
      <c r="U20" s="1006">
        <f>U17-U19</f>
        <v>43.80000000000004</v>
      </c>
      <c r="V20" s="1006">
        <f>V17-V19</f>
        <v>62.943999999999946</v>
      </c>
      <c r="W20" s="1006"/>
      <c r="X20" s="1006">
        <f>X17-X19</f>
        <v>10.357000000000005</v>
      </c>
      <c r="Y20" s="1006">
        <f>Y17-Y19</f>
        <v>13.113999999999999</v>
      </c>
      <c r="Z20" s="1006">
        <f>Z17-Z19</f>
        <v>21.647000000000009</v>
      </c>
      <c r="AA20" s="1006">
        <f>'qtrP&amp;L'!AJ93</f>
        <v>69.762999999999977</v>
      </c>
      <c r="AB20" s="1006"/>
      <c r="AC20" s="1006">
        <f>AC17-AC19</f>
        <v>44.071000000000026</v>
      </c>
      <c r="AD20" s="1006">
        <f>AD17-AD19</f>
        <v>51.507999999999996</v>
      </c>
      <c r="AE20" s="1006">
        <f>AE17-AE19</f>
        <v>96.225999999999985</v>
      </c>
      <c r="AF20" s="1006">
        <f>AF17-AF19</f>
        <v>175.03</v>
      </c>
      <c r="AG20" s="1006"/>
      <c r="AH20" s="1006">
        <f>AH17-AH19</f>
        <v>90.496999999999971</v>
      </c>
      <c r="AI20" s="1006">
        <f>AI17-AI19</f>
        <v>90.486000000000075</v>
      </c>
      <c r="AJ20" s="1006">
        <f>AJ17-AJ19</f>
        <v>117.38000000000004</v>
      </c>
      <c r="AK20" s="1006">
        <f>AK17-AK19</f>
        <v>178.60400000000007</v>
      </c>
      <c r="AL20" s="1006"/>
      <c r="AM20" s="1006">
        <f>AM17-AM19</f>
        <v>106.36199999999997</v>
      </c>
      <c r="AN20" s="1006">
        <f>AN17-AN19</f>
        <v>118.22100000000003</v>
      </c>
      <c r="AO20" s="1006">
        <f>AO17-AO19</f>
        <v>161.58099999999996</v>
      </c>
      <c r="AP20" s="1006">
        <f>AP17-AP19</f>
        <v>242.90300000000002</v>
      </c>
      <c r="AQ20" s="1006"/>
      <c r="AR20" s="1006">
        <f>AR17-AR19</f>
        <v>127.28899999999994</v>
      </c>
      <c r="AS20" s="1006">
        <f>AS17-AS19</f>
        <v>131.45199999999994</v>
      </c>
      <c r="AT20" s="1006">
        <f>AT17-AT19</f>
        <v>157.79399999999998</v>
      </c>
      <c r="AU20" s="1006">
        <f>AU17-AU19</f>
        <v>219.84599999999995</v>
      </c>
      <c r="AV20" s="1006"/>
      <c r="AW20" s="1006">
        <f>AW17-AW19</f>
        <v>70.937000000000026</v>
      </c>
      <c r="AX20" s="1006">
        <f>AX17-AX19</f>
        <v>93.402000000000072</v>
      </c>
      <c r="AY20" s="1006">
        <f>AY17-AY19</f>
        <v>99.348999999999918</v>
      </c>
      <c r="AZ20" s="1006">
        <f>AZ17-AZ19</f>
        <v>62.957999999999927</v>
      </c>
      <c r="BA20" s="1006"/>
      <c r="BB20" s="1006">
        <f>BB17-BB19</f>
        <v>39.265000000000001</v>
      </c>
      <c r="BC20" s="1006">
        <f>BC17-BC19</f>
        <v>55.458000000000013</v>
      </c>
      <c r="BD20" s="1006">
        <f>BD17-BD19</f>
        <v>84.122999999999948</v>
      </c>
      <c r="BE20" s="1006">
        <f>BE17-BE19</f>
        <v>128.27799999999991</v>
      </c>
      <c r="BF20" s="1006"/>
      <c r="BG20" s="1006">
        <f>BG17-BG19</f>
        <v>56.722999999999985</v>
      </c>
      <c r="BH20" s="1006">
        <f>BH17-BH19</f>
        <v>40.508000000000017</v>
      </c>
      <c r="BI20" s="1006">
        <f>BI17-BI19</f>
        <v>100.33099999999995</v>
      </c>
      <c r="BJ20" s="1006">
        <f>BJ17-BJ19</f>
        <v>144.0136</v>
      </c>
      <c r="BK20" s="1006"/>
      <c r="BL20" s="1005">
        <f>BL17-BL19</f>
        <v>48.643000000000065</v>
      </c>
      <c r="BM20" s="1006">
        <f>BM17-BM19</f>
        <v>39.498999999999995</v>
      </c>
      <c r="BN20" s="1006">
        <f>BN17-BN19</f>
        <v>91.745999999999938</v>
      </c>
      <c r="BO20" s="1006">
        <f>BO17-BO19</f>
        <v>120.0350000000001</v>
      </c>
      <c r="BP20" s="1006"/>
      <c r="BQ20" s="1006">
        <f>BQ17-BQ19</f>
        <v>67.815000000000083</v>
      </c>
      <c r="BR20" s="1006">
        <f>BR17-BR19</f>
        <v>66.529999999999959</v>
      </c>
      <c r="BS20" s="1006">
        <f>BS17-BS19</f>
        <v>131.36300000000006</v>
      </c>
      <c r="BT20" s="1006">
        <f>BT17-BT19</f>
        <v>178.84800000000016</v>
      </c>
      <c r="BU20" s="1006"/>
      <c r="BV20" s="1006">
        <f>BV17-BV19</f>
        <v>56.677999999999976</v>
      </c>
      <c r="BW20" s="1006">
        <f>BW17-BW19</f>
        <v>30.573999999999991</v>
      </c>
      <c r="BX20" s="1006">
        <f>BX17-BX19</f>
        <v>61.672000000000004</v>
      </c>
      <c r="BY20" s="1006">
        <f>BY17-BY19</f>
        <v>87.321000000000041</v>
      </c>
      <c r="BZ20" s="1006"/>
      <c r="CA20" s="1006">
        <f>CA17-CA19</f>
        <v>9.1110000000000326</v>
      </c>
      <c r="CB20" s="1006">
        <f>CB17-CB19</f>
        <v>12.897000000000025</v>
      </c>
      <c r="CC20" s="1006">
        <f>CC17-CC19</f>
        <v>74.822999999999993</v>
      </c>
      <c r="CD20" s="1006">
        <f>CD17-CD19</f>
        <v>113.76200000000007</v>
      </c>
      <c r="CE20" s="1006"/>
      <c r="CF20" s="1006">
        <f>CF17-CF19</f>
        <v>47.963999999999977</v>
      </c>
      <c r="CG20" s="1006">
        <f>CG17-CG19</f>
        <v>50.901999999999987</v>
      </c>
      <c r="CH20" s="1006">
        <f>CH17-CH19</f>
        <v>109.63200000000005</v>
      </c>
      <c r="CI20" s="1006">
        <f>CI17-CI19</f>
        <v>113.37400000000001</v>
      </c>
      <c r="CJ20" s="1006"/>
      <c r="CK20" s="1006">
        <f>CK17-CK19</f>
        <v>63.611000000000061</v>
      </c>
      <c r="CL20" s="1006">
        <f>CL17-CL19</f>
        <v>65.52500000000002</v>
      </c>
      <c r="CM20" s="1006">
        <f>CM17-CM19</f>
        <v>118.87100000000002</v>
      </c>
      <c r="CN20" s="1006">
        <f>CN17-CN19</f>
        <v>108.42000000000007</v>
      </c>
      <c r="CO20" s="1006"/>
      <c r="CP20" s="1006">
        <f>CP17-CP19</f>
        <v>42.79999999999999</v>
      </c>
      <c r="CQ20" s="1006">
        <f>CQ17-CQ19</f>
        <v>52.905999999999935</v>
      </c>
      <c r="CR20" s="1006">
        <f>CR17-CR19</f>
        <v>101.37500000000003</v>
      </c>
      <c r="CS20" s="1006">
        <f>CS17-CS19</f>
        <v>120.34599999999998</v>
      </c>
      <c r="CT20" s="1006"/>
      <c r="CU20" s="1006">
        <f>CU17-CU19</f>
        <v>53.443194008840862</v>
      </c>
      <c r="CV20" s="1006">
        <f>CV17-CV19</f>
        <v>72.501949486360246</v>
      </c>
      <c r="CW20" s="1006">
        <f>CW17-CW19</f>
        <v>99.898673830245173</v>
      </c>
      <c r="CX20" s="1006">
        <f>CX17-CX19</f>
        <v>96.132301037342728</v>
      </c>
      <c r="CY20" s="1006"/>
      <c r="CZ20" s="1006">
        <f t="shared" ref="CZ20:DI20" si="9">CZ17-CZ19</f>
        <v>9.8319999999999688</v>
      </c>
      <c r="DA20" s="1006">
        <f t="shared" si="9"/>
        <v>32.277999999999992</v>
      </c>
      <c r="DB20" s="1006">
        <f t="shared" si="9"/>
        <v>89.489000000000004</v>
      </c>
      <c r="DC20" s="1006">
        <f t="shared" si="9"/>
        <v>149.35400000000004</v>
      </c>
      <c r="DD20" s="1006">
        <f t="shared" si="9"/>
        <v>152.79999999999987</v>
      </c>
      <c r="DE20" s="1006">
        <f t="shared" si="9"/>
        <v>169.24500000000018</v>
      </c>
      <c r="DF20" s="1006">
        <f t="shared" si="9"/>
        <v>143.61300000000003</v>
      </c>
      <c r="DG20" s="1006">
        <f t="shared" si="9"/>
        <v>135.28699999999992</v>
      </c>
      <c r="DH20" s="1006">
        <f t="shared" si="9"/>
        <v>366.83500000000004</v>
      </c>
      <c r="DI20" s="1006">
        <f t="shared" si="9"/>
        <v>476.96700000000004</v>
      </c>
      <c r="DJ20" s="1005">
        <f t="shared" ref="DJ20:DW20" si="10">DJ17-DJ19</f>
        <v>629.06699999999955</v>
      </c>
      <c r="DK20" s="1008">
        <f t="shared" si="10"/>
        <v>636.38099999999963</v>
      </c>
      <c r="DL20" s="1005">
        <f t="shared" si="10"/>
        <v>326.64599999999996</v>
      </c>
      <c r="DM20" s="1006">
        <f t="shared" si="10"/>
        <v>307.12399999999985</v>
      </c>
      <c r="DN20" s="1004"/>
      <c r="DO20" s="1005">
        <f t="shared" si="10"/>
        <v>341.57560000000001</v>
      </c>
      <c r="DP20" s="1006">
        <f t="shared" si="10"/>
        <v>299.92300000000012</v>
      </c>
      <c r="DQ20" s="1006">
        <f t="shared" si="10"/>
        <v>444.55600000000021</v>
      </c>
      <c r="DR20" s="1005">
        <f t="shared" si="10"/>
        <v>236.24499999999964</v>
      </c>
      <c r="DS20" s="1006">
        <f t="shared" si="10"/>
        <v>210.59300000000007</v>
      </c>
      <c r="DT20" s="1006">
        <f t="shared" si="10"/>
        <v>321.8719999999999</v>
      </c>
      <c r="DU20" s="1006">
        <f>DU17-DU19</f>
        <v>356.42700000000025</v>
      </c>
      <c r="DV20" s="1006">
        <f t="shared" si="10"/>
        <v>317.42699999999979</v>
      </c>
      <c r="DW20" s="1006">
        <f t="shared" si="10"/>
        <v>321.97611836278844</v>
      </c>
      <c r="DX20" s="1006">
        <f>DX17-DX19</f>
        <v>320.55687727802581</v>
      </c>
      <c r="DY20" s="1008">
        <f>DY17-DY19</f>
        <v>306.92643762961575</v>
      </c>
      <c r="DZ20" s="1008">
        <f>DZ17-DZ19</f>
        <v>292.63454355130602</v>
      </c>
      <c r="EA20" s="1006"/>
      <c r="EH20" s="1012"/>
      <c r="EI20" s="1012"/>
      <c r="EJ20" s="1012"/>
    </row>
    <row r="21" spans="2:140" ht="8.25" customHeight="1">
      <c r="B21" s="1013"/>
      <c r="C21" s="1021"/>
      <c r="D21" s="1021"/>
      <c r="E21" s="1021"/>
      <c r="F21" s="1021"/>
      <c r="G21" s="1021"/>
      <c r="H21" s="1021"/>
      <c r="I21" s="1021"/>
      <c r="J21" s="1021"/>
      <c r="K21" s="1021"/>
      <c r="L21" s="1021"/>
      <c r="M21" s="1021"/>
      <c r="N21" s="1021"/>
      <c r="O21" s="1021"/>
      <c r="P21" s="1021"/>
      <c r="Q21" s="1021"/>
      <c r="R21" s="1021"/>
      <c r="S21" s="1021"/>
      <c r="T21" s="1021"/>
      <c r="U21" s="1021"/>
      <c r="V21" s="1021"/>
      <c r="W21" s="1021"/>
      <c r="X21" s="1021"/>
      <c r="Y21" s="1021"/>
      <c r="Z21" s="1021"/>
      <c r="AA21" s="1021"/>
      <c r="AB21" s="1021"/>
      <c r="AC21" s="1021"/>
      <c r="AD21" s="1021"/>
      <c r="AE21" s="1021"/>
      <c r="AF21" s="1021"/>
      <c r="AG21" s="1021"/>
      <c r="AH21" s="1021"/>
      <c r="AI21" s="1021"/>
      <c r="AJ21" s="1021"/>
      <c r="AK21" s="1021"/>
      <c r="AL21" s="1021"/>
      <c r="AM21" s="1021"/>
      <c r="AN21" s="1021"/>
      <c r="AO21" s="1021"/>
      <c r="AP21" s="1021"/>
      <c r="AQ21" s="1021"/>
      <c r="AR21" s="1021"/>
      <c r="AS21" s="1021"/>
      <c r="AT21" s="1021"/>
      <c r="AU21" s="1021"/>
      <c r="AV21" s="1021"/>
      <c r="AW21" s="1021"/>
      <c r="AX21" s="1021"/>
      <c r="AY21" s="1021"/>
      <c r="AZ21" s="1021"/>
      <c r="BA21" s="1021"/>
      <c r="BB21" s="1021"/>
      <c r="BC21" s="1021"/>
      <c r="BD21" s="1021"/>
      <c r="BE21" s="1021"/>
      <c r="BF21" s="1021"/>
      <c r="BG21" s="1021"/>
      <c r="BH21" s="1021"/>
      <c r="BI21" s="1021"/>
      <c r="BJ21" s="1021"/>
      <c r="BK21" s="1021"/>
      <c r="BL21" s="1020"/>
      <c r="BM21" s="1021"/>
      <c r="BN21" s="1021"/>
      <c r="BO21" s="1021"/>
      <c r="BP21" s="1021"/>
      <c r="BQ21" s="1021"/>
      <c r="BR21" s="1021"/>
      <c r="BS21" s="1021"/>
      <c r="BT21" s="1021"/>
      <c r="BU21" s="1021"/>
      <c r="BV21" s="1021"/>
      <c r="BW21" s="1021"/>
      <c r="BX21" s="1021"/>
      <c r="BY21" s="1021"/>
      <c r="BZ21" s="1021"/>
      <c r="CA21" s="1021"/>
      <c r="CB21" s="1021"/>
      <c r="CC21" s="1021"/>
      <c r="CD21" s="1021"/>
      <c r="CE21" s="1021"/>
      <c r="CF21" s="1021"/>
      <c r="CG21" s="1021"/>
      <c r="CH21" s="1021"/>
      <c r="CI21" s="1021"/>
      <c r="CJ21" s="1021"/>
      <c r="CK21" s="1021"/>
      <c r="CL21" s="1021"/>
      <c r="CM21" s="1021"/>
      <c r="CN21" s="1021"/>
      <c r="CO21" s="1021"/>
      <c r="CP21" s="1021"/>
      <c r="CQ21" s="1021"/>
      <c r="CR21" s="1021"/>
      <c r="CS21" s="1021"/>
      <c r="CT21" s="1021"/>
      <c r="CU21" s="1021"/>
      <c r="CV21" s="1021"/>
      <c r="CW21" s="1021"/>
      <c r="CX21" s="1021"/>
      <c r="CY21" s="1021"/>
      <c r="CZ21" s="1021"/>
      <c r="DA21" s="1021"/>
      <c r="DB21" s="1021"/>
      <c r="DC21" s="1021"/>
      <c r="DD21" s="1021"/>
      <c r="DE21" s="1021"/>
      <c r="DF21" s="1021"/>
      <c r="DG21" s="1021"/>
      <c r="DH21" s="1021"/>
      <c r="DI21" s="1021"/>
      <c r="DJ21" s="1020"/>
      <c r="DK21" s="1022"/>
      <c r="DL21" s="1020"/>
      <c r="DM21" s="1021"/>
      <c r="DN21" s="1019"/>
      <c r="DO21" s="1020"/>
      <c r="DP21" s="1021"/>
      <c r="DQ21" s="1021"/>
      <c r="DR21" s="1020"/>
      <c r="DS21" s="1021"/>
      <c r="DT21" s="1021"/>
      <c r="DU21" s="1021"/>
      <c r="DV21" s="1021"/>
      <c r="DW21" s="1021"/>
      <c r="DX21" s="1021"/>
      <c r="DY21" s="1022"/>
      <c r="DZ21" s="1022"/>
      <c r="EA21" s="1021"/>
      <c r="EH21" s="1012"/>
      <c r="EI21" s="1012"/>
      <c r="EJ21" s="1012"/>
    </row>
    <row r="22" spans="2:140" ht="12.75">
      <c r="B22" s="1013" t="s">
        <v>786</v>
      </c>
      <c r="C22" s="1013"/>
      <c r="D22" s="1013">
        <f>'qtrP&amp;L'!S110</f>
        <v>7.9260000000000002</v>
      </c>
      <c r="E22" s="1013">
        <f>'qtrP&amp;L'!S111</f>
        <v>10.978999999999999</v>
      </c>
      <c r="F22" s="1013">
        <f>'qtrP&amp;L'!S112</f>
        <v>15.759</v>
      </c>
      <c r="G22" s="1013">
        <f>'qtrP&amp;L'!S113</f>
        <v>24.03</v>
      </c>
      <c r="H22" s="1013"/>
      <c r="I22" s="1013">
        <f>'qtrP&amp;L'!W110</f>
        <v>8.1630000000000003</v>
      </c>
      <c r="J22" s="1013">
        <f>'qtrP&amp;L'!W111</f>
        <v>1.7929999999999999</v>
      </c>
      <c r="K22" s="1013">
        <f>'qtrP&amp;L'!W112</f>
        <v>18.686</v>
      </c>
      <c r="L22" s="1013">
        <f>'qtrP&amp;L'!W113</f>
        <v>30.4</v>
      </c>
      <c r="M22" s="1013"/>
      <c r="N22" s="1013">
        <f>'qtrP&amp;L'!AB110</f>
        <v>9.5809999999999995</v>
      </c>
      <c r="O22" s="1013">
        <f>'qtrP&amp;L'!AB111</f>
        <v>8.4239999999999995</v>
      </c>
      <c r="P22" s="1013">
        <f>'qtrP&amp;L'!AB112</f>
        <v>18.837</v>
      </c>
      <c r="Q22" s="1013">
        <f>'qtrP&amp;L'!AB113</f>
        <v>26.908000000000001</v>
      </c>
      <c r="R22" s="1013"/>
      <c r="S22" s="1013">
        <f>'qtrP&amp;L'!AF110</f>
        <v>7.8650000000000002</v>
      </c>
      <c r="T22" s="1013">
        <f>'qtrP&amp;L'!AF111</f>
        <v>6.2290000000000001</v>
      </c>
      <c r="U22" s="1013">
        <f>'qtrP&amp;L'!AF112</f>
        <v>16.716000000000001</v>
      </c>
      <c r="V22" s="1013">
        <f>'qtrP&amp;L'!AF113</f>
        <v>24.068000000000001</v>
      </c>
      <c r="W22" s="1013"/>
      <c r="X22" s="1013">
        <f>'qtrP&amp;L'!AJ110</f>
        <v>3.9540000000000002</v>
      </c>
      <c r="Y22" s="1013">
        <f>'qtrP&amp;L'!AJ111</f>
        <v>5.01</v>
      </c>
      <c r="Z22" s="1013">
        <f>'qtrP&amp;L'!AJ112</f>
        <v>11.507999999999999</v>
      </c>
      <c r="AA22" s="1013">
        <f>'qtrP&amp;L'!AJ113</f>
        <v>26.952999999999999</v>
      </c>
      <c r="AB22" s="1013"/>
      <c r="AC22" s="1013">
        <f>+'qtrP&amp;L'!$AN$110</f>
        <v>16.972000000000001</v>
      </c>
      <c r="AD22" s="1013">
        <f>+'qtrP&amp;L'!$AN$111</f>
        <v>19.925999999999998</v>
      </c>
      <c r="AE22" s="1013">
        <f>+'qtrP&amp;L'!$AN$112</f>
        <v>37.521000000000001</v>
      </c>
      <c r="AF22" s="1013">
        <f>+'qtrP&amp;L'!$AN$113</f>
        <v>68.085999999999999</v>
      </c>
      <c r="AG22" s="1013"/>
      <c r="AH22" s="1013">
        <f>+'qtrP&amp;L'!$AR$110</f>
        <v>35.313000000000002</v>
      </c>
      <c r="AI22" s="1013">
        <f>'qtrP&amp;L'!AR111</f>
        <v>32.451999999999998</v>
      </c>
      <c r="AJ22" s="1013">
        <f>+'qtrP&amp;L'!$AR$112</f>
        <v>44.023000000000003</v>
      </c>
      <c r="AK22" s="1013">
        <f>+'qtrP&amp;L'!$AR$113</f>
        <v>71.468000000000004</v>
      </c>
      <c r="AL22" s="1013"/>
      <c r="AM22" s="1013">
        <f>+'qtrP&amp;L'!$AV$110</f>
        <v>42.206000000000003</v>
      </c>
      <c r="AN22" s="1013">
        <f>'qtrP&amp;L'!AV111</f>
        <v>46.122</v>
      </c>
      <c r="AO22" s="1013">
        <f>+'qtrP&amp;L'!$AV$112</f>
        <v>60.636000000000003</v>
      </c>
      <c r="AP22" s="1013">
        <f>+'qtrP&amp;L'!$AV$113</f>
        <v>92.744</v>
      </c>
      <c r="AQ22" s="1013"/>
      <c r="AR22" s="1013">
        <f>+'qtrP&amp;L'!$AZ$110</f>
        <v>48.518999999999998</v>
      </c>
      <c r="AS22" s="1013">
        <f>'qtrP&amp;L'!AZ111</f>
        <v>50.107999999999997</v>
      </c>
      <c r="AT22" s="1013">
        <f>+'qtrP&amp;L'!$AZ$112</f>
        <v>58.368000000000002</v>
      </c>
      <c r="AU22" s="1013">
        <f>+'qtrP&amp;L'!$AZ$113</f>
        <v>79.367000000000004</v>
      </c>
      <c r="AV22" s="1013"/>
      <c r="AW22" s="1013">
        <f>'qtrP&amp;L'!BD110</f>
        <v>27.042000000000002</v>
      </c>
      <c r="AX22" s="1013">
        <f>'qtrP&amp;L'!BD111</f>
        <v>33.570999999999998</v>
      </c>
      <c r="AY22" s="1013">
        <f>'qtrP&amp;L'!BD112</f>
        <v>36.844999999999999</v>
      </c>
      <c r="AZ22" s="1013">
        <f>'qtrP&amp;L'!BD113</f>
        <v>24.209899999999998</v>
      </c>
      <c r="BA22" s="1013"/>
      <c r="BB22" s="1013">
        <f>'qtrP&amp;L'!$BH$110</f>
        <v>15.712</v>
      </c>
      <c r="BC22" s="1013">
        <f>'qtrP&amp;L'!$BH$111</f>
        <v>18.701000000000001</v>
      </c>
      <c r="BD22" s="1013">
        <f>'qtrP&amp;L'!$BH$112</f>
        <v>16.175000000000001</v>
      </c>
      <c r="BE22" s="1013">
        <f>'qtrP&amp;L'!$BH$113</f>
        <v>48.661000000000001</v>
      </c>
      <c r="BF22" s="1013"/>
      <c r="BG22" s="1013">
        <f>'qtrP&amp;L'!$BL$110</f>
        <v>18.954000000000001</v>
      </c>
      <c r="BH22" s="1013">
        <f>'qtrP&amp;L'!$BL$111</f>
        <v>12.516999999999999</v>
      </c>
      <c r="BI22" s="1013">
        <f>'qtrP&amp;L'!$BL$112</f>
        <v>38.679000000000002</v>
      </c>
      <c r="BJ22" s="1013">
        <f>'qtrP&amp;L'!$BL$113</f>
        <v>51.494</v>
      </c>
      <c r="BK22" s="1013"/>
      <c r="BL22" s="1015">
        <f>'qtrP&amp;L'!$BP$110</f>
        <v>16.771999999999998</v>
      </c>
      <c r="BM22" s="1013">
        <f>'qtrP&amp;L'!$BP$111</f>
        <v>14.407</v>
      </c>
      <c r="BN22" s="1013">
        <f>'qtrP&amp;L'!$BP$112</f>
        <v>33.795000000000002</v>
      </c>
      <c r="BO22" s="1013">
        <f>'qtrP&amp;L'!$BP$113</f>
        <v>44.429040000000001</v>
      </c>
      <c r="BP22" s="1013"/>
      <c r="BQ22" s="1013">
        <f>'qtrP&amp;L'!$BT$110</f>
        <v>23.78</v>
      </c>
      <c r="BR22" s="1013">
        <f>'qtrP&amp;L'!$BT$111</f>
        <v>24.9</v>
      </c>
      <c r="BS22" s="1013">
        <f>'qtrP&amp;L'!$BT$112</f>
        <v>48.921999999999997</v>
      </c>
      <c r="BT22" s="1013">
        <f>'qtrP&amp;L'!$BT$113</f>
        <v>68.266000000000005</v>
      </c>
      <c r="BU22" s="1013"/>
      <c r="BV22" s="1013">
        <f>'qtrP&amp;L'!BX110</f>
        <v>21.533999999999999</v>
      </c>
      <c r="BW22" s="1013">
        <f>'qtrP&amp;L'!BX111</f>
        <v>10.98</v>
      </c>
      <c r="BX22" s="1013">
        <f>'qtrP&amp;L'!BX112</f>
        <v>24.850999999999999</v>
      </c>
      <c r="BY22" s="1013">
        <f>'qtrP&amp;L'!BX113</f>
        <v>34.292000000000002</v>
      </c>
      <c r="BZ22" s="1013"/>
      <c r="CA22" s="1013">
        <f>'qtrP&amp;L'!CB110</f>
        <v>5.2450000000000001</v>
      </c>
      <c r="CB22" s="1013">
        <f>'qtrP&amp;L'!CB111</f>
        <v>7.0839999999999996</v>
      </c>
      <c r="CC22" s="1013">
        <f>'qtrP&amp;L'!CB112</f>
        <v>31.720111999999997</v>
      </c>
      <c r="CD22" s="1013">
        <f>'qtrP&amp;L'!CB113</f>
        <v>43.688000000000002</v>
      </c>
      <c r="CE22" s="1013"/>
      <c r="CF22" s="1013">
        <f>'qtrP&amp;L'!CF110</f>
        <v>18.908999999999999</v>
      </c>
      <c r="CG22" s="1013">
        <f>'qtrP&amp;L'!CF111</f>
        <v>17.637</v>
      </c>
      <c r="CH22" s="1013">
        <f>'qtrP&amp;L'!CF112</f>
        <v>40.366999999999997</v>
      </c>
      <c r="CI22" s="1013">
        <f>'qtrP&amp;L'!CF113</f>
        <v>31.667999999999999</v>
      </c>
      <c r="CJ22" s="1013"/>
      <c r="CK22" s="1013">
        <f>'qtrP&amp;L'!CJ110</f>
        <v>23.135000000000002</v>
      </c>
      <c r="CL22" s="1013">
        <f>'qtrP&amp;L'!CJ111</f>
        <v>23.933</v>
      </c>
      <c r="CM22" s="1013">
        <f>'qtrP&amp;L'!CJ112</f>
        <v>43.110999999999997</v>
      </c>
      <c r="CN22" s="1013">
        <f>'qtrP&amp;L'!CJ113</f>
        <v>35.722000000000001</v>
      </c>
      <c r="CO22" s="1013"/>
      <c r="CP22" s="1013">
        <f t="array" ref="CP22:CS22">TRANSPOSE('qtrP&amp;L'!CN110:CN113)</f>
        <v>14.1401</v>
      </c>
      <c r="CQ22" s="1013">
        <v>18.350000000000001</v>
      </c>
      <c r="CR22" s="1013">
        <v>35.577000000000005</v>
      </c>
      <c r="CS22" s="1013">
        <v>41.103000000000002</v>
      </c>
      <c r="CT22" s="1013"/>
      <c r="CU22" s="1013">
        <f t="array" ref="CU22:CX22">TRANSPOSE('qtrP&amp;L'!CR110:CR113)</f>
        <v>13.360798502210216</v>
      </c>
      <c r="CV22" s="1013">
        <v>18.125487371590062</v>
      </c>
      <c r="CW22" s="1013">
        <v>24.974668457561293</v>
      </c>
      <c r="CX22" s="1013">
        <v>24.033075259335682</v>
      </c>
      <c r="CY22" s="1013"/>
      <c r="CZ22" s="1013">
        <f>'yrP&amp;L'!C42</f>
        <v>3.9070000000000045</v>
      </c>
      <c r="DA22" s="1013">
        <f>'yrP&amp;L'!D42</f>
        <v>12.741</v>
      </c>
      <c r="DB22" s="1013">
        <f>'yrP&amp;L'!E42</f>
        <v>35.371000000000002</v>
      </c>
      <c r="DC22" s="1013">
        <f>'yrP&amp;L'!F42</f>
        <v>58.694000000000003</v>
      </c>
      <c r="DD22" s="1013">
        <f>'yrP&amp;L'!G42</f>
        <v>59.042000000000002</v>
      </c>
      <c r="DE22" s="1013">
        <f>'yrP&amp;L'!H42</f>
        <v>63.75</v>
      </c>
      <c r="DF22" s="1013">
        <f>'yrP&amp;L'!I42</f>
        <v>54.878</v>
      </c>
      <c r="DG22" s="1013">
        <f>'yrP&amp;L'!J42</f>
        <v>52.179000000000002</v>
      </c>
      <c r="DH22" s="1013">
        <f>'yrP&amp;L'!K42</f>
        <v>142.60300000000001</v>
      </c>
      <c r="DI22" s="1013">
        <f>'yrP&amp;L'!L42</f>
        <v>183.25600000000003</v>
      </c>
      <c r="DJ22" s="1015">
        <f>'yrP&amp;L'!M42</f>
        <v>241.708</v>
      </c>
      <c r="DK22" s="1016">
        <f>'yrP&amp;L'!N42</f>
        <v>236.36200000000002</v>
      </c>
      <c r="DL22" s="1015">
        <f>'yrP&amp;L'!O42</f>
        <v>121.6679</v>
      </c>
      <c r="DM22" s="1013">
        <f>'yrP&amp;L'!P42</f>
        <v>99.248999999999995</v>
      </c>
      <c r="DN22" s="1014"/>
      <c r="DO22" s="1015">
        <f>'yrP&amp;L'!Q42</f>
        <v>121.64400000000001</v>
      </c>
      <c r="DP22" s="1013">
        <f>'yrP&amp;L'!R42</f>
        <v>109.40304</v>
      </c>
      <c r="DQ22" s="1013">
        <f>'yrP&amp;L'!S42</f>
        <v>165.86799999999999</v>
      </c>
      <c r="DR22" s="1015">
        <f>'yrP&amp;L'!T42</f>
        <v>91.656999999999996</v>
      </c>
      <c r="DS22" s="1013">
        <f>'yrP&amp;L'!U42</f>
        <v>87.737111999999996</v>
      </c>
      <c r="DT22" s="1013">
        <f>'yrP&amp;L'!V42</f>
        <v>108.58099999999999</v>
      </c>
      <c r="DU22" s="1013">
        <f>'yrP&amp;L'!W42</f>
        <v>125.90100000000001</v>
      </c>
      <c r="DV22" s="1013">
        <f>'yrP&amp;L'!X42</f>
        <v>109.17010000000002</v>
      </c>
      <c r="DW22" s="1013">
        <f>'yrP&amp;L'!Y42</f>
        <v>80.494029590697252</v>
      </c>
      <c r="DX22" s="1013">
        <f>'yrP&amp;L'!Z42</f>
        <v>80.139219319506594</v>
      </c>
      <c r="DY22" s="1016">
        <f>'yrP&amp;L'!AA42</f>
        <v>76.731609407404079</v>
      </c>
      <c r="DZ22" s="1016">
        <f>'yrP&amp;L'!AB42</f>
        <v>73.158635887826634</v>
      </c>
      <c r="EA22" s="1013"/>
      <c r="EH22" s="1012"/>
      <c r="EI22" s="1012"/>
      <c r="EJ22" s="1012"/>
    </row>
    <row r="23" spans="2:140" ht="6" customHeight="1">
      <c r="B23" s="963"/>
      <c r="C23" s="1021"/>
      <c r="D23" s="1021"/>
      <c r="E23" s="1021"/>
      <c r="F23" s="1021"/>
      <c r="G23" s="1021"/>
      <c r="H23" s="1021"/>
      <c r="I23" s="1021"/>
      <c r="J23" s="1021"/>
      <c r="K23" s="1021"/>
      <c r="L23" s="1021"/>
      <c r="M23" s="1021"/>
      <c r="N23" s="1021"/>
      <c r="O23" s="1021"/>
      <c r="P23" s="1021"/>
      <c r="Q23" s="1021"/>
      <c r="R23" s="1021"/>
      <c r="S23" s="1021"/>
      <c r="T23" s="1021"/>
      <c r="U23" s="1021"/>
      <c r="V23" s="1021"/>
      <c r="W23" s="1021"/>
      <c r="X23" s="1021"/>
      <c r="Y23" s="1021"/>
      <c r="Z23" s="1021"/>
      <c r="AA23" s="1021"/>
      <c r="AB23" s="1021"/>
      <c r="AC23" s="1021"/>
      <c r="AD23" s="1021"/>
      <c r="AE23" s="1021"/>
      <c r="AF23" s="1021"/>
      <c r="AG23" s="1021"/>
      <c r="AH23" s="1021"/>
      <c r="AI23" s="1021"/>
      <c r="AJ23" s="1021"/>
      <c r="AK23" s="1021"/>
      <c r="AL23" s="1021"/>
      <c r="AM23" s="1021"/>
      <c r="AN23" s="1021"/>
      <c r="AO23" s="1021"/>
      <c r="AP23" s="1021"/>
      <c r="AQ23" s="1021"/>
      <c r="AR23" s="1021"/>
      <c r="AS23" s="1021"/>
      <c r="AT23" s="1021"/>
      <c r="AU23" s="1021"/>
      <c r="AV23" s="1021"/>
      <c r="AW23" s="1021"/>
      <c r="AX23" s="1021"/>
      <c r="AY23" s="1021"/>
      <c r="AZ23" s="1021"/>
      <c r="BA23" s="1021"/>
      <c r="BB23" s="1021"/>
      <c r="BC23" s="1021"/>
      <c r="BD23" s="1021"/>
      <c r="BE23" s="1021"/>
      <c r="BF23" s="1021"/>
      <c r="BG23" s="1021"/>
      <c r="BH23" s="1021"/>
      <c r="BI23" s="1021"/>
      <c r="BJ23" s="1021"/>
      <c r="BK23" s="1021"/>
      <c r="BL23" s="1020"/>
      <c r="BM23" s="1021"/>
      <c r="BN23" s="1021"/>
      <c r="BO23" s="1021"/>
      <c r="BP23" s="1021"/>
      <c r="BQ23" s="1021"/>
      <c r="BR23" s="1021"/>
      <c r="BS23" s="1021"/>
      <c r="BT23" s="1021"/>
      <c r="BU23" s="1021"/>
      <c r="BV23" s="1021"/>
      <c r="BW23" s="1021"/>
      <c r="BX23" s="1021"/>
      <c r="BY23" s="1021"/>
      <c r="BZ23" s="1021"/>
      <c r="CA23" s="1021"/>
      <c r="CB23" s="1021"/>
      <c r="CC23" s="1021"/>
      <c r="CD23" s="1021"/>
      <c r="CE23" s="1021"/>
      <c r="CF23" s="1021"/>
      <c r="CG23" s="1021"/>
      <c r="CH23" s="1021"/>
      <c r="CI23" s="1021"/>
      <c r="CJ23" s="1021"/>
      <c r="CK23" s="1021"/>
      <c r="CL23" s="1021"/>
      <c r="CM23" s="1021"/>
      <c r="CN23" s="1021"/>
      <c r="CO23" s="1021"/>
      <c r="CP23" s="1021"/>
      <c r="CQ23" s="1021"/>
      <c r="CR23" s="1021"/>
      <c r="CS23" s="1021"/>
      <c r="CT23" s="1021"/>
      <c r="CU23" s="1021"/>
      <c r="CV23" s="1021"/>
      <c r="CW23" s="1021"/>
      <c r="CX23" s="1021"/>
      <c r="CY23" s="1021"/>
      <c r="CZ23" s="1021"/>
      <c r="DA23" s="1021"/>
      <c r="DB23" s="1021"/>
      <c r="DC23" s="1021"/>
      <c r="DD23" s="1021"/>
      <c r="DE23" s="1021"/>
      <c r="DF23" s="1021"/>
      <c r="DG23" s="1021"/>
      <c r="DH23" s="1021"/>
      <c r="DI23" s="1021"/>
      <c r="DJ23" s="1020"/>
      <c r="DK23" s="1022"/>
      <c r="DL23" s="1020"/>
      <c r="DM23" s="1021"/>
      <c r="DN23" s="1019"/>
      <c r="DO23" s="1020"/>
      <c r="DP23" s="1021"/>
      <c r="DQ23" s="1021"/>
      <c r="DR23" s="1020"/>
      <c r="DS23" s="1021"/>
      <c r="DT23" s="1021"/>
      <c r="DU23" s="1021"/>
      <c r="DV23" s="1021"/>
      <c r="DW23" s="1021"/>
      <c r="DX23" s="1021"/>
      <c r="DY23" s="1022"/>
      <c r="DZ23" s="1022"/>
      <c r="EA23" s="1021"/>
      <c r="EH23" s="1012"/>
      <c r="EI23" s="1012"/>
      <c r="EJ23" s="1012"/>
    </row>
    <row r="24" spans="2:140" ht="12.75">
      <c r="B24" s="1003" t="s">
        <v>564</v>
      </c>
      <c r="C24" s="1006"/>
      <c r="D24" s="1006">
        <f>D20-D22</f>
        <v>12.243000000000004</v>
      </c>
      <c r="E24" s="1006">
        <f>E20-E22</f>
        <v>16.949000000000002</v>
      </c>
      <c r="F24" s="1006">
        <f>F20-F22</f>
        <v>24.33700000000001</v>
      </c>
      <c r="G24" s="1006">
        <f>G20-G22</f>
        <v>37.131</v>
      </c>
      <c r="H24" s="1006"/>
      <c r="I24" s="1006">
        <f>I20-I22</f>
        <v>12.607999999999997</v>
      </c>
      <c r="J24" s="1006">
        <f>J20-J22</f>
        <v>2.7770000000000055</v>
      </c>
      <c r="K24" s="1006">
        <f>K20-K22</f>
        <v>29.225999999999999</v>
      </c>
      <c r="L24" s="1006">
        <f>L20-L22</f>
        <v>49.14699999999997</v>
      </c>
      <c r="M24" s="1006"/>
      <c r="N24" s="1006">
        <f>N20-N22</f>
        <v>15.545000000000012</v>
      </c>
      <c r="O24" s="1006">
        <f>O20-O22</f>
        <v>15.306000000000001</v>
      </c>
      <c r="P24" s="1006">
        <f>P20-P22</f>
        <v>30.741999999999987</v>
      </c>
      <c r="Q24" s="1006">
        <f>Q20-Q22</f>
        <v>43.902000000000029</v>
      </c>
      <c r="R24" s="1006"/>
      <c r="S24" s="1006">
        <f>S20-S22</f>
        <v>12.717999999999984</v>
      </c>
      <c r="T24" s="1006">
        <f>T20-T22</f>
        <v>10.056999999999999</v>
      </c>
      <c r="U24" s="1006">
        <f>U20-U22</f>
        <v>27.084000000000039</v>
      </c>
      <c r="V24" s="1006">
        <f>V20-V22</f>
        <v>38.875999999999948</v>
      </c>
      <c r="W24" s="1006"/>
      <c r="X24" s="1006">
        <f>X20-X22</f>
        <v>6.403000000000004</v>
      </c>
      <c r="Y24" s="1006">
        <f>Y20-Y22</f>
        <v>8.1039999999999992</v>
      </c>
      <c r="Z24" s="1006">
        <f>Z20-Z22</f>
        <v>10.13900000000001</v>
      </c>
      <c r="AA24" s="1006">
        <f>'qtrP&amp;L'!AJ123</f>
        <v>42.809999999999974</v>
      </c>
      <c r="AB24" s="1006"/>
      <c r="AC24" s="1006">
        <f>AC20-AC22</f>
        <v>27.099000000000025</v>
      </c>
      <c r="AD24" s="1006">
        <f>AD20-AD22</f>
        <v>31.581999999999997</v>
      </c>
      <c r="AE24" s="1006">
        <f>AE20-AE22</f>
        <v>58.704999999999984</v>
      </c>
      <c r="AF24" s="1006">
        <f>AF20-AF22</f>
        <v>106.944</v>
      </c>
      <c r="AG24" s="1006"/>
      <c r="AH24" s="1006">
        <f>AH20-AH22</f>
        <v>55.183999999999969</v>
      </c>
      <c r="AI24" s="1006">
        <f>AI20-AI22</f>
        <v>58.034000000000077</v>
      </c>
      <c r="AJ24" s="1006">
        <f>AJ20-AJ22</f>
        <v>73.357000000000028</v>
      </c>
      <c r="AK24" s="1006">
        <f>AK20-AK22</f>
        <v>107.13600000000007</v>
      </c>
      <c r="AL24" s="1006"/>
      <c r="AM24" s="1006">
        <f>AM20-AM22</f>
        <v>64.155999999999963</v>
      </c>
      <c r="AN24" s="1006">
        <f>AN20-AN22</f>
        <v>72.099000000000032</v>
      </c>
      <c r="AO24" s="1006">
        <f>AO20-AO22</f>
        <v>100.94499999999996</v>
      </c>
      <c r="AP24" s="1006">
        <f>AP20-AP22</f>
        <v>150.15900000000002</v>
      </c>
      <c r="AQ24" s="1006"/>
      <c r="AR24" s="1006">
        <f>AR20-AR22</f>
        <v>78.769999999999953</v>
      </c>
      <c r="AS24" s="1006">
        <f>AS20-AS22</f>
        <v>81.343999999999937</v>
      </c>
      <c r="AT24" s="1006">
        <f>AT20-AT22</f>
        <v>99.425999999999988</v>
      </c>
      <c r="AU24" s="1006">
        <f>AU20-AU22</f>
        <v>140.47899999999993</v>
      </c>
      <c r="AV24" s="1006"/>
      <c r="AW24" s="1006">
        <f>AW20-AW22</f>
        <v>43.895000000000024</v>
      </c>
      <c r="AX24" s="1006">
        <f>AX20-AX22</f>
        <v>59.831000000000074</v>
      </c>
      <c r="AY24" s="1006">
        <f>AY20-AY22</f>
        <v>62.50399999999992</v>
      </c>
      <c r="AZ24" s="1006">
        <f>AZ20-AZ22</f>
        <v>38.74809999999993</v>
      </c>
      <c r="BA24" s="1006"/>
      <c r="BB24" s="1006">
        <f>BB20-BB22</f>
        <v>23.553000000000001</v>
      </c>
      <c r="BC24" s="1006">
        <f>BC20-BC22</f>
        <v>36.757000000000012</v>
      </c>
      <c r="BD24" s="1006">
        <f>BD20-BD22</f>
        <v>67.947999999999951</v>
      </c>
      <c r="BE24" s="1006">
        <f>BE20-BE22</f>
        <v>79.616999999999905</v>
      </c>
      <c r="BF24" s="1006"/>
      <c r="BG24" s="1006">
        <f>BG20-BG22</f>
        <v>37.768999999999984</v>
      </c>
      <c r="BH24" s="1006">
        <f>BH20-BH22</f>
        <v>27.991000000000017</v>
      </c>
      <c r="BI24" s="1006">
        <f>BI20-BI22</f>
        <v>61.651999999999944</v>
      </c>
      <c r="BJ24" s="1006">
        <f>BJ20-BJ22</f>
        <v>92.519599999999997</v>
      </c>
      <c r="BK24" s="1006"/>
      <c r="BL24" s="1005">
        <f>BL20-BL22</f>
        <v>31.871000000000066</v>
      </c>
      <c r="BM24" s="1006">
        <f>BM20-BM22</f>
        <v>25.091999999999995</v>
      </c>
      <c r="BN24" s="1006">
        <f>BN20-BN22</f>
        <v>57.950999999999937</v>
      </c>
      <c r="BO24" s="1006">
        <f>BO20-BO22</f>
        <v>75.605960000000096</v>
      </c>
      <c r="BP24" s="1006"/>
      <c r="BQ24" s="1006">
        <f>BQ20-BQ22</f>
        <v>44.035000000000082</v>
      </c>
      <c r="BR24" s="1006">
        <f>BR20-BR22</f>
        <v>41.62999999999996</v>
      </c>
      <c r="BS24" s="1006">
        <f>BS20-BS22</f>
        <v>82.441000000000059</v>
      </c>
      <c r="BT24" s="1006">
        <f>BT20-BT22</f>
        <v>110.58200000000015</v>
      </c>
      <c r="BU24" s="1006"/>
      <c r="BV24" s="1006">
        <f>BV20-BV22</f>
        <v>35.143999999999977</v>
      </c>
      <c r="BW24" s="1006">
        <f>BW20-BW22</f>
        <v>19.593999999999991</v>
      </c>
      <c r="BX24" s="1006">
        <f>BX20-BX22</f>
        <v>36.821000000000005</v>
      </c>
      <c r="BY24" s="1006">
        <f>BY20-BY22</f>
        <v>53.029000000000039</v>
      </c>
      <c r="BZ24" s="1006"/>
      <c r="CA24" s="1006">
        <f>CA20-CA22</f>
        <v>3.8660000000000325</v>
      </c>
      <c r="CB24" s="1006">
        <f>CB20-CB22</f>
        <v>5.8130000000000255</v>
      </c>
      <c r="CC24" s="1006">
        <f>CC20-CC22</f>
        <v>43.102887999999993</v>
      </c>
      <c r="CD24" s="1006">
        <f>CD20-CD22</f>
        <v>70.074000000000069</v>
      </c>
      <c r="CE24" s="1006"/>
      <c r="CF24" s="1006">
        <f>CF20-CF22</f>
        <v>29.054999999999978</v>
      </c>
      <c r="CG24" s="1006">
        <f>CG20-CG22</f>
        <v>33.264999999999986</v>
      </c>
      <c r="CH24" s="1006">
        <f>CH20-CH22</f>
        <v>69.265000000000043</v>
      </c>
      <c r="CI24" s="1006">
        <f>CI20-CI22</f>
        <v>81.706000000000017</v>
      </c>
      <c r="CJ24" s="1006"/>
      <c r="CK24" s="1006">
        <f>CK20-CK22</f>
        <v>40.476000000000056</v>
      </c>
      <c r="CL24" s="1006">
        <f>CL20-CL22</f>
        <v>41.59200000000002</v>
      </c>
      <c r="CM24" s="1006">
        <f>CM20-CM22</f>
        <v>75.760000000000019</v>
      </c>
      <c r="CN24" s="1006">
        <f>CN20-CN22</f>
        <v>72.698000000000064</v>
      </c>
      <c r="CO24" s="1006"/>
      <c r="CP24" s="1006">
        <f>CP20-CP22</f>
        <v>28.65989999999999</v>
      </c>
      <c r="CQ24" s="1006">
        <f>CQ20-CQ22</f>
        <v>34.555999999999933</v>
      </c>
      <c r="CR24" s="1006">
        <f>CR20-CR22</f>
        <v>65.79800000000003</v>
      </c>
      <c r="CS24" s="1006">
        <f>CS20-CS22</f>
        <v>79.242999999999967</v>
      </c>
      <c r="CT24" s="1006"/>
      <c r="CU24" s="1006">
        <f>CU20-CU22</f>
        <v>40.082395506630647</v>
      </c>
      <c r="CV24" s="1006">
        <f>CV20-CV22</f>
        <v>54.376462114770185</v>
      </c>
      <c r="CW24" s="1006">
        <f>CW20-CW22</f>
        <v>74.92400537268388</v>
      </c>
      <c r="CX24" s="1006">
        <f>CX20-CX22</f>
        <v>72.099225778007053</v>
      </c>
      <c r="CY24" s="1006"/>
      <c r="CZ24" s="1006">
        <f>CZ20-CZ22</f>
        <v>5.9249999999999643</v>
      </c>
      <c r="DA24" s="1006">
        <f>DA20-DA22</f>
        <v>19.536999999999992</v>
      </c>
      <c r="DB24" s="1006">
        <f t="shared" ref="DB24:DG24" si="11">DB20-DB22</f>
        <v>54.118000000000002</v>
      </c>
      <c r="DC24" s="1006">
        <f t="shared" si="11"/>
        <v>90.660000000000039</v>
      </c>
      <c r="DD24" s="1006">
        <f t="shared" si="11"/>
        <v>93.757999999999868</v>
      </c>
      <c r="DE24" s="1006">
        <f t="shared" si="11"/>
        <v>105.49500000000018</v>
      </c>
      <c r="DF24" s="1007">
        <f t="shared" si="11"/>
        <v>88.735000000000028</v>
      </c>
      <c r="DG24" s="1007">
        <f t="shared" si="11"/>
        <v>83.107999999999919</v>
      </c>
      <c r="DH24" s="1007">
        <f t="shared" ref="DH24:DM24" si="12">DH20-DH22</f>
        <v>224.23200000000003</v>
      </c>
      <c r="DI24" s="1007">
        <f t="shared" si="12"/>
        <v>293.71100000000001</v>
      </c>
      <c r="DJ24" s="1023">
        <f t="shared" si="12"/>
        <v>387.35899999999958</v>
      </c>
      <c r="DK24" s="1009">
        <f t="shared" si="12"/>
        <v>400.01899999999961</v>
      </c>
      <c r="DL24" s="1023">
        <f t="shared" si="12"/>
        <v>204.97809999999996</v>
      </c>
      <c r="DM24" s="1007">
        <f t="shared" si="12"/>
        <v>207.87499999999986</v>
      </c>
      <c r="DN24" s="1004"/>
      <c r="DO24" s="1023">
        <f t="shared" ref="DO24:DT24" si="13">DO20-DO22</f>
        <v>219.9316</v>
      </c>
      <c r="DP24" s="1007">
        <f t="shared" si="13"/>
        <v>190.51996000000011</v>
      </c>
      <c r="DQ24" s="1007">
        <f t="shared" si="13"/>
        <v>278.68800000000022</v>
      </c>
      <c r="DR24" s="1023">
        <f t="shared" si="13"/>
        <v>144.58799999999962</v>
      </c>
      <c r="DS24" s="1007">
        <f t="shared" si="13"/>
        <v>122.85588800000008</v>
      </c>
      <c r="DT24" s="1007">
        <f t="shared" si="13"/>
        <v>213.29099999999991</v>
      </c>
      <c r="DU24" s="1007">
        <f t="shared" ref="DU24:DZ24" si="14">DU20-DU22</f>
        <v>230.52600000000024</v>
      </c>
      <c r="DV24" s="1007">
        <f t="shared" si="14"/>
        <v>208.25689999999977</v>
      </c>
      <c r="DW24" s="1007">
        <f t="shared" si="14"/>
        <v>241.48208877209117</v>
      </c>
      <c r="DX24" s="1007">
        <f t="shared" si="14"/>
        <v>240.41765795851921</v>
      </c>
      <c r="DY24" s="1009">
        <f t="shared" si="14"/>
        <v>230.19482822221167</v>
      </c>
      <c r="DZ24" s="1009">
        <f t="shared" si="14"/>
        <v>219.4759076634794</v>
      </c>
      <c r="EA24" s="1007"/>
      <c r="EH24" s="1012"/>
      <c r="EI24" s="1012"/>
      <c r="EJ24" s="1012"/>
    </row>
    <row r="25" spans="2:140" ht="12" customHeight="1">
      <c r="B25" s="963"/>
      <c r="C25" s="1026"/>
      <c r="D25" s="1026"/>
      <c r="E25" s="1026"/>
      <c r="F25" s="1026"/>
      <c r="G25" s="1026"/>
      <c r="H25" s="1026"/>
      <c r="I25" s="1026"/>
      <c r="J25" s="1026"/>
      <c r="K25" s="1026"/>
      <c r="L25" s="1026"/>
      <c r="M25" s="1026"/>
      <c r="N25" s="1026"/>
      <c r="O25" s="1026"/>
      <c r="P25" s="1026"/>
      <c r="Q25" s="1026"/>
      <c r="R25" s="1026"/>
      <c r="S25" s="1026"/>
      <c r="T25" s="1026"/>
      <c r="U25" s="1026"/>
      <c r="V25" s="1026"/>
      <c r="W25" s="1026"/>
      <c r="X25" s="1026"/>
      <c r="Y25" s="1026"/>
      <c r="Z25" s="1026"/>
      <c r="AA25" s="1026"/>
      <c r="AB25" s="1026"/>
      <c r="AC25" s="1026"/>
      <c r="AD25" s="1026"/>
      <c r="AE25" s="1026"/>
      <c r="AF25" s="1026"/>
      <c r="AG25" s="1026"/>
      <c r="AH25" s="1026"/>
      <c r="AI25" s="1026"/>
      <c r="AJ25" s="1026"/>
      <c r="AK25" s="1026"/>
      <c r="AL25" s="1026"/>
      <c r="AM25" s="1026"/>
      <c r="AN25" s="1026"/>
      <c r="AO25" s="1026"/>
      <c r="AP25" s="1026"/>
      <c r="AQ25" s="1026"/>
      <c r="AR25" s="1026"/>
      <c r="AS25" s="1026"/>
      <c r="AT25" s="1026"/>
      <c r="AU25" s="1026"/>
      <c r="AV25" s="1026"/>
      <c r="AW25" s="1026"/>
      <c r="AX25" s="1026"/>
      <c r="AY25" s="1026"/>
      <c r="AZ25" s="1026"/>
      <c r="BA25" s="1026"/>
      <c r="BB25" s="1026"/>
      <c r="BC25" s="1026"/>
      <c r="BD25" s="1026"/>
      <c r="BE25" s="1026"/>
      <c r="BF25" s="1026"/>
      <c r="BG25" s="1026"/>
      <c r="BH25" s="1026"/>
      <c r="BI25" s="1026"/>
      <c r="BJ25" s="1026"/>
      <c r="BK25" s="1026"/>
      <c r="BL25" s="1025"/>
      <c r="BM25" s="1026"/>
      <c r="BN25" s="1026"/>
      <c r="BO25" s="1026"/>
      <c r="BP25" s="1026"/>
      <c r="BQ25" s="1026"/>
      <c r="BR25" s="1026"/>
      <c r="BS25" s="1026"/>
      <c r="BT25" s="1026"/>
      <c r="BU25" s="1026"/>
      <c r="BV25" s="1026"/>
      <c r="BW25" s="1026"/>
      <c r="BX25" s="1026"/>
      <c r="BY25" s="1026"/>
      <c r="BZ25" s="1026"/>
      <c r="CA25" s="1026"/>
      <c r="CB25" s="1026"/>
      <c r="CC25" s="1026"/>
      <c r="CD25" s="1026"/>
      <c r="CE25" s="1026"/>
      <c r="CF25" s="1026"/>
      <c r="CG25" s="1026"/>
      <c r="CH25" s="1026"/>
      <c r="CI25" s="1026"/>
      <c r="CJ25" s="1026"/>
      <c r="CK25" s="1026"/>
      <c r="CL25" s="1026"/>
      <c r="CM25" s="1026"/>
      <c r="CN25" s="1026"/>
      <c r="CO25" s="1026"/>
      <c r="CP25" s="1026"/>
      <c r="CQ25" s="1026"/>
      <c r="CR25" s="1026"/>
      <c r="CS25" s="1026"/>
      <c r="CT25" s="1026"/>
      <c r="CU25" s="1026"/>
      <c r="CV25" s="1026"/>
      <c r="CW25" s="1026"/>
      <c r="CX25" s="1026"/>
      <c r="CY25" s="1026"/>
      <c r="CZ25" s="1026"/>
      <c r="DA25" s="1026"/>
      <c r="DB25" s="1026"/>
      <c r="DC25" s="1026"/>
      <c r="DD25" s="1026"/>
      <c r="DE25" s="1026"/>
      <c r="DF25" s="1026"/>
      <c r="DG25" s="1026"/>
      <c r="DH25" s="1026"/>
      <c r="DI25" s="1026"/>
      <c r="DJ25" s="1025"/>
      <c r="DK25" s="1027"/>
      <c r="DL25" s="1025"/>
      <c r="DM25" s="1026"/>
      <c r="DN25" s="1024"/>
      <c r="DO25" s="1025"/>
      <c r="DP25" s="1026"/>
      <c r="DQ25" s="1026"/>
      <c r="DR25" s="1025"/>
      <c r="DS25" s="1026"/>
      <c r="DT25" s="1026"/>
      <c r="DU25" s="1026"/>
      <c r="DV25" s="1026"/>
      <c r="DW25" s="1026"/>
      <c r="DX25" s="1026"/>
      <c r="DY25" s="1027"/>
      <c r="DZ25" s="1027"/>
      <c r="EA25" s="1026"/>
      <c r="EH25" s="1012"/>
      <c r="EI25" s="1012"/>
      <c r="EJ25" s="1012"/>
    </row>
    <row r="26" spans="2:140" ht="12.75">
      <c r="B26" s="1028" t="s">
        <v>0</v>
      </c>
      <c r="C26" s="1029"/>
      <c r="D26" s="1030">
        <f>D24/D27</f>
        <v>5.6260942691316179E-2</v>
      </c>
      <c r="E26" s="1030">
        <f>E24/E27</f>
        <v>7.7368317744637552E-2</v>
      </c>
      <c r="F26" s="1030">
        <f>F24/F27</f>
        <v>0.11035611692660691</v>
      </c>
      <c r="G26" s="1030">
        <f>G24/G27</f>
        <v>0.16835332843657336</v>
      </c>
      <c r="H26" s="1030"/>
      <c r="I26" s="1030">
        <f>I24/I27</f>
        <v>5.7634331923102404E-2</v>
      </c>
      <c r="J26" s="1030">
        <f>J24/J27</f>
        <v>1.2970786537846278E-2</v>
      </c>
      <c r="K26" s="1030">
        <f>K24/K27</f>
        <v>0.13625937115363096</v>
      </c>
      <c r="L26" s="1030">
        <f>L24/L27</f>
        <v>0.22523005572664598</v>
      </c>
      <c r="M26" s="1030"/>
      <c r="N26" s="1030">
        <f>N24/N27</f>
        <v>7.0282758683051713E-2</v>
      </c>
      <c r="O26" s="1030">
        <f>O24/O27</f>
        <v>6.8404258171774868E-2</v>
      </c>
      <c r="P26" s="1030">
        <f>P24/P27</f>
        <v>0.1395049123045855</v>
      </c>
      <c r="Q26" s="1030">
        <f>Q24/Q27</f>
        <v>0.19894505016449615</v>
      </c>
      <c r="R26" s="1030"/>
      <c r="S26" s="1030">
        <f>S24/S27</f>
        <v>5.7510558826455331E-2</v>
      </c>
      <c r="T26" s="1030">
        <f>T24/T27</f>
        <v>4.5756272890648098E-2</v>
      </c>
      <c r="U26" s="1030">
        <f>U24/U27</f>
        <v>0.12468752158000156</v>
      </c>
      <c r="V26" s="1030">
        <f>V24/V27</f>
        <v>0.17989653034215297</v>
      </c>
      <c r="W26" s="1030"/>
      <c r="X26" s="1030">
        <f>X24/X27</f>
        <v>2.9647224421571233E-2</v>
      </c>
      <c r="Y26" s="1030">
        <f>Y24/Y27</f>
        <v>3.7321543704522425E-2</v>
      </c>
      <c r="Z26" s="1030">
        <f>Z24/Z27</f>
        <v>4.6787754612324803E-2</v>
      </c>
      <c r="AA26" s="1030">
        <f>AA24/AA27</f>
        <v>0.19750591687312272</v>
      </c>
      <c r="AB26" s="1030"/>
      <c r="AC26" s="1030">
        <f>AC24/AC27</f>
        <v>0.12332245689243258</v>
      </c>
      <c r="AD26" s="1030">
        <f>AD24/AD27</f>
        <v>0.14194667673444436</v>
      </c>
      <c r="AE26" s="1030">
        <f>AE24/AE27</f>
        <v>0.25820852851267834</v>
      </c>
      <c r="AF26" s="1030">
        <f>AF24/AF27</f>
        <v>0.46476577880340547</v>
      </c>
      <c r="AG26" s="1030"/>
      <c r="AH26" s="1030">
        <f>AH24/AH27</f>
        <v>0.23566439688508231</v>
      </c>
      <c r="AI26" s="1030">
        <f>AI24/AI27</f>
        <v>0.24517023011376871</v>
      </c>
      <c r="AJ26" s="1030">
        <f>AJ24/AJ27</f>
        <v>0.31351757945640779</v>
      </c>
      <c r="AK26" s="1030">
        <f>AK24/AK27</f>
        <v>0.47156590020775407</v>
      </c>
      <c r="AL26" s="1030"/>
      <c r="AM26" s="1030">
        <f>AM24/AM27</f>
        <v>0.2809091585773269</v>
      </c>
      <c r="AN26" s="1030">
        <f>AN24/AN27</f>
        <v>0.31455365264680302</v>
      </c>
      <c r="AO26" s="1030">
        <f>AO24/AO27</f>
        <v>0.4419648818632182</v>
      </c>
      <c r="AP26" s="1030">
        <f>AP24/AP27</f>
        <v>0.65872211620714616</v>
      </c>
      <c r="AQ26" s="1030"/>
      <c r="AR26" s="1030">
        <f>AR24/AR27</f>
        <v>0.34921197880876886</v>
      </c>
      <c r="AS26" s="1030">
        <f>AS24/AS27</f>
        <v>0.36634180612851475</v>
      </c>
      <c r="AT26" s="1030">
        <f>AT24/AT27</f>
        <v>0.4544440686332763</v>
      </c>
      <c r="AU26" s="1030">
        <f>AU24/AU27</f>
        <v>0.65626299291316847</v>
      </c>
      <c r="AV26" s="1030"/>
      <c r="AW26" s="1030">
        <f>AW24/AW27</f>
        <v>0.21092818975127831</v>
      </c>
      <c r="AX26" s="1030">
        <f>AX24/AX27</f>
        <v>0.28833661037859548</v>
      </c>
      <c r="AY26" s="1030">
        <f>AY24/AY27</f>
        <v>0.30146526860042211</v>
      </c>
      <c r="AZ26" s="1030">
        <f>AZ24/AZ27</f>
        <v>0.18758308522740991</v>
      </c>
      <c r="BA26" s="1030"/>
      <c r="BB26" s="1030">
        <f>BB24/BB27</f>
        <v>0.11362561871038084</v>
      </c>
      <c r="BC26" s="1030">
        <f>BC24/BC27</f>
        <v>0.17585819199578984</v>
      </c>
      <c r="BD26" s="1030">
        <f>BD24/BD27</f>
        <v>0.32449986389229796</v>
      </c>
      <c r="BE26" s="1030">
        <f>BE24/BE27</f>
        <v>0.37788694290189334</v>
      </c>
      <c r="BF26" s="1030"/>
      <c r="BG26" s="1030">
        <f>BG24/BG27</f>
        <v>0.17960862638799716</v>
      </c>
      <c r="BH26" s="1030">
        <f>BH24/BH27</f>
        <v>0.13778285331745049</v>
      </c>
      <c r="BI26" s="1030">
        <f>BI24/BI27</f>
        <v>0.31244203666070325</v>
      </c>
      <c r="BJ26" s="1030">
        <f>BJ24/BJ27</f>
        <v>0.4701461971959815</v>
      </c>
      <c r="BK26" s="1030"/>
      <c r="BL26" s="1031">
        <f>BL24/BL27</f>
        <v>0.16208367873144419</v>
      </c>
      <c r="BM26" s="1030">
        <f>BM24/BM27</f>
        <v>0.12764398864572837</v>
      </c>
      <c r="BN26" s="1030">
        <f>BN24/BN27</f>
        <v>0.29569099675995575</v>
      </c>
      <c r="BO26" s="1030">
        <f>BO24/BO27</f>
        <v>0.38591599332356757</v>
      </c>
      <c r="BP26" s="1030"/>
      <c r="BQ26" s="1030">
        <f>BQ24/BQ27</f>
        <v>0.22324234988745401</v>
      </c>
      <c r="BR26" s="1030">
        <f>BR24/BR27</f>
        <v>0.2083510587717145</v>
      </c>
      <c r="BS26" s="1030">
        <f>BS24/BS27</f>
        <v>0.40819044695420564</v>
      </c>
      <c r="BT26" s="1030">
        <f>BT24/BT27</f>
        <v>0.5491319720324177</v>
      </c>
      <c r="BU26" s="1030"/>
      <c r="BV26" s="1030">
        <f>BV24/BV27</f>
        <v>0.17865167396984505</v>
      </c>
      <c r="BW26" s="1030">
        <f>BW24/BW27</f>
        <v>9.9994386351689918E-2</v>
      </c>
      <c r="BX26" s="1030">
        <f>BX24/BX27</f>
        <v>0.18920210470063514</v>
      </c>
      <c r="BY26" s="1030">
        <f>BY24/BY27</f>
        <v>0.272677722072246</v>
      </c>
      <c r="BZ26" s="1030"/>
      <c r="CA26" s="1030">
        <f>CA24/CA27</f>
        <v>1.9855985043810708E-2</v>
      </c>
      <c r="CB26" s="1030">
        <f>CB24/CB27</f>
        <v>2.9848983553020202E-2</v>
      </c>
      <c r="CC26" s="1030">
        <f>CC24/CC27</f>
        <v>0.22079022236337276</v>
      </c>
      <c r="CD26" s="1030">
        <f>CD24/CD27</f>
        <v>0.35820208866874237</v>
      </c>
      <c r="CE26" s="1030"/>
      <c r="CF26" s="1030">
        <f>CF24/CF27</f>
        <v>0.14833061057790473</v>
      </c>
      <c r="CG26" s="1030">
        <f>CG24/CG27</f>
        <v>0.16895649744774863</v>
      </c>
      <c r="CH26" s="1030">
        <f>CH24/CH27</f>
        <v>0.35074793141514521</v>
      </c>
      <c r="CI26" s="1030">
        <f>CI24/CI27</f>
        <v>0.42060342120571004</v>
      </c>
      <c r="CJ26" s="1030"/>
      <c r="CK26" s="1030">
        <f>CK24/CK27</f>
        <v>0.22126859348264641</v>
      </c>
      <c r="CL26" s="1030">
        <f>CL24/CL27</f>
        <v>0.22676691401372867</v>
      </c>
      <c r="CM26" s="1030">
        <f>CM24/CM27</f>
        <v>0.41036752159900342</v>
      </c>
      <c r="CN26" s="1030">
        <f>CN24/CN27</f>
        <v>0.39284749316415785</v>
      </c>
      <c r="CO26" s="1030"/>
      <c r="CP26" s="1030">
        <f>CP24/CP27</f>
        <v>0.15775107607965735</v>
      </c>
      <c r="CQ26" s="1030">
        <f>CQ24/CQ27</f>
        <v>0.19327919099715826</v>
      </c>
      <c r="CR26" s="1030">
        <f>CR24/CR27</f>
        <v>0.36731572248397848</v>
      </c>
      <c r="CS26" s="1030">
        <f>CS24/CS27</f>
        <v>0.4397771229098334</v>
      </c>
      <c r="CT26" s="1030"/>
      <c r="CU26" s="1030">
        <f>CU24/CU27</f>
        <v>0.22368781290498105</v>
      </c>
      <c r="CV26" s="1030">
        <f>CV24/CV27</f>
        <v>0.30430783156640973</v>
      </c>
      <c r="CW26" s="1030">
        <f>CW24/CW27</f>
        <v>0.42047491917393265</v>
      </c>
      <c r="CX26" s="1030">
        <f>CX24/CX27</f>
        <v>0.40576077178670067</v>
      </c>
      <c r="CY26" s="1030"/>
      <c r="CZ26" s="1030">
        <f>CZ24/CZ27</f>
        <v>4.3987861577437851E-2</v>
      </c>
      <c r="DA26" s="1030">
        <f>DA24/DA27</f>
        <v>9.5975142845738839E-2</v>
      </c>
      <c r="DB26" s="1030">
        <f t="shared" ref="DB26:DG26" si="15">DB24/DB27</f>
        <v>0.25079709338968598</v>
      </c>
      <c r="DC26" s="1030">
        <f t="shared" si="15"/>
        <v>0.41333278623500624</v>
      </c>
      <c r="DD26" s="1030">
        <f t="shared" si="15"/>
        <v>0.43327048559123027</v>
      </c>
      <c r="DE26" s="1030">
        <f t="shared" si="15"/>
        <v>0.47650988522568749</v>
      </c>
      <c r="DF26" s="1030">
        <f t="shared" si="15"/>
        <v>0.40639068646982596</v>
      </c>
      <c r="DG26" s="1030">
        <f t="shared" si="15"/>
        <v>0.38365624754755967</v>
      </c>
      <c r="DH26" s="1030">
        <f t="shared" ref="DH26:DM26" si="16">DH24/DH27</f>
        <v>0.99496818508559426</v>
      </c>
      <c r="DI26" s="1030">
        <f t="shared" si="16"/>
        <v>1.2603945397822607</v>
      </c>
      <c r="DJ26" s="1031">
        <f t="shared" si="16"/>
        <v>1.6960864158610043</v>
      </c>
      <c r="DK26" s="1032">
        <f t="shared" si="16"/>
        <v>1.815956963864171</v>
      </c>
      <c r="DL26" s="1031">
        <f t="shared" si="16"/>
        <v>0.98745604146794985</v>
      </c>
      <c r="DM26" s="1030">
        <f t="shared" si="16"/>
        <v>0.99218660506319378</v>
      </c>
      <c r="DN26" s="1032"/>
      <c r="DO26" s="1031">
        <f t="shared" ref="DO26:DT26" si="17">DO24/DO27</f>
        <v>1.0897521529298675</v>
      </c>
      <c r="DP26" s="1030">
        <f>DP24/DP27</f>
        <v>0.9706675633574452</v>
      </c>
      <c r="DQ26" s="1030">
        <f>DQ24/DQ27</f>
        <v>1.3888221662970635</v>
      </c>
      <c r="DR26" s="1031">
        <f t="shared" si="17"/>
        <v>0.74347859622059198</v>
      </c>
      <c r="DS26" s="1030">
        <f t="shared" si="17"/>
        <v>0.62959432187972475</v>
      </c>
      <c r="DT26" s="1030">
        <f t="shared" si="17"/>
        <v>1.0869051198295934</v>
      </c>
      <c r="DU26" s="1030">
        <f t="shared" ref="DU26:DZ26" si="18">DU24/DU27</f>
        <v>1.2539831914488548</v>
      </c>
      <c r="DV26" s="1030">
        <f t="shared" si="18"/>
        <v>1.155980927640488</v>
      </c>
      <c r="DW26" s="1030">
        <f t="shared" si="18"/>
        <v>1.3533033068560751</v>
      </c>
      <c r="DX26" s="1030">
        <f t="shared" si="18"/>
        <v>1.3549313170076434</v>
      </c>
      <c r="DY26" s="1032">
        <f t="shared" si="18"/>
        <v>1.3046708960162532</v>
      </c>
      <c r="DZ26" s="1032">
        <f t="shared" si="18"/>
        <v>1.251009796359301</v>
      </c>
      <c r="EA26" s="1030"/>
      <c r="EH26" s="1809"/>
      <c r="EI26" s="1809"/>
      <c r="EJ26" s="1809"/>
    </row>
    <row r="27" spans="2:140" ht="12.75">
      <c r="B27" s="1033" t="s">
        <v>1</v>
      </c>
      <c r="C27" s="1036"/>
      <c r="D27" s="1036">
        <f>'qtrP&amp;L'!S177</f>
        <v>217.61099999999999</v>
      </c>
      <c r="E27" s="1036">
        <f>'qtrP&amp;L'!S178</f>
        <v>219.06899999999999</v>
      </c>
      <c r="F27" s="1036">
        <f>'qtrP&amp;L'!S179</f>
        <v>220.53149999999999</v>
      </c>
      <c r="G27" s="1036">
        <f>'qtrP&amp;L'!S180</f>
        <v>220.554</v>
      </c>
      <c r="H27" s="1036"/>
      <c r="I27" s="1036">
        <f>'qtrP&amp;L'!W177</f>
        <v>218.7585</v>
      </c>
      <c r="J27" s="1036">
        <f>'qtrP&amp;L'!W178</f>
        <v>214.09649999999999</v>
      </c>
      <c r="K27" s="1036">
        <f>'qtrP&amp;L'!W179</f>
        <v>214.48800000000003</v>
      </c>
      <c r="L27" s="1036">
        <f>'qtrP&amp;L'!W180</f>
        <v>218.20800000000003</v>
      </c>
      <c r="M27" s="1036"/>
      <c r="N27" s="1036">
        <f>'qtrP&amp;L'!AB177</f>
        <v>221.178</v>
      </c>
      <c r="O27" s="1036">
        <f>'qtrP&amp;L'!AB178</f>
        <v>223.75799999999998</v>
      </c>
      <c r="P27" s="1036">
        <f>'qtrP&amp;L'!AB179</f>
        <v>220.36500000000001</v>
      </c>
      <c r="Q27" s="1036">
        <f>'qtrP&amp;L'!AB180</f>
        <v>220.67400000000004</v>
      </c>
      <c r="R27" s="1036"/>
      <c r="S27" s="1036">
        <f>'qtrP&amp;L'!AF177</f>
        <v>221.142</v>
      </c>
      <c r="T27" s="1036">
        <f>'qtrP&amp;L'!AF178</f>
        <v>219.79500000000002</v>
      </c>
      <c r="U27" s="1036">
        <f>'qtrP&amp;L'!AF179</f>
        <v>217.215</v>
      </c>
      <c r="V27" s="1036">
        <f>'qtrP&amp;L'!AF180</f>
        <v>216.10200000000003</v>
      </c>
      <c r="W27" s="1036"/>
      <c r="X27" s="1036">
        <f>'qtrP&amp;L'!AJ177</f>
        <v>215.97300000000001</v>
      </c>
      <c r="Y27" s="1036">
        <f>'qtrP&amp;L'!AJ178</f>
        <v>217.14</v>
      </c>
      <c r="Z27" s="1036">
        <f>'qtrP&amp;L'!AJ179</f>
        <v>216.702</v>
      </c>
      <c r="AA27" s="1036">
        <f>'qtrP&amp;L'!AJ180</f>
        <v>216.75300000000001</v>
      </c>
      <c r="AB27" s="1036"/>
      <c r="AC27" s="1036">
        <f>+'qtrP&amp;L'!$AN$177</f>
        <v>219.74099999999999</v>
      </c>
      <c r="AD27" s="1036">
        <f>+'qtrP&amp;L'!$AN$178</f>
        <v>222.49200000000002</v>
      </c>
      <c r="AE27" s="1036">
        <f>+'qtrP&amp;L'!$AN$179</f>
        <v>227.35499999999999</v>
      </c>
      <c r="AF27" s="1036">
        <f>+'qtrP&amp;L'!$AN$180</f>
        <v>230.10299999999998</v>
      </c>
      <c r="AG27" s="1036"/>
      <c r="AH27" s="1036">
        <f>+'qtrP&amp;L'!$AR$177</f>
        <v>234.1635</v>
      </c>
      <c r="AI27" s="1036">
        <f>+'qtrP&amp;L'!$AR$178</f>
        <v>236.709</v>
      </c>
      <c r="AJ27" s="1036">
        <f>+'qtrP&amp;L'!$AR$179</f>
        <v>233.98050000000001</v>
      </c>
      <c r="AK27" s="1036">
        <f>+'qtrP&amp;L'!$AR$180</f>
        <v>227.19200000000001</v>
      </c>
      <c r="AL27" s="1036"/>
      <c r="AM27" s="1036">
        <f>+'qtrP&amp;L'!$AV$177</f>
        <v>228.387</v>
      </c>
      <c r="AN27" s="1036">
        <f>+'qtrP&amp;L'!$AV$178</f>
        <v>229.21049999999997</v>
      </c>
      <c r="AO27" s="1036">
        <f>+'qtrP&amp;L'!$AV$179</f>
        <v>228.40049999999999</v>
      </c>
      <c r="AP27" s="1036">
        <f>+'qtrP&amp;L'!$AV$180</f>
        <v>227.95500000000001</v>
      </c>
      <c r="AQ27" s="1036"/>
      <c r="AR27" s="1036">
        <f>+'qtrP&amp;L'!$AZ$177</f>
        <v>225.565</v>
      </c>
      <c r="AS27" s="1036">
        <f>+'qtrP&amp;L'!$AZ$178</f>
        <v>222.04400000000001</v>
      </c>
      <c r="AT27" s="1036">
        <f>+'qtrP&amp;L'!$AZ$179</f>
        <v>218.786</v>
      </c>
      <c r="AU27" s="1036">
        <f>+'qtrP&amp;L'!$AZ$180</f>
        <v>214.059</v>
      </c>
      <c r="AV27" s="1036"/>
      <c r="AW27" s="1036">
        <f>'qtrP&amp;L'!BD177</f>
        <v>208.10400000000001</v>
      </c>
      <c r="AX27" s="1036">
        <f>'qtrP&amp;L'!BD178</f>
        <v>207.50399999999999</v>
      </c>
      <c r="AY27" s="1036">
        <f>'qtrP&amp;L'!BD179</f>
        <v>207.334</v>
      </c>
      <c r="AZ27" s="1036">
        <f>'qtrP&amp;L'!BD180</f>
        <v>206.565</v>
      </c>
      <c r="BA27" s="1036"/>
      <c r="BB27" s="1036">
        <f>'qtrP&amp;L'!$BH$177</f>
        <v>207.286</v>
      </c>
      <c r="BC27" s="1036">
        <f>'qtrP&amp;L'!$BH$178</f>
        <v>209.01499999999999</v>
      </c>
      <c r="BD27" s="1036">
        <f>'qtrP&amp;L'!$BH$179</f>
        <v>209.393</v>
      </c>
      <c r="BE27" s="1036">
        <f>'qtrP&amp;L'!$BH$180</f>
        <v>210.69</v>
      </c>
      <c r="BF27" s="1036"/>
      <c r="BG27" s="1036">
        <f>'qtrP&amp;L'!$BL$177</f>
        <v>210.285</v>
      </c>
      <c r="BH27" s="1036">
        <f>'qtrP&amp;L'!$BL$178</f>
        <v>203.15299999999999</v>
      </c>
      <c r="BI27" s="1036">
        <f>'qtrP&amp;L'!$BL$179</f>
        <v>197.32300000000001</v>
      </c>
      <c r="BJ27" s="1036">
        <f>'qtrP&amp;L'!$BL$180</f>
        <v>196.78899999999999</v>
      </c>
      <c r="BK27" s="1036"/>
      <c r="BL27" s="1035">
        <f>'qtrP&amp;L'!$BP$177</f>
        <v>196.63300000000001</v>
      </c>
      <c r="BM27" s="1036">
        <f>'qtrP&amp;L'!$BP$178</f>
        <v>196.578</v>
      </c>
      <c r="BN27" s="1036">
        <f>'qtrP&amp;L'!$BP$179</f>
        <v>195.98500000000001</v>
      </c>
      <c r="BO27" s="1036">
        <f>'qtrP&amp;L'!$BP$180</f>
        <v>195.91300000000001</v>
      </c>
      <c r="BP27" s="1036"/>
      <c r="BQ27" s="1036">
        <f>'qtrP&amp;L'!$BT$177</f>
        <v>197.25200000000001</v>
      </c>
      <c r="BR27" s="1036">
        <f>'qtrP&amp;L'!$BT$178</f>
        <v>199.80699999999999</v>
      </c>
      <c r="BS27" s="1036">
        <f>'qtrP&amp;L'!$BT$179</f>
        <v>201.96700000000001</v>
      </c>
      <c r="BT27" s="1036">
        <f>'qtrP&amp;L'!$BT$180</f>
        <v>201.376</v>
      </c>
      <c r="BU27" s="1036"/>
      <c r="BV27" s="1036">
        <f>'qtrP&amp;L'!BX177</f>
        <v>196.71799999999999</v>
      </c>
      <c r="BW27" s="1036">
        <f>'qtrP&amp;L'!BX178</f>
        <v>195.95099999999999</v>
      </c>
      <c r="BX27" s="1036">
        <f>'qtrP&amp;L'!BX179</f>
        <v>194.61199999999999</v>
      </c>
      <c r="BY27" s="1036">
        <f>'qtrP&amp;L'!BX180</f>
        <v>194.47499999999999</v>
      </c>
      <c r="BZ27" s="1036"/>
      <c r="CA27" s="1036">
        <f>'qtrP&amp;L'!CB177</f>
        <v>194.702</v>
      </c>
      <c r="CB27" s="1036">
        <f>'qtrP&amp;L'!CB178</f>
        <v>194.74700000000001</v>
      </c>
      <c r="CC27" s="1036">
        <f>'qtrP&amp;L'!CB179</f>
        <v>195.221</v>
      </c>
      <c r="CD27" s="1036">
        <f>'qtrP&amp;L'!CB180</f>
        <v>195.62700000000001</v>
      </c>
      <c r="CE27" s="1036"/>
      <c r="CF27" s="1036">
        <f>'qtrP&amp;L'!CF177</f>
        <v>195.88</v>
      </c>
      <c r="CG27" s="1036">
        <f>'qtrP&amp;L'!CF178</f>
        <v>196.88499999999999</v>
      </c>
      <c r="CH27" s="1036">
        <f>'qtrP&amp;L'!CF179</f>
        <v>197.47800000000001</v>
      </c>
      <c r="CI27" s="1036">
        <f>'qtrP&amp;L'!CF180</f>
        <v>194.25899999999999</v>
      </c>
      <c r="CJ27" s="1036"/>
      <c r="CK27" s="1036">
        <f>'qtrP&amp;L'!CJ177</f>
        <v>182.92699999999999</v>
      </c>
      <c r="CL27" s="1036">
        <f>'qtrP&amp;L'!CJ178</f>
        <v>183.41300000000001</v>
      </c>
      <c r="CM27" s="1036">
        <f>'qtrP&amp;L'!CJ179</f>
        <v>184.61500000000001</v>
      </c>
      <c r="CN27" s="1036">
        <f>'qtrP&amp;L'!CJ180</f>
        <v>185.054</v>
      </c>
      <c r="CO27" s="1036"/>
      <c r="CP27" s="1036">
        <f t="array" ref="CP27:CS27">TRANSPOSE('qtrP&amp;L'!CN177:CN180)</f>
        <v>181.678</v>
      </c>
      <c r="CQ27" s="1036">
        <v>178.78800000000001</v>
      </c>
      <c r="CR27" s="1036">
        <v>179.13200000000001</v>
      </c>
      <c r="CS27" s="1036">
        <v>180.18899999999999</v>
      </c>
      <c r="CT27" s="1036"/>
      <c r="CU27" s="1036">
        <f t="array" ref="CU27:CX27">TRANSPOSE('qtrP&amp;L'!CR177:CR180)</f>
        <v>179.18899999999999</v>
      </c>
      <c r="CV27" s="1036">
        <v>178.68899999999999</v>
      </c>
      <c r="CW27" s="1036">
        <v>178.18899999999999</v>
      </c>
      <c r="CX27" s="1036">
        <v>177.68899999999999</v>
      </c>
      <c r="CY27" s="1036"/>
      <c r="CZ27" s="1036">
        <f>'yrP&amp;L'!C59</f>
        <v>134.69625000000002</v>
      </c>
      <c r="DA27" s="1036">
        <f>'yrP&amp;L'!D59</f>
        <v>203.56312500000001</v>
      </c>
      <c r="DB27" s="1036">
        <f>'yrP&amp;L'!E59</f>
        <v>215.78399999999999</v>
      </c>
      <c r="DC27" s="1036">
        <f>'yrP&amp;L'!F59</f>
        <v>219.339</v>
      </c>
      <c r="DD27" s="1036">
        <f>'yrP&amp;L'!G59</f>
        <v>216.39600000000002</v>
      </c>
      <c r="DE27" s="1036">
        <f>'yrP&amp;L'!H59</f>
        <v>221.39099999999999</v>
      </c>
      <c r="DF27" s="1036">
        <f>'yrP&amp;L'!I59</f>
        <v>218.34899999999999</v>
      </c>
      <c r="DG27" s="1036">
        <f>'yrP&amp;L'!J59</f>
        <v>216.62099999999998</v>
      </c>
      <c r="DH27" s="1036">
        <f>'yrP&amp;L'!K59</f>
        <v>225.36599999999999</v>
      </c>
      <c r="DI27" s="1036">
        <f>'yrP&amp;L'!L59</f>
        <v>233.03100000000001</v>
      </c>
      <c r="DJ27" s="1035">
        <f>'yrP&amp;L'!M59</f>
        <v>228.38399999999999</v>
      </c>
      <c r="DK27" s="1037">
        <f>'yrP&amp;L'!N59</f>
        <v>220.28</v>
      </c>
      <c r="DL27" s="1035">
        <f>'yrP&amp;L'!O59</f>
        <v>207.58199999999999</v>
      </c>
      <c r="DM27" s="1036">
        <f>'yrP&amp;L'!P59</f>
        <v>209.512</v>
      </c>
      <c r="DN27" s="1034"/>
      <c r="DO27" s="1035">
        <f>'yrP&amp;L'!Q59</f>
        <v>201.81800000000001</v>
      </c>
      <c r="DP27" s="1036">
        <f>'yrP&amp;L'!R59</f>
        <v>196.27725000000001</v>
      </c>
      <c r="DQ27" s="1036">
        <f>'yrP&amp;L'!S59</f>
        <v>200.66499999999999</v>
      </c>
      <c r="DR27" s="1035">
        <f>'yrP&amp;L'!T59</f>
        <v>194.47499999999999</v>
      </c>
      <c r="DS27" s="1036">
        <f>'yrP&amp;L'!U59</f>
        <v>195.13499999999999</v>
      </c>
      <c r="DT27" s="1036">
        <f>'yrP&amp;L'!V59</f>
        <v>196.23699999999999</v>
      </c>
      <c r="DU27" s="1036">
        <f>'yrP&amp;L'!W59</f>
        <v>183.83500000000001</v>
      </c>
      <c r="DV27" s="1036">
        <f>'yrP&amp;L'!X59</f>
        <v>180.15600000000001</v>
      </c>
      <c r="DW27" s="1036">
        <f>'yrP&amp;L'!Y59</f>
        <v>178.43899999999999</v>
      </c>
      <c r="DX27" s="1036">
        <f>'yrP&amp;L'!Z59</f>
        <v>177.43899999999999</v>
      </c>
      <c r="DY27" s="1037">
        <f>'yrP&amp;L'!AA59</f>
        <v>176.43899999999999</v>
      </c>
      <c r="DZ27" s="1037">
        <f>'yrP&amp;L'!AB59</f>
        <v>175.43899999999999</v>
      </c>
      <c r="EA27" s="1036"/>
      <c r="EH27" s="1012"/>
      <c r="EI27" s="1012"/>
      <c r="EJ27" s="1012"/>
    </row>
    <row r="28" spans="2:140" ht="12.75" outlineLevel="1">
      <c r="B28" s="1033" t="s">
        <v>591</v>
      </c>
      <c r="C28" s="1036"/>
      <c r="D28" s="1036">
        <f>'qtrP&amp;L'!S188</f>
        <v>139.10937899999999</v>
      </c>
      <c r="E28" s="1036">
        <f>'qtrP&amp;L'!S189</f>
        <v>139.731909</v>
      </c>
      <c r="F28" s="1036">
        <f>'qtrP&amp;L'!S190</f>
        <v>139.97300100000001</v>
      </c>
      <c r="G28" s="1036">
        <f>'qtrP&amp;L'!S191</f>
        <v>141</v>
      </c>
      <c r="H28" s="1036"/>
      <c r="I28" s="1036">
        <f>'qtrP&amp;L'!W188</f>
        <v>140.916</v>
      </c>
      <c r="J28" s="1036">
        <f>'qtrP&amp;L'!W189</f>
        <v>138.51599999999999</v>
      </c>
      <c r="K28" s="1036">
        <f>'qtrP&amp;L'!W190</f>
        <v>139.32300000000001</v>
      </c>
      <c r="L28" s="1036">
        <f>'qtrP&amp;L'!W191</f>
        <v>140.83799999999999</v>
      </c>
      <c r="M28" s="1036"/>
      <c r="N28" s="1036">
        <f>'qtrP&amp;L'!AB188</f>
        <v>142.94540000000001</v>
      </c>
      <c r="O28" s="1036">
        <f>'qtrP&amp;L'!AB189</f>
        <v>143.946</v>
      </c>
      <c r="P28" s="1036">
        <f>'qtrP&amp;L'!AB190</f>
        <v>143.75800000000001</v>
      </c>
      <c r="Q28" s="1036">
        <f>'qtrP&amp;L'!AB191</f>
        <v>143.81200000000001</v>
      </c>
      <c r="R28" s="1036"/>
      <c r="S28" s="1036">
        <f>'qtrP&amp;L'!AF188</f>
        <v>144.29400000000001</v>
      </c>
      <c r="T28" s="1036">
        <f>'qtrP&amp;L'!AF189</f>
        <v>143.566</v>
      </c>
      <c r="U28" s="1036">
        <f>'qtrP&amp;L'!AF190</f>
        <v>142.374</v>
      </c>
      <c r="V28" s="1036">
        <f>'qtrP&amp;L'!AF191</f>
        <v>142.09399999999999</v>
      </c>
      <c r="W28" s="1036"/>
      <c r="X28" s="1036">
        <f>'qtrP&amp;L'!AJ188</f>
        <v>213.20400000000001</v>
      </c>
      <c r="Y28" s="1036">
        <f>'qtrP&amp;L'!AJ189</f>
        <v>213.37800000000001</v>
      </c>
      <c r="Z28" s="1036">
        <f>'qtrP&amp;L'!AJ190</f>
        <v>213.55349999999999</v>
      </c>
      <c r="AA28" s="1036">
        <f>'qtrP&amp;L'!AJ191</f>
        <v>213.57300000000001</v>
      </c>
      <c r="AB28" s="1036"/>
      <c r="AC28" s="1036">
        <f>'qtrP&amp;L'!AN188</f>
        <v>215.16120000000001</v>
      </c>
      <c r="AD28" s="1036">
        <f>'qtrP&amp;L'!AN189</f>
        <v>220.14</v>
      </c>
      <c r="AE28" s="1036">
        <f>'qtrP&amp;L'!AN190</f>
        <v>220.14</v>
      </c>
      <c r="AF28" s="1036">
        <f>'qtrP&amp;L'!AN191</f>
        <v>220.14</v>
      </c>
      <c r="AG28" s="1036"/>
      <c r="AH28" s="1036">
        <f>'qtrP&amp;L'!AR188</f>
        <v>229.28310900651223</v>
      </c>
      <c r="AI28" s="1036">
        <f>'qtrP&amp;L'!AR189</f>
        <v>234.20670972439459</v>
      </c>
      <c r="AJ28" s="1036">
        <f>'qtrP&amp;L'!AR190</f>
        <v>226.55524299003758</v>
      </c>
      <c r="AK28" s="1036">
        <f>'qtrP&amp;L'!AR191</f>
        <v>217.35504048187119</v>
      </c>
      <c r="AL28" s="1036"/>
      <c r="AM28" s="1036">
        <f>'qtrP&amp;L'!AV188</f>
        <v>223.6270017174765</v>
      </c>
      <c r="AN28" s="1036">
        <f>'qtrP&amp;L'!AV189</f>
        <v>226.78747761717273</v>
      </c>
      <c r="AO28" s="1036">
        <f>'qtrP&amp;L'!AV190</f>
        <v>221.15232156759248</v>
      </c>
      <c r="AP28" s="1036">
        <f>'qtrP&amp;L'!AV191</f>
        <v>218.0850041068565</v>
      </c>
      <c r="AQ28" s="1036"/>
      <c r="AR28" s="1036">
        <f>'qtrP&amp;L'!AZ188</f>
        <v>220.86381730309776</v>
      </c>
      <c r="AS28" s="1036">
        <f>'qtrP&amp;L'!AZ189</f>
        <v>219.69673588263848</v>
      </c>
      <c r="AT28" s="1036">
        <f>'qtrP&amp;L'!AZ190</f>
        <v>211.84293303424155</v>
      </c>
      <c r="AU28" s="1036">
        <f>'qtrP&amp;L'!AZ191</f>
        <v>204.79067313333593</v>
      </c>
      <c r="AV28" s="1036"/>
      <c r="AW28" s="1036">
        <f>'qtrP&amp;L'!BD188</f>
        <v>203.76673613390312</v>
      </c>
      <c r="AX28" s="1036">
        <f>'qtrP&amp;L'!BD189</f>
        <v>205.31044064505687</v>
      </c>
      <c r="AY28" s="1036">
        <f>'qtrP&amp;L'!BD190</f>
        <v>200.75435666688657</v>
      </c>
      <c r="AZ28" s="1036">
        <f>'qtrP&amp;L'!BD191</f>
        <v>197.62114835530173</v>
      </c>
      <c r="BA28" s="1036"/>
      <c r="BB28" s="1036">
        <f>'qtrP&amp;L'!BH188</f>
        <v>202.96578473384577</v>
      </c>
      <c r="BC28" s="1036">
        <f>'qtrP&amp;L'!BH189</f>
        <v>206.80546761231861</v>
      </c>
      <c r="BD28" s="1036">
        <f>'qtrP&amp;L'!BH190</f>
        <v>202.74801530645905</v>
      </c>
      <c r="BE28" s="1036">
        <f>'qtrP&amp;L'!BH191</f>
        <v>201.56754409981613</v>
      </c>
      <c r="BF28" s="1036"/>
      <c r="BG28" s="1036">
        <f>'qtrP&amp;L'!BL188</f>
        <v>205.90228014799243</v>
      </c>
      <c r="BH28" s="1036">
        <f>'qtrP&amp;L'!BL189</f>
        <v>201.00543579094975</v>
      </c>
      <c r="BI28" s="1036">
        <f>'qtrP&amp;L'!BL190</f>
        <v>191.06105086758592</v>
      </c>
      <c r="BJ28" s="1036">
        <f>'qtrP&amp;L'!BL191</f>
        <v>188.26842961630223</v>
      </c>
      <c r="BK28" s="1036"/>
      <c r="BL28" s="1035">
        <f>'qtrP&amp;L'!BP188</f>
        <v>192.53481252747554</v>
      </c>
      <c r="BM28" s="1036">
        <f>'qtrP&amp;L'!BP189</f>
        <v>194.49994121136939</v>
      </c>
      <c r="BN28" s="1036">
        <f>'qtrP&amp;L'!BP190</f>
        <v>189.76551164478457</v>
      </c>
      <c r="BO28" s="1036">
        <f>'qtrP&amp;L'!BP191</f>
        <v>187.4303586654672</v>
      </c>
      <c r="BP28" s="1036"/>
      <c r="BQ28" s="1036">
        <f>'qtrP&amp;L'!BT188</f>
        <v>193.14091144756785</v>
      </c>
      <c r="BR28" s="1036">
        <f>'qtrP&amp;L'!BT189</f>
        <v>197.69480691440586</v>
      </c>
      <c r="BS28" s="1036">
        <f>'qtrP&amp;L'!BT190</f>
        <v>195.55767579336279</v>
      </c>
      <c r="BT28" s="1036">
        <f>'qtrP&amp;L'!BT191</f>
        <v>192.65682168420227</v>
      </c>
      <c r="BU28" s="1036"/>
      <c r="BV28" s="1036"/>
      <c r="BW28" s="1036"/>
      <c r="BX28" s="1036"/>
      <c r="BY28" s="1036"/>
      <c r="BZ28" s="1036"/>
      <c r="CA28" s="1036"/>
      <c r="CB28" s="1036"/>
      <c r="CC28" s="1036"/>
      <c r="CD28" s="1036"/>
      <c r="CE28" s="1036"/>
      <c r="CF28" s="1036"/>
      <c r="CG28" s="1036"/>
      <c r="CH28" s="1036"/>
      <c r="CI28" s="1036"/>
      <c r="CJ28" s="1036"/>
      <c r="CK28" s="1036"/>
      <c r="CL28" s="1036"/>
      <c r="CM28" s="1036"/>
      <c r="CN28" s="1036"/>
      <c r="CO28" s="1036"/>
      <c r="CP28" s="1036"/>
      <c r="CQ28" s="1036"/>
      <c r="CR28" s="1036"/>
      <c r="CS28" s="1036"/>
      <c r="CT28" s="1036"/>
      <c r="CU28" s="1036"/>
      <c r="CV28" s="1036"/>
      <c r="CW28" s="1036"/>
      <c r="CX28" s="1036"/>
      <c r="CY28" s="1036"/>
      <c r="CZ28" s="1036">
        <f>'yrP&amp;L'!C71</f>
        <v>0</v>
      </c>
      <c r="DA28" s="1036">
        <f>'yrP&amp;L'!D71</f>
        <v>0</v>
      </c>
      <c r="DB28" s="1036">
        <f>'yrP&amp;L'!E71</f>
        <v>138</v>
      </c>
      <c r="DC28" s="1036">
        <f>'yrP&amp;L'!F71</f>
        <v>141</v>
      </c>
      <c r="DD28" s="1036">
        <f>'yrP&amp;L'!G71</f>
        <v>140.83799999999999</v>
      </c>
      <c r="DE28" s="1036">
        <f>'yrP&amp;L'!H71</f>
        <v>143.81200000000001</v>
      </c>
      <c r="DF28" s="1036">
        <f>'yrP&amp;L'!I71</f>
        <v>142.09399999999999</v>
      </c>
      <c r="DG28" s="1036">
        <f>'yrP&amp;L'!J71</f>
        <v>213.57300000000001</v>
      </c>
      <c r="DH28" s="1036">
        <f>'yrP&amp;L'!K71</f>
        <v>220.14</v>
      </c>
      <c r="DI28" s="1036">
        <f>'yrP&amp;L'!L71</f>
        <v>227.62725672905407</v>
      </c>
      <c r="DJ28" s="1035">
        <f>'yrP&amp;L'!M71</f>
        <v>223.08801576102871</v>
      </c>
      <c r="DK28" s="1037">
        <f>'yrP&amp;L'!N71</f>
        <v>215.1719389792604</v>
      </c>
      <c r="DL28" s="1035">
        <f>'yrP&amp;L'!O71</f>
        <v>202.76839221532973</v>
      </c>
      <c r="DM28" s="1036">
        <f>'yrP&amp;L'!P71</f>
        <v>204.65363754958602</v>
      </c>
      <c r="DN28" s="1036"/>
      <c r="DO28" s="1035">
        <f>'yrP&amp;L'!Q71</f>
        <v>197.13805329996541</v>
      </c>
      <c r="DP28" s="1036">
        <f>'yrP&amp;L'!R71</f>
        <v>191.72578745241074</v>
      </c>
      <c r="DQ28" s="1036">
        <f>'yrP&amp;L'!S71</f>
        <v>196.01179015468171</v>
      </c>
      <c r="DR28" s="1035">
        <f>'yrP&amp;L'!T71</f>
        <v>189.96532973030537</v>
      </c>
      <c r="DS28" s="1036">
        <f>'yrP&amp;L'!U71</f>
        <v>190.61002502595778</v>
      </c>
      <c r="DT28" s="1036">
        <f>'yrP&amp;L'!V71</f>
        <v>191.68647080748647</v>
      </c>
      <c r="DU28" s="1036">
        <f>'yrP&amp;L'!W71</f>
        <v>179.57206011554536</v>
      </c>
      <c r="DV28" s="1036">
        <f>'yrP&amp;L'!X71</f>
        <v>175.9783722478102</v>
      </c>
      <c r="DW28" s="1036">
        <f>'yrP&amp;L'!Y71</f>
        <v>174.30118766805992</v>
      </c>
      <c r="DX28" s="1036">
        <f>'yrP&amp;L'!Z71</f>
        <v>173.32437661404114</v>
      </c>
      <c r="DY28" s="1037">
        <f>'yrP&amp;L'!AA71</f>
        <v>172.34756556002233</v>
      </c>
      <c r="DZ28" s="1037">
        <f>'yrP&amp;L'!AB71</f>
        <v>171.37075450600352</v>
      </c>
      <c r="EA28" s="1036"/>
      <c r="EH28" s="1012"/>
      <c r="EI28" s="1012"/>
      <c r="EJ28" s="1012"/>
    </row>
    <row r="29" spans="2:140" ht="12.75">
      <c r="B29" s="963" t="s">
        <v>186</v>
      </c>
      <c r="C29" s="963"/>
      <c r="D29" s="1036">
        <f>'qtrP&amp;L'!S195</f>
        <v>137.93099999999998</v>
      </c>
      <c r="E29" s="1036">
        <f>'qtrP&amp;L'!S196</f>
        <v>139.374</v>
      </c>
      <c r="F29" s="1036">
        <f>'qtrP&amp;L'!S197</f>
        <v>139.68599999999998</v>
      </c>
      <c r="G29" s="1036">
        <f>'qtrP&amp;L'!S198</f>
        <v>132.54300000000001</v>
      </c>
      <c r="H29" s="963"/>
      <c r="I29" s="1036">
        <f>'qtrP&amp;L'!W195</f>
        <v>140.583</v>
      </c>
      <c r="J29" s="1036">
        <f>'qtrP&amp;L'!W196</f>
        <v>138.858</v>
      </c>
      <c r="K29" s="1036">
        <f>'qtrP&amp;L'!W197</f>
        <v>138.345</v>
      </c>
      <c r="L29" s="1036">
        <f>'qtrP&amp;L'!W198</f>
        <v>139.40100000000001</v>
      </c>
      <c r="M29" s="963"/>
      <c r="N29" s="1036">
        <f>'qtrP&amp;L'!AB195</f>
        <v>141.67599999999999</v>
      </c>
      <c r="O29" s="1036">
        <f>'qtrP&amp;L'!AB196</f>
        <v>143.07400000000001</v>
      </c>
      <c r="P29" s="1036">
        <f>'qtrP&amp;L'!AB197</f>
        <v>143.78200000000001</v>
      </c>
      <c r="Q29" s="1036">
        <f>'qtrP&amp;L'!AB198</f>
        <v>143.738</v>
      </c>
      <c r="R29" s="963"/>
      <c r="S29" s="1036">
        <f>'qtrP&amp;L'!AF195</f>
        <v>144.072</v>
      </c>
      <c r="T29" s="1036">
        <f>'qtrP&amp;L'!AF196</f>
        <v>144.238</v>
      </c>
      <c r="U29" s="1036">
        <f>'qtrP&amp;L'!AF197</f>
        <v>143.11799999999999</v>
      </c>
      <c r="V29" s="1036">
        <f>'qtrP&amp;L'!AF198</f>
        <v>142.26400000000001</v>
      </c>
      <c r="W29" s="963"/>
      <c r="X29" s="1036">
        <f>'qtrP&amp;L'!AJ195</f>
        <v>142.11199999999999</v>
      </c>
      <c r="Y29" s="1036">
        <f>'qtrP&amp;L'!AJ196</f>
        <v>142.16999999999999</v>
      </c>
      <c r="Z29" s="1036">
        <f>'qtrP&amp;L'!AJ197</f>
        <v>142.26</v>
      </c>
      <c r="AA29" s="1036">
        <f>'qtrP&amp;L'!AJ198</f>
        <v>142.358</v>
      </c>
      <c r="AB29" s="963"/>
      <c r="AC29" s="1036">
        <f>'qtrP&amp;L'!AN195</f>
        <v>143.012</v>
      </c>
      <c r="AD29" s="1036">
        <f>'qtrP&amp;L'!AN196</f>
        <v>144.50200000000001</v>
      </c>
      <c r="AE29" s="1036">
        <f>'qtrP&amp;L'!AN197</f>
        <v>144.50200000000001</v>
      </c>
      <c r="AF29" s="1036">
        <f>'qtrP&amp;L'!AN198</f>
        <v>144.50200000000001</v>
      </c>
      <c r="AG29" s="963"/>
      <c r="AH29" s="1036">
        <f>'qtrP&amp;L'!AR195</f>
        <v>151.58199999999999</v>
      </c>
      <c r="AI29" s="1036">
        <f>'qtrP&amp;L'!AR196</f>
        <v>153.94300000000001</v>
      </c>
      <c r="AJ29" s="1036">
        <f>'qtrP&amp;L'!AR197</f>
        <v>148.71302681269381</v>
      </c>
      <c r="AK29" s="1036">
        <f>'qtrP&amp;L'!AR198</f>
        <v>142.67392595489849</v>
      </c>
      <c r="AL29" s="963"/>
      <c r="AM29" s="1036">
        <f>'qtrP&amp;L'!AV195</f>
        <v>222.72200000000001</v>
      </c>
      <c r="AN29" s="1036">
        <f>'qtrP&amp;L'!AV196</f>
        <v>223.80500000000001</v>
      </c>
      <c r="AO29" s="1036">
        <f>'qtrP&amp;L'!AV197</f>
        <v>222.797</v>
      </c>
      <c r="AP29" s="1036">
        <f>'qtrP&amp;L'!AV198</f>
        <v>221.47</v>
      </c>
      <c r="AQ29" s="963"/>
      <c r="AR29" s="1036">
        <f>'qtrP&amp;L'!AZ195</f>
        <v>220.67500000000001</v>
      </c>
      <c r="AS29" s="1036">
        <f>'qtrP&amp;L'!AZ196</f>
        <v>217.79</v>
      </c>
      <c r="AT29" s="1036">
        <f>'qtrP&amp;L'!AZ197</f>
        <v>214.71899999999999</v>
      </c>
      <c r="AU29" s="1036">
        <f>'qtrP&amp;L'!AZ198</f>
        <v>210.227</v>
      </c>
      <c r="AV29" s="1822"/>
      <c r="AW29" s="1036">
        <f>'qtrP&amp;L'!BD195</f>
        <v>204.84100000000001</v>
      </c>
      <c r="AX29" s="1036">
        <f>'qtrP&amp;L'!BD196</f>
        <v>204.929</v>
      </c>
      <c r="AY29" s="1036">
        <f>'qtrP&amp;L'!BD197</f>
        <v>205.119</v>
      </c>
      <c r="AZ29" s="1036">
        <f>'qtrP&amp;L'!BD198</f>
        <v>205.28</v>
      </c>
      <c r="BA29" s="1822"/>
      <c r="BB29" s="1036">
        <f>'qtrP&amp;L'!BH195</f>
        <v>205.40799999999999</v>
      </c>
      <c r="BC29" s="1036">
        <f>'qtrP&amp;L'!BH196</f>
        <v>206.01</v>
      </c>
      <c r="BD29" s="1036">
        <f>'qtrP&amp;L'!BH197</f>
        <v>206.517</v>
      </c>
      <c r="BE29" s="1036">
        <f>'qtrP&amp;L'!BH198</f>
        <v>206.82599999999999</v>
      </c>
      <c r="BF29" s="1822"/>
      <c r="BG29" s="1036">
        <f>'qtrP&amp;L'!BL195</f>
        <v>207.71799999999999</v>
      </c>
      <c r="BH29" s="1036">
        <f>'qtrP&amp;L'!BL196</f>
        <v>201.76400000000001</v>
      </c>
      <c r="BI29" s="1036">
        <f>'qtrP&amp;L'!BL197</f>
        <v>195.59</v>
      </c>
      <c r="BJ29" s="1036">
        <f>'qtrP&amp;L'!BL198</f>
        <v>194.87799999999999</v>
      </c>
      <c r="BK29" s="1822"/>
      <c r="BL29" s="1035">
        <f>'qtrP&amp;L'!BP195</f>
        <v>194.68299999999999</v>
      </c>
      <c r="BM29" s="1036">
        <f>'qtrP&amp;L'!BP196</f>
        <v>194.90899999999999</v>
      </c>
      <c r="BN29" s="1036">
        <f>'qtrP&amp;L'!BP197</f>
        <v>194.37799999999999</v>
      </c>
      <c r="BO29" s="1036">
        <f>'qtrP&amp;L'!BP198</f>
        <v>193.798</v>
      </c>
      <c r="BP29" s="1822"/>
      <c r="BQ29" s="1036">
        <f>'qtrP&amp;L'!BT195</f>
        <v>194.89</v>
      </c>
      <c r="BR29" s="1036">
        <f>'qtrP&amp;L'!BT196</f>
        <v>197.41440507574066</v>
      </c>
      <c r="BS29" s="1036">
        <f>'qtrP&amp;L'!BT197</f>
        <v>199.54854009084823</v>
      </c>
      <c r="BT29" s="1036">
        <f>'qtrP&amp;L'!BT198</f>
        <v>198.96461703810351</v>
      </c>
      <c r="BU29" s="1036"/>
      <c r="BV29" s="1036">
        <f>'qtrP&amp;L'!BX195</f>
        <v>192.71799999999999</v>
      </c>
      <c r="BW29" s="1036">
        <f>'qtrP&amp;L'!BX196</f>
        <v>192.73099999999999</v>
      </c>
      <c r="BX29" s="1036">
        <f>'qtrP&amp;L'!BX197</f>
        <v>192.81800000000001</v>
      </c>
      <c r="BY29" s="1036">
        <f>'qtrP&amp;L'!BX198</f>
        <v>192.80199999999999</v>
      </c>
      <c r="BZ29" s="1036"/>
      <c r="CA29" s="1036">
        <f>'qtrP&amp;L'!CB195</f>
        <v>194.06</v>
      </c>
      <c r="CB29" s="1036">
        <f>'qtrP&amp;L'!CB196</f>
        <v>194.511</v>
      </c>
      <c r="CC29" s="1036">
        <f>'qtrP&amp;L'!CB197</f>
        <v>194.57300000000001</v>
      </c>
      <c r="CD29" s="1036">
        <f>'qtrP&amp;L'!CB198</f>
        <v>194.60599999999999</v>
      </c>
      <c r="CE29" s="1036"/>
      <c r="CF29" s="1036">
        <f>'qtrP&amp;L'!CF195</f>
        <v>194.97499999999999</v>
      </c>
      <c r="CG29" s="1036">
        <f>'qtrP&amp;L'!CF196</f>
        <v>195.50800000000001</v>
      </c>
      <c r="CH29" s="1036">
        <f>'qtrP&amp;L'!CF197</f>
        <v>195.215</v>
      </c>
      <c r="CI29" s="1036">
        <f>'qtrP&amp;L'!CF198</f>
        <v>191.697</v>
      </c>
      <c r="CJ29" s="1036"/>
      <c r="CK29" s="1036">
        <f>'qtrP&amp;L'!CJ195</f>
        <v>180.697</v>
      </c>
      <c r="CL29" s="1036">
        <f>'qtrP&amp;L'!CJ196</f>
        <v>181.048</v>
      </c>
      <c r="CM29" s="1036">
        <f>'qtrP&amp;L'!CJ197</f>
        <v>181.81899999999999</v>
      </c>
      <c r="CN29" s="1036">
        <f>'qtrP&amp;L'!CJ198</f>
        <v>182.05500000000001</v>
      </c>
      <c r="CO29" s="1036"/>
      <c r="CP29" s="1036">
        <f t="array" ref="CP29:CS29">TRANSPOSE('qtrP&amp;L'!CN195:CN198)</f>
        <v>179.31899999999999</v>
      </c>
      <c r="CQ29" s="1036">
        <v>177.22800000000001</v>
      </c>
      <c r="CR29" s="1036">
        <v>177.28800000000001</v>
      </c>
      <c r="CS29" s="1036">
        <v>177.49199999999999</v>
      </c>
      <c r="CT29" s="1036"/>
      <c r="CU29" s="1036">
        <f t="array" ref="CU29:CX29">TRANSPOSE('qtrP&amp;L'!CR195:CR198)</f>
        <v>176.50696761733514</v>
      </c>
      <c r="CV29" s="1036">
        <v>176.01445142600269</v>
      </c>
      <c r="CW29" s="1036">
        <v>175.52193523467025</v>
      </c>
      <c r="CX29" s="1036">
        <v>175.02941904333781</v>
      </c>
      <c r="CY29" s="1036"/>
      <c r="CZ29" s="1036">
        <f>'yrP&amp;L'!C72</f>
        <v>0</v>
      </c>
      <c r="DA29" s="1036">
        <f>'yrP&amp;L'!D72</f>
        <v>0</v>
      </c>
      <c r="DB29" s="1036">
        <f>'yrP&amp;L'!E72</f>
        <v>135.84299999999999</v>
      </c>
      <c r="DC29" s="1036">
        <f>'yrP&amp;L'!F72</f>
        <v>132.54300000000001</v>
      </c>
      <c r="DD29" s="1036">
        <f>'yrP&amp;L'!G72</f>
        <v>139.304</v>
      </c>
      <c r="DE29" s="1036">
        <f>'yrP&amp;L'!H72</f>
        <v>143.05799999999999</v>
      </c>
      <c r="DF29" s="1036">
        <f>'yrP&amp;L'!I72</f>
        <v>143.41800000000001</v>
      </c>
      <c r="DG29" s="1036">
        <f>'yrP&amp;L'!J72</f>
        <v>142.226</v>
      </c>
      <c r="DH29" s="1036">
        <f>'yrP&amp;L'!K72</f>
        <v>216.85649999999998</v>
      </c>
      <c r="DI29" s="1036">
        <f>'yrP&amp;L'!L72</f>
        <v>223.88362836452703</v>
      </c>
      <c r="DJ29" s="1035">
        <f>'yrP&amp;L'!M72</f>
        <v>222.69850000000002</v>
      </c>
      <c r="DK29" s="1037">
        <f>'yrP&amp;L'!N72</f>
        <v>216.119</v>
      </c>
      <c r="DL29" s="1035">
        <f>'yrP&amp;L'!O72</f>
        <v>205.16900000000001</v>
      </c>
      <c r="DM29" s="1036">
        <f>'yrP&amp;L'!P72</f>
        <v>206.17099999999999</v>
      </c>
      <c r="DN29" s="1034"/>
      <c r="DO29" s="1035">
        <f>'yrP&amp;L'!Q72</f>
        <v>199.97900000000001</v>
      </c>
      <c r="DP29" s="1036">
        <f>'yrP&amp;L'!R72</f>
        <v>194.44200000000001</v>
      </c>
      <c r="DQ29" s="1036">
        <f>'yrP&amp;L'!S72</f>
        <v>198.78872324734527</v>
      </c>
      <c r="DR29" s="1035">
        <f>'yrP&amp;L'!T72</f>
        <v>192.6566015674257</v>
      </c>
      <c r="DS29" s="1036">
        <f>'yrP&amp;L'!U72</f>
        <v>193.31043037336221</v>
      </c>
      <c r="DT29" s="1036">
        <f>'yrP&amp;L'!V72</f>
        <v>194.40212634933496</v>
      </c>
      <c r="DU29" s="1036">
        <f>'yrP&amp;L'!W72</f>
        <v>182.11608869596455</v>
      </c>
      <c r="DV29" s="1036">
        <f>'yrP&amp;L'!X72</f>
        <v>178.47148842772154</v>
      </c>
      <c r="DW29" s="1036">
        <f>'yrP&amp;L'!Y72</f>
        <v>176.77054288258066</v>
      </c>
      <c r="DX29" s="1036">
        <f>'yrP&amp;L'!Z72</f>
        <v>175.77989317661627</v>
      </c>
      <c r="DY29" s="1037">
        <f>'yrP&amp;L'!AA72</f>
        <v>174.78924347065185</v>
      </c>
      <c r="DZ29" s="1037">
        <f>'yrP&amp;L'!AB72</f>
        <v>173.79859376468744</v>
      </c>
      <c r="EA29" s="1036"/>
      <c r="EH29" s="1012"/>
      <c r="EI29" s="1012"/>
      <c r="EJ29" s="1012"/>
    </row>
    <row r="30" spans="2:140" ht="9" customHeight="1">
      <c r="B30" s="963"/>
      <c r="C30" s="963"/>
      <c r="D30" s="1036"/>
      <c r="E30" s="1036"/>
      <c r="F30" s="1036"/>
      <c r="G30" s="1036"/>
      <c r="H30" s="963"/>
      <c r="I30" s="1036"/>
      <c r="J30" s="1036"/>
      <c r="K30" s="1036"/>
      <c r="L30" s="1036"/>
      <c r="M30" s="963"/>
      <c r="N30" s="1036"/>
      <c r="O30" s="1036"/>
      <c r="P30" s="1036"/>
      <c r="Q30" s="1036"/>
      <c r="R30" s="963"/>
      <c r="S30" s="1036"/>
      <c r="T30" s="1036"/>
      <c r="U30" s="1036"/>
      <c r="V30" s="1036"/>
      <c r="W30" s="963"/>
      <c r="X30" s="1036"/>
      <c r="Y30" s="1036"/>
      <c r="Z30" s="1036"/>
      <c r="AA30" s="1036"/>
      <c r="AB30" s="963"/>
      <c r="AC30" s="1036"/>
      <c r="AD30" s="1036"/>
      <c r="AE30" s="1036"/>
      <c r="AF30" s="1036"/>
      <c r="AG30" s="963"/>
      <c r="AH30" s="1036"/>
      <c r="AI30" s="1036"/>
      <c r="AJ30" s="1036"/>
      <c r="AK30" s="1036"/>
      <c r="AL30" s="963"/>
      <c r="AM30" s="1036"/>
      <c r="AN30" s="1036"/>
      <c r="AO30" s="1036"/>
      <c r="AP30" s="1036"/>
      <c r="AQ30" s="963"/>
      <c r="AR30" s="1036"/>
      <c r="AS30" s="1036"/>
      <c r="AT30" s="1036"/>
      <c r="AU30" s="1036"/>
      <c r="AV30" s="1822"/>
      <c r="AW30" s="1036"/>
      <c r="AX30" s="1036"/>
      <c r="AY30" s="1036"/>
      <c r="AZ30" s="1036"/>
      <c r="BA30" s="1822"/>
      <c r="BB30" s="1036"/>
      <c r="BC30" s="1036"/>
      <c r="BD30" s="1036"/>
      <c r="BE30" s="1036"/>
      <c r="BF30" s="1822"/>
      <c r="BG30" s="1036"/>
      <c r="BH30" s="1036"/>
      <c r="BI30" s="1036"/>
      <c r="BJ30" s="1036"/>
      <c r="BK30" s="1822"/>
      <c r="BL30" s="1035"/>
      <c r="BM30" s="1036"/>
      <c r="BN30" s="1036"/>
      <c r="BO30" s="1036"/>
      <c r="BP30" s="1822"/>
      <c r="BQ30" s="1036"/>
      <c r="BR30" s="1036"/>
      <c r="BS30" s="1036"/>
      <c r="BT30" s="1036"/>
      <c r="BU30" s="1036"/>
      <c r="BV30" s="1036"/>
      <c r="BW30" s="1036"/>
      <c r="BX30" s="1036"/>
      <c r="BY30" s="1036"/>
      <c r="BZ30" s="1036"/>
      <c r="CA30" s="1036"/>
      <c r="CB30" s="1036"/>
      <c r="CC30" s="1036"/>
      <c r="CD30" s="1036"/>
      <c r="CE30" s="1036"/>
      <c r="CF30" s="1036"/>
      <c r="CG30" s="1036"/>
      <c r="CH30" s="1036"/>
      <c r="CI30" s="1036"/>
      <c r="CJ30" s="1036"/>
      <c r="CK30" s="1036"/>
      <c r="CL30" s="1036"/>
      <c r="CM30" s="1036"/>
      <c r="CN30" s="1036"/>
      <c r="CO30" s="1036"/>
      <c r="CP30" s="1036"/>
      <c r="CQ30" s="1036"/>
      <c r="CR30" s="1036"/>
      <c r="CS30" s="1036"/>
      <c r="CT30" s="1036"/>
      <c r="CU30" s="1036"/>
      <c r="CV30" s="1036"/>
      <c r="CW30" s="1036"/>
      <c r="CX30" s="1036"/>
      <c r="CY30" s="1036"/>
      <c r="CZ30" s="1036"/>
      <c r="DA30" s="1036"/>
      <c r="DB30" s="1036"/>
      <c r="DC30" s="1036"/>
      <c r="DD30" s="1036"/>
      <c r="DE30" s="1036"/>
      <c r="DF30" s="1036"/>
      <c r="DG30" s="1036"/>
      <c r="DH30" s="1036"/>
      <c r="DI30" s="1036"/>
      <c r="DJ30" s="1035"/>
      <c r="DK30" s="1037"/>
      <c r="DL30" s="1035"/>
      <c r="DM30" s="1036"/>
      <c r="DN30" s="1034"/>
      <c r="DO30" s="1035"/>
      <c r="DP30" s="1036"/>
      <c r="DQ30" s="1036"/>
      <c r="DR30" s="1035"/>
      <c r="DS30" s="1036"/>
      <c r="DT30" s="1036"/>
      <c r="DU30" s="1036"/>
      <c r="DV30" s="1036"/>
      <c r="DW30" s="1036"/>
      <c r="DX30" s="1036"/>
      <c r="DY30" s="1037"/>
      <c r="DZ30" s="1037"/>
      <c r="EA30" s="1036"/>
      <c r="EH30" s="1012"/>
      <c r="EI30" s="1012"/>
      <c r="EJ30" s="1012"/>
    </row>
    <row r="31" spans="2:140" ht="12.75" customHeight="1">
      <c r="B31" s="1003" t="s">
        <v>2</v>
      </c>
      <c r="C31" s="1006"/>
      <c r="D31" s="1006">
        <f>D17+D15</f>
        <v>21.919000000000004</v>
      </c>
      <c r="E31" s="1006">
        <f>E17+E15</f>
        <v>29.896000000000001</v>
      </c>
      <c r="F31" s="1006">
        <f>F17+F15</f>
        <v>42.13600000000001</v>
      </c>
      <c r="G31" s="1006">
        <f>G17+G15</f>
        <v>67.762</v>
      </c>
      <c r="H31" s="1007"/>
      <c r="I31" s="1006">
        <f>I17+I15</f>
        <v>23.348999999999997</v>
      </c>
      <c r="J31" s="1006">
        <f>J17+J15</f>
        <v>8.5740000000000052</v>
      </c>
      <c r="K31" s="1006">
        <f>K17+K15</f>
        <v>52.435000000000002</v>
      </c>
      <c r="L31" s="1006">
        <f>L17+L15</f>
        <v>85.392999999999972</v>
      </c>
      <c r="M31" s="1006"/>
      <c r="N31" s="1006">
        <f>N17+N15</f>
        <v>32.25500000000001</v>
      </c>
      <c r="O31" s="1006">
        <f>O17+O15</f>
        <v>32.704999999999998</v>
      </c>
      <c r="P31" s="1006">
        <f>P17+P15</f>
        <v>60.928999999999988</v>
      </c>
      <c r="Q31" s="1006">
        <f>Q17+Q15</f>
        <v>82.459000000000032</v>
      </c>
      <c r="R31" s="1006"/>
      <c r="S31" s="1006">
        <f>S17+S15</f>
        <v>31.879999999999981</v>
      </c>
      <c r="T31" s="1006">
        <f>T17+T15</f>
        <v>28.576999999999998</v>
      </c>
      <c r="U31" s="1006">
        <f>U17+U15</f>
        <v>56.485000000000042</v>
      </c>
      <c r="V31" s="1006">
        <f>V17+V15</f>
        <v>74.803999999999945</v>
      </c>
      <c r="W31" s="1006"/>
      <c r="X31" s="1006">
        <f>X17+X15</f>
        <v>23.132000000000005</v>
      </c>
      <c r="Y31" s="1006">
        <f>Y17+Y15</f>
        <v>26.363</v>
      </c>
      <c r="Z31" s="1006">
        <f>Z17+Z15</f>
        <v>35.537000000000006</v>
      </c>
      <c r="AA31" s="1006">
        <f>AA17+AA15</f>
        <v>84.99799999999999</v>
      </c>
      <c r="AB31" s="1006"/>
      <c r="AC31" s="1006">
        <f>AC17+AC15</f>
        <v>58.869000000000028</v>
      </c>
      <c r="AD31" s="1006">
        <f>AD17+AD15</f>
        <v>67.902999999999992</v>
      </c>
      <c r="AE31" s="1006">
        <f>AE17+AE15</f>
        <v>114.21599999999998</v>
      </c>
      <c r="AF31" s="1006">
        <f>AF17+AF15</f>
        <v>189.99100000000001</v>
      </c>
      <c r="AG31" s="1006"/>
      <c r="AH31" s="1006">
        <f>AH17+AH15</f>
        <v>105.07099999999997</v>
      </c>
      <c r="AI31" s="1006">
        <f>AI17+AI15</f>
        <v>104.20600000000007</v>
      </c>
      <c r="AJ31" s="1006">
        <f>AJ17+AJ15</f>
        <v>131.58400000000003</v>
      </c>
      <c r="AK31" s="1006">
        <f>AK17+AK15</f>
        <v>192.25200000000007</v>
      </c>
      <c r="AL31" s="1006"/>
      <c r="AM31" s="1006">
        <f>AM17+AM15</f>
        <v>119.69999999999996</v>
      </c>
      <c r="AN31" s="1006">
        <f>AN17+AN15</f>
        <v>132.48900000000003</v>
      </c>
      <c r="AO31" s="1006">
        <f>AO17+AO15</f>
        <v>173.89299999999994</v>
      </c>
      <c r="AP31" s="1006">
        <f>AP17+AP15</f>
        <v>248.74</v>
      </c>
      <c r="AQ31" s="1006"/>
      <c r="AR31" s="1006">
        <f>AR17+AR15</f>
        <v>141.46999999999994</v>
      </c>
      <c r="AS31" s="1006">
        <f>AS17+AS15</f>
        <v>150.06099999999995</v>
      </c>
      <c r="AT31" s="1006">
        <f>AT17+AT15</f>
        <v>178.75599999999997</v>
      </c>
      <c r="AU31" s="1006">
        <f>AU17+AU15</f>
        <v>237.67099999999994</v>
      </c>
      <c r="AV31" s="1006"/>
      <c r="AW31" s="1006">
        <f>AW17+AW15</f>
        <v>94.029000000000025</v>
      </c>
      <c r="AX31" s="1006">
        <f>AX17+AX15</f>
        <v>121.48600000000008</v>
      </c>
      <c r="AY31" s="1006">
        <f>AY17+AY15</f>
        <v>127.69699999999992</v>
      </c>
      <c r="AZ31" s="1006">
        <f>AZ17+AZ15</f>
        <v>96.846999999999923</v>
      </c>
      <c r="BA31" s="1006"/>
      <c r="BB31" s="1006">
        <f>BB17+BB15</f>
        <v>71.814999999999998</v>
      </c>
      <c r="BC31" s="1006">
        <f>BC17+BC15</f>
        <v>93.04000000000002</v>
      </c>
      <c r="BD31" s="1006">
        <f>BD17+BD15</f>
        <v>119.22699999999995</v>
      </c>
      <c r="BE31" s="1006">
        <f>BE17+BE15</f>
        <v>164.06999999999991</v>
      </c>
      <c r="BF31" s="1006"/>
      <c r="BG31" s="1006">
        <f>BG17+BG15</f>
        <v>92.055999999999983</v>
      </c>
      <c r="BH31" s="1006">
        <f>BH17+BH15</f>
        <v>77.569000000000017</v>
      </c>
      <c r="BI31" s="1006">
        <f>BI17+BI15</f>
        <v>133.87899999999993</v>
      </c>
      <c r="BJ31" s="1006">
        <f>BJ17+BJ15</f>
        <v>175.7226</v>
      </c>
      <c r="BK31" s="1006"/>
      <c r="BL31" s="1005">
        <f>BL17+BL15</f>
        <v>78.567000000000064</v>
      </c>
      <c r="BM31" s="1006">
        <f>BM17+BM15</f>
        <v>73.064999999999998</v>
      </c>
      <c r="BN31" s="1006">
        <f>BN17+BN15</f>
        <v>126.56799999999993</v>
      </c>
      <c r="BO31" s="1006">
        <f>BO17+BO15</f>
        <v>153.8070000000001</v>
      </c>
      <c r="BP31" s="1006"/>
      <c r="BQ31" s="1006">
        <f>BQ17+BQ15</f>
        <v>96.37400000000008</v>
      </c>
      <c r="BR31" s="1006">
        <f>BR17+BR15</f>
        <v>98.805999999999955</v>
      </c>
      <c r="BS31" s="1006">
        <f>BS17+BS15</f>
        <v>159.96200000000005</v>
      </c>
      <c r="BT31" s="1006">
        <f>BT17+BT15</f>
        <v>207.51800000000014</v>
      </c>
      <c r="BU31" s="1006"/>
      <c r="BV31" s="1006">
        <f>BV17+BV15</f>
        <v>85.292999999999978</v>
      </c>
      <c r="BW31" s="1006">
        <f>BW17+BW15</f>
        <v>59.158999999999992</v>
      </c>
      <c r="BX31" s="1006">
        <f>BX17+BX15</f>
        <v>93.15</v>
      </c>
      <c r="BY31" s="1006">
        <f>BY17+BY15</f>
        <v>116.35600000000005</v>
      </c>
      <c r="BZ31" s="1006"/>
      <c r="CA31" s="1006">
        <f>CA17+CA15</f>
        <v>40.787000000000035</v>
      </c>
      <c r="CB31" s="1006">
        <f>CB17+CB15</f>
        <v>47.469000000000023</v>
      </c>
      <c r="CC31" s="1006">
        <f>CC17+CC15</f>
        <v>110.83099999999999</v>
      </c>
      <c r="CD31" s="1006">
        <f>CD17+CD15</f>
        <v>149.08900000000006</v>
      </c>
      <c r="CE31" s="1006"/>
      <c r="CF31" s="1006">
        <f>CF17+CF15</f>
        <v>77.120999999999981</v>
      </c>
      <c r="CG31" s="1006">
        <f>CG17+CG15</f>
        <v>89.24799999999999</v>
      </c>
      <c r="CH31" s="1006">
        <f>CH17+CH15</f>
        <v>146.73400000000004</v>
      </c>
      <c r="CI31" s="1006">
        <f>CI17+CI15</f>
        <v>154.93100000000001</v>
      </c>
      <c r="CJ31" s="1006"/>
      <c r="CK31" s="1006">
        <f>CK17+CK15</f>
        <v>97.45900000000006</v>
      </c>
      <c r="CL31" s="1006">
        <f>CL17+CL15</f>
        <v>107.55900000000003</v>
      </c>
      <c r="CM31" s="1006">
        <f>CM17+CM15</f>
        <v>157.90400000000002</v>
      </c>
      <c r="CN31" s="1006">
        <f>CN17+CN15</f>
        <v>146.44300000000007</v>
      </c>
      <c r="CO31" s="1006"/>
      <c r="CP31" s="1006">
        <f>CP17+CP15</f>
        <v>82.842999999999989</v>
      </c>
      <c r="CQ31" s="1006">
        <f>CQ17+CQ15</f>
        <v>90.611999999999938</v>
      </c>
      <c r="CR31" s="1006">
        <f>CR17+CR15</f>
        <v>157.76700000000002</v>
      </c>
      <c r="CS31" s="1006">
        <f>CS17+CS15</f>
        <v>161.27699999999999</v>
      </c>
      <c r="CT31" s="1006"/>
      <c r="CU31" s="1006">
        <f>CU17+CU15</f>
        <v>96.186871558046761</v>
      </c>
      <c r="CV31" s="1006">
        <f>CV17+CV15</f>
        <v>116.66138650954574</v>
      </c>
      <c r="CW31" s="1006">
        <f>CW17+CW15</f>
        <v>144.05604902934084</v>
      </c>
      <c r="CX31" s="1006">
        <f>CX17+CX15</f>
        <v>141.11595640876186</v>
      </c>
      <c r="CY31" s="1006"/>
      <c r="CZ31" s="1006">
        <f>CZ17+CZ15</f>
        <v>14.94599999999997</v>
      </c>
      <c r="DA31" s="1006">
        <f>DA17+DA15</f>
        <v>38.437999999999988</v>
      </c>
      <c r="DB31" s="1006">
        <f t="shared" ref="DB31:DG31" si="19">DB17+DB15</f>
        <v>95.664000000000016</v>
      </c>
      <c r="DC31" s="1006">
        <f t="shared" si="19"/>
        <v>161.71300000000005</v>
      </c>
      <c r="DD31" s="1006">
        <f t="shared" si="19"/>
        <v>169.75099999999986</v>
      </c>
      <c r="DE31" s="1007">
        <f t="shared" si="19"/>
        <v>208.34800000000018</v>
      </c>
      <c r="DF31" s="1007">
        <f t="shared" si="19"/>
        <v>191.74600000000004</v>
      </c>
      <c r="DG31" s="1007">
        <f t="shared" si="19"/>
        <v>193.23599999999993</v>
      </c>
      <c r="DH31" s="1007">
        <f t="shared" ref="DH31:DM31" si="20">DH17+DH15</f>
        <v>430.411</v>
      </c>
      <c r="DI31" s="1007">
        <f t="shared" si="20"/>
        <v>537.41700000000003</v>
      </c>
      <c r="DJ31" s="1023">
        <f t="shared" si="20"/>
        <v>674.82199999999955</v>
      </c>
      <c r="DK31" s="1009">
        <f>DK17+DK15</f>
        <v>707.95799999999963</v>
      </c>
      <c r="DL31" s="1023">
        <f t="shared" si="20"/>
        <v>440.05899999999997</v>
      </c>
      <c r="DM31" s="1007">
        <f t="shared" si="20"/>
        <v>448.15199999999982</v>
      </c>
      <c r="DN31" s="1004"/>
      <c r="DO31" s="1023">
        <f t="shared" ref="DO31:DY31" si="21">DO17+DO15</f>
        <v>479.22659999999996</v>
      </c>
      <c r="DP31" s="1007">
        <f t="shared" si="21"/>
        <v>432.00700000000006</v>
      </c>
      <c r="DQ31" s="1007">
        <f t="shared" si="21"/>
        <v>562.6600000000002</v>
      </c>
      <c r="DR31" s="1023">
        <f t="shared" si="21"/>
        <v>353.95799999999963</v>
      </c>
      <c r="DS31" s="1007">
        <f t="shared" si="21"/>
        <v>348.17600000000004</v>
      </c>
      <c r="DT31" s="1007">
        <f t="shared" si="21"/>
        <v>468.03399999999988</v>
      </c>
      <c r="DU31" s="1007">
        <f t="shared" si="21"/>
        <v>509.36500000000024</v>
      </c>
      <c r="DV31" s="1007">
        <f t="shared" si="21"/>
        <v>492.4989999999998</v>
      </c>
      <c r="DW31" s="1007">
        <f t="shared" si="21"/>
        <v>498.02026350569463</v>
      </c>
      <c r="DX31" s="1007">
        <f t="shared" si="21"/>
        <v>499.32734908261125</v>
      </c>
      <c r="DY31" s="1009">
        <f t="shared" si="21"/>
        <v>493.68145114422975</v>
      </c>
      <c r="DZ31" s="1009">
        <f>DZ17+DZ15</f>
        <v>483.37599357793533</v>
      </c>
      <c r="EA31" s="1007"/>
      <c r="EH31" s="1012"/>
      <c r="EI31" s="1012"/>
      <c r="EJ31" s="1012"/>
    </row>
    <row r="32" spans="2:140" ht="12.75">
      <c r="B32" s="1003" t="s">
        <v>426</v>
      </c>
      <c r="C32" s="1006"/>
      <c r="D32" s="1006"/>
      <c r="E32" s="1006"/>
      <c r="F32" s="1006"/>
      <c r="G32" s="1006"/>
      <c r="H32" s="1007"/>
      <c r="I32" s="1006"/>
      <c r="J32" s="1006"/>
      <c r="K32" s="1006"/>
      <c r="L32" s="1006"/>
      <c r="M32" s="1006"/>
      <c r="N32" s="1006"/>
      <c r="O32" s="1006"/>
      <c r="P32" s="1006"/>
      <c r="Q32" s="1006"/>
      <c r="R32" s="1006"/>
      <c r="S32" s="1006"/>
      <c r="T32" s="1006"/>
      <c r="U32" s="1006"/>
      <c r="V32" s="1006"/>
      <c r="W32" s="1006"/>
      <c r="X32" s="1006"/>
      <c r="Y32" s="1006"/>
      <c r="Z32" s="1006"/>
      <c r="AA32" s="1006"/>
      <c r="AB32" s="1006"/>
      <c r="AC32" s="1006"/>
      <c r="AD32" s="1006"/>
      <c r="AE32" s="1006"/>
      <c r="AF32" s="1006"/>
      <c r="AG32" s="1006"/>
      <c r="AH32" s="1006"/>
      <c r="AI32" s="1006"/>
      <c r="AJ32" s="1006"/>
      <c r="AK32" s="1006"/>
      <c r="AL32" s="1006"/>
      <c r="AM32" s="1006"/>
      <c r="AN32" s="1006"/>
      <c r="AO32" s="1006"/>
      <c r="AP32" s="1006"/>
      <c r="AQ32" s="1006"/>
      <c r="AR32" s="1006"/>
      <c r="AS32" s="1006"/>
      <c r="AT32" s="1006"/>
      <c r="AU32" s="1006"/>
      <c r="AV32" s="1006"/>
      <c r="AW32" s="1006"/>
      <c r="AX32" s="1006"/>
      <c r="AY32" s="1006"/>
      <c r="AZ32" s="1006"/>
      <c r="BA32" s="1006"/>
      <c r="BB32" s="1006"/>
      <c r="BC32" s="1006"/>
      <c r="BD32" s="1006"/>
      <c r="BE32" s="1006"/>
      <c r="BF32" s="1006"/>
      <c r="BG32" s="1006"/>
      <c r="BH32" s="1006"/>
      <c r="BI32" s="1006"/>
      <c r="BJ32" s="1006"/>
      <c r="BK32" s="1006"/>
      <c r="BL32" s="1005"/>
      <c r="BM32" s="1006"/>
      <c r="BN32" s="1006"/>
      <c r="BO32" s="1006"/>
      <c r="BP32" s="1006"/>
      <c r="BQ32" s="1006"/>
      <c r="BR32" s="1006"/>
      <c r="BS32" s="1006"/>
      <c r="BT32" s="1006"/>
      <c r="BU32" s="1006"/>
      <c r="BV32" s="1006"/>
      <c r="BW32" s="1006"/>
      <c r="BX32" s="1006"/>
      <c r="BY32" s="1006"/>
      <c r="BZ32" s="1006"/>
      <c r="CA32" s="1006"/>
      <c r="CB32" s="1006"/>
      <c r="CC32" s="1006"/>
      <c r="CD32" s="1006"/>
      <c r="CE32" s="1006"/>
      <c r="CF32" s="1006"/>
      <c r="CG32" s="1006"/>
      <c r="CH32" s="1006"/>
      <c r="CI32" s="1006"/>
      <c r="CJ32" s="1006"/>
      <c r="CK32" s="1006"/>
      <c r="CL32" s="1006"/>
      <c r="CM32" s="1006"/>
      <c r="CN32" s="1006"/>
      <c r="CO32" s="1006"/>
      <c r="CP32" s="1006"/>
      <c r="CQ32" s="1006"/>
      <c r="CR32" s="1006"/>
      <c r="CS32" s="1006"/>
      <c r="CT32" s="1006"/>
      <c r="CU32" s="1006"/>
      <c r="CV32" s="1006"/>
      <c r="CW32" s="1006"/>
      <c r="CX32" s="1006"/>
      <c r="CY32" s="1006"/>
      <c r="CZ32" s="1006">
        <f>flow!E22</f>
        <v>10.54</v>
      </c>
      <c r="DA32" s="1006">
        <f>flow!G22</f>
        <v>12.646000000000001</v>
      </c>
      <c r="DB32" s="1006">
        <f>flow!I22</f>
        <v>24.913</v>
      </c>
      <c r="DC32" s="1006">
        <f>flow!K22</f>
        <v>45.556000000000004</v>
      </c>
      <c r="DD32" s="1006">
        <f>flow!M22</f>
        <v>174.50900000000001</v>
      </c>
      <c r="DE32" s="1007">
        <f>flow!O22</f>
        <v>119.34699999999999</v>
      </c>
      <c r="DF32" s="1007">
        <f>flow!Q22</f>
        <v>61.406999999999996</v>
      </c>
      <c r="DG32" s="1007">
        <f>flow!S22</f>
        <v>77.543999999999997</v>
      </c>
      <c r="DH32" s="1007">
        <f>flow!U22</f>
        <v>97.287999999999997</v>
      </c>
      <c r="DI32" s="1007">
        <f>flow!W22</f>
        <v>81.545000000000002</v>
      </c>
      <c r="DJ32" s="1023">
        <f>flow!Y22</f>
        <v>225.93899999999999</v>
      </c>
      <c r="DK32" s="1009">
        <f>flow!AA22</f>
        <v>250.40700000000001</v>
      </c>
      <c r="DL32" s="1023">
        <f>flow!AC22</f>
        <v>265.33499999999998</v>
      </c>
      <c r="DM32" s="1007">
        <f>flow!AE22</f>
        <v>127.419</v>
      </c>
      <c r="DN32" s="1004"/>
      <c r="DO32" s="1023">
        <f>flow!AG22</f>
        <v>84.259</v>
      </c>
      <c r="DP32" s="1007">
        <f>flow!AI22</f>
        <v>100.13500000000001</v>
      </c>
      <c r="DQ32" s="1007">
        <f>flow!AK22</f>
        <v>93.938999999999993</v>
      </c>
      <c r="DR32" s="1023">
        <f>flow!AM22</f>
        <v>278.49900000000002</v>
      </c>
      <c r="DS32" s="1007">
        <f>flow!AO22</f>
        <v>245.00200000000001</v>
      </c>
      <c r="DT32" s="1007">
        <f>flow!AQ22</f>
        <v>153.256</v>
      </c>
      <c r="DU32" s="1007">
        <f>flow!AS22</f>
        <v>161.494</v>
      </c>
      <c r="DV32" s="1007">
        <f>flow!AU22</f>
        <v>169</v>
      </c>
      <c r="DW32" s="1007">
        <f>flow!AW22</f>
        <v>185</v>
      </c>
      <c r="DX32" s="1007">
        <f>flow!AY22</f>
        <v>185</v>
      </c>
      <c r="DY32" s="2128">
        <f>flow!BA22</f>
        <v>185</v>
      </c>
      <c r="DZ32" s="2128">
        <f>flow!BC22</f>
        <v>185</v>
      </c>
      <c r="EA32" s="1007"/>
      <c r="EH32" s="1012"/>
      <c r="EI32" s="1012"/>
      <c r="EJ32" s="1012"/>
    </row>
    <row r="33" spans="2:140" ht="5.25" customHeight="1">
      <c r="B33" s="963"/>
      <c r="C33" s="963"/>
      <c r="D33" s="963"/>
      <c r="E33" s="963"/>
      <c r="F33" s="963"/>
      <c r="G33" s="963"/>
      <c r="H33" s="963"/>
      <c r="I33" s="963"/>
      <c r="J33" s="963"/>
      <c r="K33" s="963"/>
      <c r="L33" s="963"/>
      <c r="M33" s="963"/>
      <c r="N33" s="963"/>
      <c r="O33" s="963"/>
      <c r="P33" s="963"/>
      <c r="Q33" s="963"/>
      <c r="R33" s="963"/>
      <c r="S33" s="963"/>
      <c r="T33" s="963"/>
      <c r="U33" s="963"/>
      <c r="V33" s="963"/>
      <c r="W33" s="963"/>
      <c r="X33" s="963"/>
      <c r="Y33" s="963"/>
      <c r="Z33" s="963"/>
      <c r="AA33" s="963"/>
      <c r="AB33" s="963"/>
      <c r="AC33" s="963"/>
      <c r="AD33" s="963"/>
      <c r="AE33" s="963"/>
      <c r="AF33" s="963"/>
      <c r="AG33" s="963"/>
      <c r="AH33" s="963"/>
      <c r="AI33" s="963"/>
      <c r="AJ33" s="963"/>
      <c r="AK33" s="963"/>
      <c r="AL33" s="963"/>
      <c r="AM33" s="963"/>
      <c r="AN33" s="963"/>
      <c r="AO33" s="963"/>
      <c r="AP33" s="963"/>
      <c r="AQ33" s="963"/>
      <c r="AR33" s="963"/>
      <c r="AS33" s="963"/>
      <c r="AT33" s="963"/>
      <c r="AU33" s="963"/>
      <c r="AV33" s="963"/>
      <c r="AW33" s="963"/>
      <c r="AX33" s="963"/>
      <c r="AY33" s="963"/>
      <c r="AZ33" s="963"/>
      <c r="BA33" s="963"/>
      <c r="BB33" s="963"/>
      <c r="BC33" s="963"/>
      <c r="BD33" s="963"/>
      <c r="BE33" s="963"/>
      <c r="BF33" s="963"/>
      <c r="BG33" s="963"/>
      <c r="BH33" s="963"/>
      <c r="BI33" s="963"/>
      <c r="BJ33" s="963"/>
      <c r="BK33" s="963"/>
      <c r="BL33" s="1001"/>
      <c r="BM33" s="963"/>
      <c r="BN33" s="963"/>
      <c r="BO33" s="963"/>
      <c r="BP33" s="963"/>
      <c r="BQ33" s="963"/>
      <c r="BR33" s="963"/>
      <c r="BS33" s="963"/>
      <c r="BT33" s="963"/>
      <c r="BU33" s="963"/>
      <c r="BV33" s="963"/>
      <c r="BW33" s="963"/>
      <c r="BX33" s="963"/>
      <c r="BY33" s="963"/>
      <c r="BZ33" s="963"/>
      <c r="CA33" s="963"/>
      <c r="CB33" s="963"/>
      <c r="CC33" s="963"/>
      <c r="CD33" s="963"/>
      <c r="CE33" s="963"/>
      <c r="CF33" s="963"/>
      <c r="CG33" s="963"/>
      <c r="CH33" s="963"/>
      <c r="CI33" s="963"/>
      <c r="CJ33" s="963"/>
      <c r="CK33" s="963"/>
      <c r="CL33" s="963"/>
      <c r="CM33" s="963"/>
      <c r="CN33" s="963"/>
      <c r="CO33" s="963"/>
      <c r="CP33" s="963"/>
      <c r="CQ33" s="963"/>
      <c r="CR33" s="963"/>
      <c r="CS33" s="963"/>
      <c r="CT33" s="963"/>
      <c r="CU33" s="963"/>
      <c r="CV33" s="963"/>
      <c r="CW33" s="963"/>
      <c r="CX33" s="963"/>
      <c r="CY33" s="963"/>
      <c r="CZ33" s="963"/>
      <c r="DA33" s="963"/>
      <c r="DB33" s="963"/>
      <c r="DC33" s="963"/>
      <c r="DD33" s="963"/>
      <c r="DE33" s="963"/>
      <c r="DF33" s="963"/>
      <c r="DG33" s="963"/>
      <c r="DH33" s="963"/>
      <c r="DI33" s="963"/>
      <c r="DJ33" s="1001"/>
      <c r="DK33" s="1002"/>
      <c r="DL33" s="1001"/>
      <c r="DM33" s="963"/>
      <c r="DN33" s="962"/>
      <c r="DO33" s="1001"/>
      <c r="DP33" s="963"/>
      <c r="DQ33" s="963"/>
      <c r="DR33" s="1089"/>
      <c r="DS33" s="963"/>
      <c r="DT33" s="963"/>
      <c r="DU33" s="963"/>
      <c r="DV33" s="963"/>
      <c r="DW33" s="963"/>
      <c r="DX33" s="963"/>
      <c r="DY33" s="1002"/>
      <c r="DZ33" s="1002"/>
      <c r="EA33" s="963"/>
      <c r="EH33" s="1012"/>
      <c r="EI33" s="1012"/>
      <c r="EJ33" s="1012"/>
    </row>
    <row r="34" spans="2:140" ht="12.75">
      <c r="B34" s="988" t="s">
        <v>3</v>
      </c>
      <c r="C34" s="963"/>
      <c r="D34" s="963"/>
      <c r="E34" s="963"/>
      <c r="F34" s="963"/>
      <c r="G34" s="963"/>
      <c r="H34" s="963"/>
      <c r="I34" s="963"/>
      <c r="J34" s="963"/>
      <c r="K34" s="963"/>
      <c r="L34" s="963"/>
      <c r="M34" s="963"/>
      <c r="N34" s="963"/>
      <c r="O34" s="963"/>
      <c r="P34" s="963"/>
      <c r="Q34" s="963"/>
      <c r="R34" s="963"/>
      <c r="S34" s="963"/>
      <c r="T34" s="963"/>
      <c r="U34" s="963"/>
      <c r="V34" s="963"/>
      <c r="W34" s="963"/>
      <c r="X34" s="963"/>
      <c r="Y34" s="963"/>
      <c r="Z34" s="963"/>
      <c r="AA34" s="963"/>
      <c r="AB34" s="963"/>
      <c r="AC34" s="963"/>
      <c r="AD34" s="963"/>
      <c r="AE34" s="963"/>
      <c r="AF34" s="963"/>
      <c r="AG34" s="963"/>
      <c r="AH34" s="963"/>
      <c r="AI34" s="963"/>
      <c r="AJ34" s="963"/>
      <c r="AK34" s="963"/>
      <c r="AL34" s="963"/>
      <c r="AM34" s="963"/>
      <c r="AN34" s="963"/>
      <c r="AO34" s="963"/>
      <c r="AP34" s="963"/>
      <c r="AQ34" s="963"/>
      <c r="AR34" s="963"/>
      <c r="AS34" s="963"/>
      <c r="AT34" s="963"/>
      <c r="AU34" s="963"/>
      <c r="AV34" s="963"/>
      <c r="AW34" s="963"/>
      <c r="AX34" s="963"/>
      <c r="AY34" s="963"/>
      <c r="AZ34" s="963"/>
      <c r="BA34" s="963"/>
      <c r="BB34" s="963"/>
      <c r="BC34" s="963"/>
      <c r="BD34" s="963"/>
      <c r="BE34" s="963"/>
      <c r="BF34" s="963"/>
      <c r="BG34" s="963"/>
      <c r="BH34" s="963"/>
      <c r="BI34" s="963"/>
      <c r="BJ34" s="963"/>
      <c r="BK34" s="963"/>
      <c r="BL34" s="1001"/>
      <c r="BM34" s="963"/>
      <c r="BN34" s="963"/>
      <c r="BO34" s="963"/>
      <c r="BP34" s="963"/>
      <c r="BQ34" s="963"/>
      <c r="BR34" s="963"/>
      <c r="BS34" s="963"/>
      <c r="BT34" s="963"/>
      <c r="BU34" s="963"/>
      <c r="BV34" s="963"/>
      <c r="BW34" s="963"/>
      <c r="BX34" s="963"/>
      <c r="BY34" s="963"/>
      <c r="BZ34" s="963"/>
      <c r="CA34" s="963"/>
      <c r="CB34" s="963"/>
      <c r="CC34" s="963"/>
      <c r="CD34" s="963"/>
      <c r="CE34" s="963"/>
      <c r="CF34" s="963"/>
      <c r="CG34" s="963"/>
      <c r="CH34" s="963"/>
      <c r="CI34" s="963"/>
      <c r="CJ34" s="963"/>
      <c r="CK34" s="963"/>
      <c r="CL34" s="963"/>
      <c r="CM34" s="963"/>
      <c r="CN34" s="963"/>
      <c r="CO34" s="963"/>
      <c r="CP34" s="963"/>
      <c r="CQ34" s="963"/>
      <c r="CR34" s="963"/>
      <c r="CS34" s="963"/>
      <c r="CT34" s="963"/>
      <c r="CU34" s="963"/>
      <c r="CV34" s="963"/>
      <c r="CW34" s="963"/>
      <c r="CX34" s="963"/>
      <c r="CY34" s="963"/>
      <c r="CZ34" s="963"/>
      <c r="DA34" s="963"/>
      <c r="DB34" s="963"/>
      <c r="DC34" s="963"/>
      <c r="DD34" s="963"/>
      <c r="DE34" s="963"/>
      <c r="DF34" s="963"/>
      <c r="DG34" s="963"/>
      <c r="DH34" s="963"/>
      <c r="DI34" s="963"/>
      <c r="DJ34" s="1001"/>
      <c r="DK34" s="1002"/>
      <c r="DL34" s="1001"/>
      <c r="DM34" s="963"/>
      <c r="DN34" s="962"/>
      <c r="DO34" s="1001"/>
      <c r="DP34" s="963"/>
      <c r="DQ34" s="963"/>
      <c r="DR34" s="1001"/>
      <c r="DS34" s="963"/>
      <c r="DT34" s="963"/>
      <c r="DU34" s="963"/>
      <c r="DV34" s="963"/>
      <c r="DW34" s="963"/>
      <c r="DX34" s="963"/>
      <c r="DY34" s="1002"/>
      <c r="DZ34" s="1002"/>
      <c r="EA34" s="963"/>
      <c r="EH34" s="1012"/>
      <c r="EI34" s="1012"/>
      <c r="EJ34" s="1012"/>
    </row>
    <row r="35" spans="2:140" s="1158" customFormat="1" ht="12.75">
      <c r="B35" s="2127" t="s">
        <v>4</v>
      </c>
      <c r="C35" s="2160"/>
      <c r="D35" s="2160">
        <f>D12/D8</f>
        <v>0.4059516932133917</v>
      </c>
      <c r="E35" s="2160">
        <f>E12/E8</f>
        <v>0.40647433671926625</v>
      </c>
      <c r="F35" s="2160">
        <f>F12/F8</f>
        <v>0.43038622677856964</v>
      </c>
      <c r="G35" s="2160">
        <f>G12/G8</f>
        <v>0.45212577734956644</v>
      </c>
      <c r="H35" s="2160"/>
      <c r="I35" s="2160">
        <f>I12/I8</f>
        <v>0.39357524480474609</v>
      </c>
      <c r="J35" s="2160">
        <f>J12/J8</f>
        <v>0.30429185986974644</v>
      </c>
      <c r="K35" s="2160">
        <f>K12/K8</f>
        <v>0.42465704979718288</v>
      </c>
      <c r="L35" s="2160">
        <f>L12/L8</f>
        <v>0.43069472829652561</v>
      </c>
      <c r="M35" s="2160"/>
      <c r="N35" s="2160">
        <f>N12/N8</f>
        <v>0.40497241083212748</v>
      </c>
      <c r="O35" s="2160">
        <f>O12/O8</f>
        <v>0.36932953021970505</v>
      </c>
      <c r="P35" s="2160">
        <f>P12/P8</f>
        <v>0.41120665238588894</v>
      </c>
      <c r="Q35" s="2160">
        <f>Q12/Q8</f>
        <v>0.40484600473831578</v>
      </c>
      <c r="R35" s="2160"/>
      <c r="S35" s="2160">
        <f>S12/S8</f>
        <v>0.39590417894657293</v>
      </c>
      <c r="T35" s="2160">
        <f>T12/T8</f>
        <v>0.3437687969924812</v>
      </c>
      <c r="U35" s="2160">
        <f>U12/U8</f>
        <v>0.39074057261264539</v>
      </c>
      <c r="V35" s="2160">
        <f>V12/V8</f>
        <v>0.35889851369330728</v>
      </c>
      <c r="W35" s="2160"/>
      <c r="X35" s="2160">
        <f>X12/X8</f>
        <v>0.36314920269446099</v>
      </c>
      <c r="Y35" s="2160">
        <f>Y12/Y8</f>
        <v>0.32988384684992061</v>
      </c>
      <c r="Z35" s="2160">
        <f>Z12/Z8</f>
        <v>0.3806019261637239</v>
      </c>
      <c r="AA35" s="2160">
        <f>AA12/AA8</f>
        <v>0.3888866239960862</v>
      </c>
      <c r="AB35" s="2160"/>
      <c r="AC35" s="2160">
        <f>AC12/AC8</f>
        <v>0.44763868404418627</v>
      </c>
      <c r="AD35" s="2160">
        <f>AD12/AD8</f>
        <v>0.41186943920364588</v>
      </c>
      <c r="AE35" s="2160">
        <f>AE12/AE8</f>
        <v>0.48762575977146905</v>
      </c>
      <c r="AF35" s="2160">
        <f>AF12/AF8</f>
        <v>0.4931233902650351</v>
      </c>
      <c r="AG35" s="2160"/>
      <c r="AH35" s="2160">
        <f>AH12/AH8</f>
        <v>0.48668388549696912</v>
      </c>
      <c r="AI35" s="2160">
        <f>AI12/AI8</f>
        <v>0.44193475850411357</v>
      </c>
      <c r="AJ35" s="2160">
        <f>AJ12/AJ8</f>
        <v>0.46398827312861834</v>
      </c>
      <c r="AK35" s="2160">
        <f>AK12/AK8</f>
        <v>0.46348706879737872</v>
      </c>
      <c r="AL35" s="2160"/>
      <c r="AM35" s="2160">
        <f>AM12/AM8</f>
        <v>0.48689771604891002</v>
      </c>
      <c r="AN35" s="2160">
        <f>AN12/AN8</f>
        <v>0.4569967094231363</v>
      </c>
      <c r="AO35" s="2160">
        <f>AO12/AO8</f>
        <v>0.49451234399459992</v>
      </c>
      <c r="AP35" s="2160">
        <f>AP12/AP8</f>
        <v>0.47923954528876633</v>
      </c>
      <c r="AQ35" s="2160"/>
      <c r="AR35" s="2160">
        <f>AR12/AR8</f>
        <v>0.48737071063022336</v>
      </c>
      <c r="AS35" s="2160">
        <f>AS12/AS8</f>
        <v>0.45001699400872308</v>
      </c>
      <c r="AT35" s="2160">
        <f>AT12/AT8</f>
        <v>0.4740685317747631</v>
      </c>
      <c r="AU35" s="2160">
        <f>AU12/AU8</f>
        <v>0.45741866845623014</v>
      </c>
      <c r="AV35" s="2160"/>
      <c r="AW35" s="2160">
        <f>AW12/AW8</f>
        <v>0.41178537627556999</v>
      </c>
      <c r="AX35" s="2160">
        <f>AX12/AX8</f>
        <v>0.42011860949601859</v>
      </c>
      <c r="AY35" s="2160">
        <f>AY12/AY8</f>
        <v>0.41034115082038514</v>
      </c>
      <c r="AZ35" s="2160">
        <f>AZ12/AZ8</f>
        <v>0.34407919506510337</v>
      </c>
      <c r="BA35" s="2160"/>
      <c r="BB35" s="2160">
        <f>BB12/BB8</f>
        <v>0.37163171724457728</v>
      </c>
      <c r="BC35" s="2160">
        <f>BC12/BC8</f>
        <v>0.39254604992594289</v>
      </c>
      <c r="BD35" s="2160">
        <f>BD12/BD8</f>
        <v>0.41327507333450175</v>
      </c>
      <c r="BE35" s="2160">
        <f>BE12/BE8</f>
        <v>0.40987841356963567</v>
      </c>
      <c r="BF35" s="2160"/>
      <c r="BG35" s="2160">
        <f>BG12/BG8</f>
        <v>0.40166635664682537</v>
      </c>
      <c r="BH35" s="2160">
        <f>BH12/BH8</f>
        <v>0.37196662458515806</v>
      </c>
      <c r="BI35" s="2160">
        <f>BI12/BI8</f>
        <v>0.42346838083960642</v>
      </c>
      <c r="BJ35" s="2160">
        <f>BJ12/BJ8</f>
        <v>0.40404154496439382</v>
      </c>
      <c r="BK35" s="2160"/>
      <c r="BL35" s="2161">
        <f>BL12/BL8</f>
        <v>0.3877055269249392</v>
      </c>
      <c r="BM35" s="2160">
        <f>BM12/BM8</f>
        <v>0.35296807747489239</v>
      </c>
      <c r="BN35" s="2160">
        <f>BN12/BN8</f>
        <v>0.38106878166115254</v>
      </c>
      <c r="BO35" s="2160">
        <f>BO12/BO8</f>
        <v>0.35232127820528536</v>
      </c>
      <c r="BP35" s="2160"/>
      <c r="BQ35" s="2160">
        <f>BQ12/BQ8</f>
        <v>0.38791440605620198</v>
      </c>
      <c r="BR35" s="2160">
        <f>BR12/BR8</f>
        <v>0.3738968202465931</v>
      </c>
      <c r="BS35" s="2160">
        <f>BS12/BS8</f>
        <v>0.41641127712346798</v>
      </c>
      <c r="BT35" s="2160">
        <f>BT12/BT8</f>
        <v>0.4123779265621238</v>
      </c>
      <c r="BU35" s="2160"/>
      <c r="BV35" s="2160">
        <f>BV12/BV8</f>
        <v>0.39152760137576403</v>
      </c>
      <c r="BW35" s="2160">
        <f>BW12/BW8</f>
        <v>0.33753693389228573</v>
      </c>
      <c r="BX35" s="2160">
        <f>BX12/BX8</f>
        <v>0.34862155242300003</v>
      </c>
      <c r="BY35" s="2160">
        <f>BY12/BY8</f>
        <v>0.31891789149924116</v>
      </c>
      <c r="BZ35" s="2160"/>
      <c r="CA35" s="2160">
        <f>CA12/CA8</f>
        <v>0.3495354642803527</v>
      </c>
      <c r="CB35" s="2160">
        <f>CB12/CB8</f>
        <v>0.3342930924084746</v>
      </c>
      <c r="CC35" s="2160">
        <f>CC12/CC8</f>
        <v>0.36927975277715996</v>
      </c>
      <c r="CD35" s="2160">
        <f>CD12/CD8</f>
        <v>0.35061710887593733</v>
      </c>
      <c r="CE35" s="2160"/>
      <c r="CF35" s="2160">
        <f>CF12/CF8</f>
        <v>0.37484560841720038</v>
      </c>
      <c r="CG35" s="2160">
        <f>CG12/CG8</f>
        <v>0.35744794514363676</v>
      </c>
      <c r="CH35" s="2160">
        <f>CH12/CH8</f>
        <v>0.39989467636920722</v>
      </c>
      <c r="CI35" s="2160">
        <f>CI12/CI8</f>
        <v>0.35082399794543095</v>
      </c>
      <c r="CJ35" s="2160"/>
      <c r="CK35" s="2160">
        <f>CK12/CK8</f>
        <v>0.39157423914087774</v>
      </c>
      <c r="CL35" s="2160">
        <f>CL12/CL8</f>
        <v>0.37332511542753777</v>
      </c>
      <c r="CM35" s="2160">
        <f>CM12/CM8</f>
        <v>0.40167168292032079</v>
      </c>
      <c r="CN35" s="2160">
        <f>CN12/CN8</f>
        <v>0.35407009913911741</v>
      </c>
      <c r="CO35" s="2160"/>
      <c r="CP35" s="2160">
        <f>CP12/CP8</f>
        <v>0.36467428685438863</v>
      </c>
      <c r="CQ35" s="2160">
        <f>CQ12/CQ8</f>
        <v>0.34850104847866981</v>
      </c>
      <c r="CR35" s="2160">
        <f>CR12/CR8</f>
        <v>0.39035830713855107</v>
      </c>
      <c r="CS35" s="2160">
        <f>CS12/CS8</f>
        <v>0.34598522205574406</v>
      </c>
      <c r="CT35" s="2160"/>
      <c r="CU35" s="2160">
        <f>CU12/CU8</f>
        <v>0.37</v>
      </c>
      <c r="CV35" s="2160">
        <f>CV12/CV8</f>
        <v>0.35899999999999999</v>
      </c>
      <c r="CW35" s="2160">
        <f>CW12/CW8</f>
        <v>0.38500000000000001</v>
      </c>
      <c r="CX35" s="2160">
        <f>CX12/CX8</f>
        <v>0.34099999999999991</v>
      </c>
      <c r="CY35" s="2160"/>
      <c r="CZ35" s="2162">
        <f>CZ12/CZ8</f>
        <v>0.30255756669648648</v>
      </c>
      <c r="DA35" s="2162">
        <f>DA12/DA8</f>
        <v>0.33759578815566665</v>
      </c>
      <c r="DB35" s="2162">
        <f t="shared" ref="DB35:DG35" si="22">DB12/DB8</f>
        <v>0.39909972770592245</v>
      </c>
      <c r="DC35" s="2162">
        <f t="shared" si="22"/>
        <v>0.42844163710305444</v>
      </c>
      <c r="DD35" s="2162">
        <f t="shared" si="22"/>
        <v>0.39893385960564326</v>
      </c>
      <c r="DE35" s="2162">
        <f t="shared" si="22"/>
        <v>0.39898563961341188</v>
      </c>
      <c r="DF35" s="2162">
        <f t="shared" si="22"/>
        <v>0.37077629565434911</v>
      </c>
      <c r="DG35" s="2162">
        <f t="shared" si="22"/>
        <v>0.38280842893727063</v>
      </c>
      <c r="DH35" s="2162">
        <f t="shared" ref="DH35:DM35" si="23">DH12/DH8</f>
        <v>0.46632413355510316</v>
      </c>
      <c r="DI35" s="2162">
        <f t="shared" si="23"/>
        <v>0.46415445214004364</v>
      </c>
      <c r="DJ35" s="2163">
        <f t="shared" si="23"/>
        <v>0.47968246595255021</v>
      </c>
      <c r="DK35" s="2164">
        <f t="shared" si="23"/>
        <v>0.46577507045678507</v>
      </c>
      <c r="DL35" s="2163">
        <f t="shared" si="23"/>
        <v>0.39282456958592321</v>
      </c>
      <c r="DM35" s="2162">
        <f t="shared" si="23"/>
        <v>0.39908933502342808</v>
      </c>
      <c r="DN35" s="2165"/>
      <c r="DO35" s="2163">
        <f t="shared" ref="DO35:DT35" si="24">DO12/DO8</f>
        <v>0.40136930303052937</v>
      </c>
      <c r="DP35" s="2162">
        <f t="shared" si="24"/>
        <v>0.36684940858603909</v>
      </c>
      <c r="DQ35" s="2162">
        <f t="shared" si="24"/>
        <v>0.40025726436661246</v>
      </c>
      <c r="DR35" s="2163">
        <f t="shared" si="24"/>
        <v>0.34564169299915715</v>
      </c>
      <c r="DS35" s="2162">
        <f t="shared" si="24"/>
        <v>0.35172731639752691</v>
      </c>
      <c r="DT35" s="2162">
        <f t="shared" si="24"/>
        <v>0.36990068850217273</v>
      </c>
      <c r="DU35" s="2162">
        <f t="shared" ref="DU35:DZ35" si="25">DU12/DU8</f>
        <v>0.37864712392291683</v>
      </c>
      <c r="DV35" s="2162">
        <f t="shared" si="25"/>
        <v>0.36152451200076713</v>
      </c>
      <c r="DW35" s="2162">
        <f t="shared" si="25"/>
        <v>0.36234565097907995</v>
      </c>
      <c r="DX35" s="2162">
        <f t="shared" si="25"/>
        <v>0.36099999999999993</v>
      </c>
      <c r="DY35" s="2164">
        <f t="shared" si="25"/>
        <v>0.35899999999999999</v>
      </c>
      <c r="DZ35" s="2164">
        <f t="shared" si="25"/>
        <v>0.35800000000000004</v>
      </c>
      <c r="EA35" s="2162"/>
      <c r="EB35"/>
      <c r="EC35"/>
      <c r="ED35"/>
      <c r="EE35"/>
      <c r="EF35"/>
      <c r="EG35"/>
      <c r="EH35" s="1164"/>
      <c r="EI35" s="1164"/>
      <c r="EJ35" s="1164"/>
    </row>
    <row r="36" spans="2:140" ht="12.75">
      <c r="B36" s="1033" t="s">
        <v>123</v>
      </c>
      <c r="C36" s="1042"/>
      <c r="D36" s="1042"/>
      <c r="E36" s="1042"/>
      <c r="F36" s="1042"/>
      <c r="G36" s="1042"/>
      <c r="H36" s="1042"/>
      <c r="I36" s="1042"/>
      <c r="J36" s="1042"/>
      <c r="K36" s="1042"/>
      <c r="L36" s="1042"/>
      <c r="M36" s="1042"/>
      <c r="N36" s="1042"/>
      <c r="O36" s="1042"/>
      <c r="P36" s="1042"/>
      <c r="Q36" s="1042"/>
      <c r="R36" s="1042"/>
      <c r="S36" s="1042"/>
      <c r="T36" s="1042"/>
      <c r="U36" s="1042"/>
      <c r="V36" s="1042"/>
      <c r="W36" s="1042"/>
      <c r="X36" s="1042"/>
      <c r="Y36" s="1042"/>
      <c r="Z36" s="1042"/>
      <c r="AA36" s="1042"/>
      <c r="AB36" s="1042"/>
      <c r="AC36" s="1042"/>
      <c r="AD36" s="1042"/>
      <c r="AE36" s="1042"/>
      <c r="AF36" s="1042"/>
      <c r="AG36" s="1042"/>
      <c r="AH36" s="1042"/>
      <c r="AI36" s="1042"/>
      <c r="AJ36" s="1042"/>
      <c r="AK36" s="1042"/>
      <c r="AL36" s="1042"/>
      <c r="AM36" s="1042"/>
      <c r="AN36" s="1042"/>
      <c r="AO36" s="1042"/>
      <c r="AP36" s="1042"/>
      <c r="AQ36" s="1042"/>
      <c r="AR36" s="1042"/>
      <c r="AS36" s="1042"/>
      <c r="AT36" s="1042"/>
      <c r="AU36" s="1042"/>
      <c r="AV36" s="1042"/>
      <c r="AW36" s="1042"/>
      <c r="AX36" s="1042"/>
      <c r="AY36" s="1042"/>
      <c r="AZ36" s="1042"/>
      <c r="BA36" s="1042"/>
      <c r="BB36" s="1042"/>
      <c r="BC36" s="1042"/>
      <c r="BD36" s="1042"/>
      <c r="BE36" s="1042"/>
      <c r="BF36" s="1042"/>
      <c r="BG36" s="1042"/>
      <c r="BH36" s="1042"/>
      <c r="BI36" s="1042"/>
      <c r="BJ36" s="1042"/>
      <c r="BK36" s="1042"/>
      <c r="BL36" s="1042">
        <f t="shared" ref="BL36:BT36" si="26">(BL13)/BL8</f>
        <v>0.25743014240139017</v>
      </c>
      <c r="BM36" s="1042">
        <f t="shared" si="26"/>
        <v>0.2437724175035868</v>
      </c>
      <c r="BN36" s="1042">
        <f t="shared" si="26"/>
        <v>0.22660812111996428</v>
      </c>
      <c r="BO36" s="1042">
        <f t="shared" si="26"/>
        <v>0.20276787606884977</v>
      </c>
      <c r="BP36" s="1042" t="e">
        <f t="shared" si="26"/>
        <v>#DIV/0!</v>
      </c>
      <c r="BQ36" s="1042">
        <f t="shared" si="26"/>
        <v>0.25192642815315469</v>
      </c>
      <c r="BR36" s="1042">
        <f t="shared" si="26"/>
        <v>0.24031743456629898</v>
      </c>
      <c r="BS36" s="1042">
        <f t="shared" si="26"/>
        <v>0.24070107450344583</v>
      </c>
      <c r="BT36" s="1042">
        <f t="shared" si="26"/>
        <v>0.22660518346040875</v>
      </c>
      <c r="BU36" s="1042"/>
      <c r="BV36" s="1042">
        <f>(BV13)/BV8</f>
        <v>0.26600017366297907</v>
      </c>
      <c r="BW36" s="1042">
        <f t="shared" ref="BW36:DW36" si="27">(BW13)/BW8</f>
        <v>0.25619781304610262</v>
      </c>
      <c r="BX36" s="1042">
        <f t="shared" si="27"/>
        <v>0.23996710622240627</v>
      </c>
      <c r="BY36" s="1042">
        <f t="shared" si="27"/>
        <v>0.20722045642392725</v>
      </c>
      <c r="BZ36" s="1042"/>
      <c r="CA36" s="1042">
        <f t="shared" si="27"/>
        <v>0.28641029887220659</v>
      </c>
      <c r="CB36" s="1042">
        <f t="shared" si="27"/>
        <v>0.26749132769017514</v>
      </c>
      <c r="CC36" s="1042">
        <f t="shared" si="27"/>
        <v>0.23954511933886619</v>
      </c>
      <c r="CD36" s="1042">
        <f t="shared" si="27"/>
        <v>0.21152247556334683</v>
      </c>
      <c r="CE36" s="1042"/>
      <c r="CF36" s="1042">
        <f>(CF13)/CF8</f>
        <v>0.26459715233302838</v>
      </c>
      <c r="CG36" s="1042">
        <f>(CG13)/CG8</f>
        <v>0.24552812291517229</v>
      </c>
      <c r="CH36" s="1042">
        <f>(CH13)/CH8</f>
        <v>0.24024015528707218</v>
      </c>
      <c r="CI36" s="1042">
        <f>(CI13)/CI8</f>
        <v>0.21071993112852994</v>
      </c>
      <c r="CJ36" s="1042"/>
      <c r="CK36" s="1042">
        <f>(CK13)/CK8</f>
        <v>0.26152764285790531</v>
      </c>
      <c r="CL36" s="1042">
        <f>(CL13)/CL8</f>
        <v>0.24256923828766072</v>
      </c>
      <c r="CM36" s="1042">
        <f>(CM13)/CM8</f>
        <v>0.23379746525920972</v>
      </c>
      <c r="CN36" s="1042">
        <f>(CN13)/CN8</f>
        <v>0.22060595345073025</v>
      </c>
      <c r="CO36" s="1042"/>
      <c r="CP36" s="1042">
        <f>(CP13)/CP8</f>
        <v>0.25593303545644996</v>
      </c>
      <c r="CQ36" s="1042">
        <f>(CQ13)/CQ8</f>
        <v>0.24121166481362419</v>
      </c>
      <c r="CR36" s="1042">
        <f>(CR13)/CR8</f>
        <v>0.22609177318980084</v>
      </c>
      <c r="CS36" s="1042">
        <f>(CS13)/CS8</f>
        <v>0.21472943861228286</v>
      </c>
      <c r="CT36" s="1042"/>
      <c r="CU36" s="1042">
        <f>(CU13)/CU8</f>
        <v>0.251</v>
      </c>
      <c r="CV36" s="1042">
        <f>(CV13)/CV8</f>
        <v>0.23100000000000001</v>
      </c>
      <c r="CW36" s="1042">
        <f>(CW13)/CW8</f>
        <v>0.23499999999999999</v>
      </c>
      <c r="CX36" s="1042">
        <f>(CX13)/CX8</f>
        <v>0.21999999999999997</v>
      </c>
      <c r="CY36" s="1042"/>
      <c r="CZ36" s="1040">
        <f t="shared" si="27"/>
        <v>0.25676768667050648</v>
      </c>
      <c r="DA36" s="1040">
        <f t="shared" si="27"/>
        <v>0.24285393862163648</v>
      </c>
      <c r="DB36" s="1040">
        <f t="shared" si="27"/>
        <v>0.23629509870660315</v>
      </c>
      <c r="DC36" s="1040">
        <f t="shared" si="27"/>
        <v>0.23409934335131183</v>
      </c>
      <c r="DD36" s="1040">
        <f t="shared" si="27"/>
        <v>0.24369419750026758</v>
      </c>
      <c r="DE36" s="1040">
        <f t="shared" si="27"/>
        <v>0.24711731694534361</v>
      </c>
      <c r="DF36" s="1040">
        <f t="shared" si="27"/>
        <v>0.23972535797985292</v>
      </c>
      <c r="DG36" s="1040">
        <f t="shared" si="27"/>
        <v>0.24819009694615438</v>
      </c>
      <c r="DH36" s="1040">
        <f t="shared" si="27"/>
        <v>0.23855090395190212</v>
      </c>
      <c r="DI36" s="1040">
        <f t="shared" si="27"/>
        <v>0.23270492798762427</v>
      </c>
      <c r="DJ36" s="1040">
        <f t="shared" si="27"/>
        <v>0.23819240490565274</v>
      </c>
      <c r="DK36" s="1046">
        <f t="shared" si="27"/>
        <v>0.23406936986383867</v>
      </c>
      <c r="DL36" s="1041">
        <f t="shared" si="27"/>
        <v>0.24559180639078498</v>
      </c>
      <c r="DM36" s="1040">
        <f t="shared" si="27"/>
        <v>0.2466706277554877</v>
      </c>
      <c r="DN36" s="1046"/>
      <c r="DO36" s="1041">
        <f t="shared" si="27"/>
        <v>0.23866004548272601</v>
      </c>
      <c r="DP36" s="1040">
        <f t="shared" si="27"/>
        <v>0.22838851113678721</v>
      </c>
      <c r="DQ36" s="1040">
        <f t="shared" si="27"/>
        <v>0.23837807792273555</v>
      </c>
      <c r="DR36" s="1041">
        <f t="shared" si="27"/>
        <v>0.23856994460043282</v>
      </c>
      <c r="DS36" s="1040">
        <f t="shared" si="27"/>
        <v>0.24566880108149367</v>
      </c>
      <c r="DT36" s="1040">
        <f t="shared" si="27"/>
        <v>0.23700625353507593</v>
      </c>
      <c r="DU36" s="1042">
        <f t="shared" si="27"/>
        <v>0.23754350924480555</v>
      </c>
      <c r="DV36" s="1042">
        <f t="shared" si="27"/>
        <v>0.23176752559379418</v>
      </c>
      <c r="DW36" s="1042">
        <f t="shared" si="27"/>
        <v>0.23286635820885734</v>
      </c>
      <c r="DX36" s="1042">
        <f>(DX13)/DX8</f>
        <v>0.2334</v>
      </c>
      <c r="DY36" s="1046">
        <f>(DY13)/DY8</f>
        <v>0.23480000000000001</v>
      </c>
      <c r="DZ36" s="1046">
        <f>(DZ13)/DZ8</f>
        <v>0.2364</v>
      </c>
      <c r="EA36" s="1042"/>
      <c r="EH36" s="1042"/>
      <c r="EI36" s="1042"/>
      <c r="EJ36" s="1042"/>
    </row>
    <row r="37" spans="2:140" ht="12.75">
      <c r="B37" s="1033" t="s">
        <v>124</v>
      </c>
      <c r="C37" s="1036"/>
      <c r="D37" s="1048">
        <f>(D13+D15)/D8</f>
        <v>0.27228962064317352</v>
      </c>
      <c r="E37" s="1042">
        <f>(E13+E15)/E8</f>
        <v>0.25448253463394965</v>
      </c>
      <c r="F37" s="1042">
        <f>(F13+F15)/F8</f>
        <v>0.25551319529576588</v>
      </c>
      <c r="G37" s="1042">
        <f>(G13+G15)/G8</f>
        <v>0.22792327231321716</v>
      </c>
      <c r="H37" s="1042"/>
      <c r="I37" s="1048">
        <f>(I13+I15)/I8</f>
        <v>0.28650722756869423</v>
      </c>
      <c r="J37" s="1042">
        <f>(J13+J15)/J8</f>
        <v>0.28695980897419332</v>
      </c>
      <c r="K37" s="1042">
        <f>(K13+K15)/K8</f>
        <v>0.25941145890432765</v>
      </c>
      <c r="L37" s="1042">
        <f>(L13+L15)/L8</f>
        <v>0.24863475671057789</v>
      </c>
      <c r="M37" s="1042"/>
      <c r="N37" s="1048">
        <f>(N13+N15)/N8</f>
        <v>0.30893904940607753</v>
      </c>
      <c r="O37" s="1042">
        <f>(O13+O15)/O8</f>
        <v>0.29116733699964431</v>
      </c>
      <c r="P37" s="1042">
        <f>(P13+P15)/P8</f>
        <v>0.27501863009027688</v>
      </c>
      <c r="Q37" s="1042">
        <f>(Q13+Q15)/Q8</f>
        <v>0.25421925479216023</v>
      </c>
      <c r="R37" s="1042"/>
      <c r="S37" s="1048">
        <f>(S13+S15)/S8</f>
        <v>0.32421471573591276</v>
      </c>
      <c r="T37" s="1042">
        <f>(T13+T15)/T8</f>
        <v>0.29336152882205513</v>
      </c>
      <c r="U37" s="1042">
        <f>(U13+U15)/U8</f>
        <v>0.2745411141433507</v>
      </c>
      <c r="V37" s="1042">
        <f>(V13+V15)/V8</f>
        <v>0.23366913909763731</v>
      </c>
      <c r="W37" s="1042"/>
      <c r="X37" s="1048">
        <f>(X13+X15)/X8</f>
        <v>0.32985904104050595</v>
      </c>
      <c r="Y37" s="1042">
        <f>(Y13+Y15)/Y8</f>
        <v>0.29250122383587246</v>
      </c>
      <c r="Z37" s="1042">
        <f>(Z13+Z15)/Z8</f>
        <v>0.30258159443552701</v>
      </c>
      <c r="AA37" s="1042">
        <f>(AA13+AA15)/AA8</f>
        <v>0.24763749031758325</v>
      </c>
      <c r="AB37" s="1042"/>
      <c r="AC37" s="1048">
        <f>(AC13+AC15)/AC8</f>
        <v>0.31781597086355834</v>
      </c>
      <c r="AD37" s="1042">
        <f>(AD13+AD15)/AD8</f>
        <v>0.28284378935867799</v>
      </c>
      <c r="AE37" s="1042">
        <f>(AE13+AE15)/AE8</f>
        <v>0.2856365399251436</v>
      </c>
      <c r="AF37" s="1042">
        <f>(AF13+AF15)/AF8</f>
        <v>0.23840397374574199</v>
      </c>
      <c r="AG37" s="1042"/>
      <c r="AH37" s="1048">
        <f>(AH13+AH15)/AH8</f>
        <v>0.29616169051233687</v>
      </c>
      <c r="AI37" s="1042">
        <f>(AI13+AI15)/AI8</f>
        <v>0.27595237541386552</v>
      </c>
      <c r="AJ37" s="1042">
        <f>(AJ13+AJ15)/AJ8</f>
        <v>0.2696233035395928</v>
      </c>
      <c r="AK37" s="1042">
        <f>(AK13+AK15)/AK8</f>
        <v>0.23820718530172805</v>
      </c>
      <c r="AL37" s="1042"/>
      <c r="AM37" s="1048">
        <f>(AM13+AM15)/AM8</f>
        <v>0.29880289724134235</v>
      </c>
      <c r="AN37" s="1042">
        <f>(AN13+AN15)/AN8</f>
        <v>0.27561320613754009</v>
      </c>
      <c r="AO37" s="1042">
        <f>(AO13+AO15)/AO8</f>
        <v>0.27549296988323835</v>
      </c>
      <c r="AP37" s="1042">
        <f>(AP13+AP15)/AP8</f>
        <v>0.24626424825219728</v>
      </c>
      <c r="AQ37" s="1042"/>
      <c r="AR37" s="1048">
        <f>(AR13+AR15)/AR8</f>
        <v>0.29796729513738068</v>
      </c>
      <c r="AS37" s="1042">
        <f>(AS13+AS15)/AS8</f>
        <v>0.27554611917990757</v>
      </c>
      <c r="AT37" s="1042">
        <f>(AT13+AT15)/AT8</f>
        <v>0.27138142208335625</v>
      </c>
      <c r="AU37" s="1042">
        <f>(AU13+AU15)/AU8</f>
        <v>0.24726014942721578</v>
      </c>
      <c r="AV37" s="1042"/>
      <c r="AW37" s="1048">
        <f>(AW13+AW15)/AW8</f>
        <v>0.31108445702184284</v>
      </c>
      <c r="AX37" s="1042">
        <f>(AX13+AX15)/AX8</f>
        <v>0.29029129737302467</v>
      </c>
      <c r="AY37" s="1042">
        <f>(AY13+AY15)/AY8</f>
        <v>0.28451028863343397</v>
      </c>
      <c r="AZ37" s="1042">
        <f>(AZ13+AZ15)/AZ8</f>
        <v>0.27777452680926518</v>
      </c>
      <c r="BA37" s="1042"/>
      <c r="BB37" s="1048">
        <f>(BB13+BB15)/BB8</f>
        <v>0.30710063007018695</v>
      </c>
      <c r="BC37" s="1042">
        <f>(BC13+BC15)/BC8</f>
        <v>0.30038590100773349</v>
      </c>
      <c r="BD37" s="1042">
        <f>(BD13+BD15)/BD8</f>
        <v>0.29836646463164274</v>
      </c>
      <c r="BE37" s="1042">
        <f>(BE13+BE15)/BE8</f>
        <v>0.27660311305623364</v>
      </c>
      <c r="BF37" s="1042"/>
      <c r="BG37" s="1048">
        <f>(BG13+BG15)/BG8</f>
        <v>0.31392764136904766</v>
      </c>
      <c r="BH37" s="1042">
        <f>(BH13+BH15)/BH8</f>
        <v>0.30781467488566311</v>
      </c>
      <c r="BI37" s="1042">
        <f>(BI13+BI15)/BI8</f>
        <v>0.29143490828342394</v>
      </c>
      <c r="BJ37" s="1042">
        <f>(BJ13+BJ15)/BJ8</f>
        <v>0.24632135577067321</v>
      </c>
      <c r="BK37" s="1042"/>
      <c r="BL37" s="1047">
        <f>(BL13+BL15)/BL8</f>
        <v>0.31452998255632714</v>
      </c>
      <c r="BM37" s="1042">
        <f>(BM13+BM15)/BM8</f>
        <v>0.29607544237207079</v>
      </c>
      <c r="BN37" s="1042">
        <f>(BN13+BN15)/BN8</f>
        <v>0.26860739133459194</v>
      </c>
      <c r="BO37" s="1042">
        <f>(BO13+BO15)/BO8</f>
        <v>0.23593454954192844</v>
      </c>
      <c r="BP37" s="1042"/>
      <c r="BQ37" s="1048">
        <f>(BQ13+BQ15)/BQ8</f>
        <v>0.29717297285856392</v>
      </c>
      <c r="BR37" s="1042">
        <f>(BR13+BR15)/BR8</f>
        <v>0.28348880597014925</v>
      </c>
      <c r="BS37" s="1042">
        <f>(BS13+BS15)/BS8</f>
        <v>0.27521546089848786</v>
      </c>
      <c r="BT37" s="1042">
        <f>(BT13+BT15)/BT8</f>
        <v>0.25356540826621471</v>
      </c>
      <c r="BU37" s="1042"/>
      <c r="BV37" s="1042">
        <f>(BV13+BV15)/BV8</f>
        <v>0.30710973292694238</v>
      </c>
      <c r="BW37" s="1042">
        <f>(BW13+BW15)/BW8</f>
        <v>0.29707979920611899</v>
      </c>
      <c r="BX37" s="1042">
        <f>(BX13+BX15)/BX8</f>
        <v>0.27729104577717384</v>
      </c>
      <c r="BY37" s="1042">
        <f>(BY13+BY15)/BY8</f>
        <v>0.23658091958679359</v>
      </c>
      <c r="BZ37" s="1042"/>
      <c r="CA37" s="1042">
        <f>(CA13+CA15)/CA8</f>
        <v>0.33649627241618929</v>
      </c>
      <c r="CB37" s="1042">
        <f>(CB13+CB15)/CB8</f>
        <v>0.31733969419993102</v>
      </c>
      <c r="CC37" s="1042">
        <f>(CC13+CC15)/CC8</f>
        <v>0.28230343326036828</v>
      </c>
      <c r="CD37" s="1042">
        <f>(CD13+CD15)/CD8</f>
        <v>0.24592924589472623</v>
      </c>
      <c r="CE37" s="1042"/>
      <c r="CF37" s="1042">
        <f>(CF13+CF15)/CF8</f>
        <v>0.31481301463860939</v>
      </c>
      <c r="CG37" s="1042">
        <f>(CG13+CG15)/CG8</f>
        <v>0.29080995400211679</v>
      </c>
      <c r="CH37" s="1042">
        <f>(CH13+CH15)/CH8</f>
        <v>0.28117601232547612</v>
      </c>
      <c r="CI37" s="1042">
        <f>(CI13+CI15)/CI8</f>
        <v>0.24625439037535676</v>
      </c>
      <c r="CJ37" s="1042"/>
      <c r="CK37" s="1042">
        <f>(CK13+CK15)/CK8</f>
        <v>0.31327860627475262</v>
      </c>
      <c r="CL37" s="1042">
        <f>(CL13+CL15)/CL8</f>
        <v>0.28985866660831466</v>
      </c>
      <c r="CM37" s="1042">
        <f>(CM13+CM15)/CM8</f>
        <v>0.27593612223570047</v>
      </c>
      <c r="CN37" s="1042">
        <f>(CN13+CN15)/CN8</f>
        <v>0.25651677016822111</v>
      </c>
      <c r="CO37" s="1042"/>
      <c r="CP37" s="1042">
        <f>(CP13+CP15)/CP8</f>
        <v>0.30902320184396642</v>
      </c>
      <c r="CQ37" s="1042">
        <f>(CQ13+CQ15)/CQ8</f>
        <v>0.28890885991117238</v>
      </c>
      <c r="CR37" s="1042">
        <f>(CR13+CR15)/CR8</f>
        <v>0.27101838441619558</v>
      </c>
      <c r="CS37" s="1042">
        <f>(CS13+CS15)/CS8</f>
        <v>0.25016704334500128</v>
      </c>
      <c r="CT37" s="1042"/>
      <c r="CU37" s="1042">
        <f>(CU13+CU15)/CU8</f>
        <v>0.30449999999999999</v>
      </c>
      <c r="CV37" s="1042">
        <f>(CV13+CV15)/CV8</f>
        <v>0.28000000000000003</v>
      </c>
      <c r="CW37" s="1042">
        <f>(CW13+CW15)/CW8</f>
        <v>0.28149999999999997</v>
      </c>
      <c r="CX37" s="1042">
        <f>(CX13+CX15)/CX8</f>
        <v>0.25899999999999995</v>
      </c>
      <c r="CY37" s="1042"/>
      <c r="CZ37" s="1043">
        <f t="shared" ref="CZ37:DG37" si="28">(CZ13+CZ15)/CZ8</f>
        <v>0.27541635519172564</v>
      </c>
      <c r="DA37" s="1043">
        <f t="shared" si="28"/>
        <v>0.2608913197260132</v>
      </c>
      <c r="DB37" s="1043">
        <f t="shared" si="28"/>
        <v>0.25094962559564327</v>
      </c>
      <c r="DC37" s="1043">
        <f t="shared" si="28"/>
        <v>0.24875977041331371</v>
      </c>
      <c r="DD37" s="1043">
        <f t="shared" si="28"/>
        <v>0.26491092176607289</v>
      </c>
      <c r="DE37" s="1043">
        <f t="shared" si="28"/>
        <v>0.27764070095539101</v>
      </c>
      <c r="DF37" s="1043">
        <f t="shared" si="28"/>
        <v>0.27435018224491009</v>
      </c>
      <c r="DG37" s="1043">
        <f t="shared" si="28"/>
        <v>0.28996486085064049</v>
      </c>
      <c r="DH37" s="1043">
        <f t="shared" ref="DH37:DT37" si="29">(DH13+DH15)/DH8</f>
        <v>0.27530009573216585</v>
      </c>
      <c r="DI37" s="1043">
        <f t="shared" si="29"/>
        <v>0.2666107369543515</v>
      </c>
      <c r="DJ37" s="1044">
        <f t="shared" si="29"/>
        <v>0.26969566731283795</v>
      </c>
      <c r="DK37" s="1045">
        <f t="shared" si="29"/>
        <v>0.2698101307872996</v>
      </c>
      <c r="DL37" s="1044">
        <f t="shared" si="29"/>
        <v>0.28949441025459155</v>
      </c>
      <c r="DM37" s="1043">
        <f t="shared" si="29"/>
        <v>0.29352348373567183</v>
      </c>
      <c r="DN37" s="1040"/>
      <c r="DO37" s="1044">
        <f t="shared" si="29"/>
        <v>0.28608315502628939</v>
      </c>
      <c r="DP37" s="1043">
        <f t="shared" si="29"/>
        <v>0.27260489765437579</v>
      </c>
      <c r="DQ37" s="1043">
        <f t="shared" si="29"/>
        <v>0.27449521002634786</v>
      </c>
      <c r="DR37" s="1044">
        <f t="shared" si="29"/>
        <v>0.27494538390381518</v>
      </c>
      <c r="DS37" s="1043">
        <f t="shared" si="29"/>
        <v>0.28867724461575806</v>
      </c>
      <c r="DT37" s="1043">
        <f t="shared" si="29"/>
        <v>0.27907337284289385</v>
      </c>
      <c r="DU37" s="1043">
        <f t="shared" ref="DU37:DZ37" si="30">(DU13+DU15)/DU8</f>
        <v>0.28095842919333547</v>
      </c>
      <c r="DV37" s="1043">
        <f t="shared" si="30"/>
        <v>0.27587735002235514</v>
      </c>
      <c r="DW37" s="1043">
        <f t="shared" si="30"/>
        <v>0.27915569959570385</v>
      </c>
      <c r="DX37" s="1043">
        <f t="shared" si="30"/>
        <v>0.27910000000000001</v>
      </c>
      <c r="DY37" s="1045">
        <f t="shared" si="30"/>
        <v>0.28180000000000005</v>
      </c>
      <c r="DZ37" s="1045">
        <f t="shared" si="30"/>
        <v>0.28439999999999999</v>
      </c>
      <c r="EA37" s="1043"/>
      <c r="EH37" s="1012"/>
      <c r="EI37" s="1012"/>
      <c r="EJ37" s="1012"/>
    </row>
    <row r="38" spans="2:140" ht="12.75">
      <c r="B38" s="1033" t="s">
        <v>6</v>
      </c>
      <c r="C38" s="1036"/>
      <c r="D38" s="1048">
        <f>(D17/D8)</f>
        <v>0.13366207257021817</v>
      </c>
      <c r="E38" s="1048">
        <f>(E17/E8)</f>
        <v>0.15199180208531657</v>
      </c>
      <c r="F38" s="1048">
        <f>(F17/F8)</f>
        <v>0.17487303148280373</v>
      </c>
      <c r="G38" s="1048">
        <f>(G17/G8)</f>
        <v>0.22420250503634931</v>
      </c>
      <c r="H38" s="1042"/>
      <c r="I38" s="1048">
        <f>(I17/I8)</f>
        <v>0.10706801723605187</v>
      </c>
      <c r="J38" s="1048">
        <f>(J17/J8)</f>
        <v>1.7332050895553123E-2</v>
      </c>
      <c r="K38" s="1048">
        <f>(K17/K8)</f>
        <v>0.16524559089285526</v>
      </c>
      <c r="L38" s="1048">
        <f>(L17/L8)</f>
        <v>0.18205997158594772</v>
      </c>
      <c r="M38" s="1042"/>
      <c r="N38" s="1048">
        <f>(N17/N8)</f>
        <v>9.6033361426049943E-2</v>
      </c>
      <c r="O38" s="1048">
        <f>(O17/O8)</f>
        <v>7.8162193220060738E-2</v>
      </c>
      <c r="P38" s="1048">
        <f>(P17/P8)</f>
        <v>0.13618802229561208</v>
      </c>
      <c r="Q38" s="1048">
        <f>(Q17/Q8)</f>
        <v>0.15062674994615557</v>
      </c>
      <c r="R38" s="1042"/>
      <c r="S38" s="1048">
        <f>(S17/S8)</f>
        <v>7.1689463210660165E-2</v>
      </c>
      <c r="T38" s="1048">
        <f>(T17/T8)</f>
        <v>5.0407268170426053E-2</v>
      </c>
      <c r="U38" s="1048">
        <f>(U17/U8)</f>
        <v>0.11619945846929466</v>
      </c>
      <c r="V38" s="1048">
        <f>(V17/V8)</f>
        <v>0.12522937459566996</v>
      </c>
      <c r="W38" s="1042"/>
      <c r="X38" s="1048">
        <f>(X17/X8)</f>
        <v>3.3290161653955021E-2</v>
      </c>
      <c r="Y38" s="1048">
        <f>(Y17/Y8)</f>
        <v>3.7382623014048148E-2</v>
      </c>
      <c r="Z38" s="1048">
        <f>(Z17/Z8)</f>
        <v>5.6618512573568772E-2</v>
      </c>
      <c r="AA38" s="1048">
        <f>(AA17/AA8)</f>
        <v>0.14124913367850297</v>
      </c>
      <c r="AB38" s="1042"/>
      <c r="AC38" s="1048">
        <f>(AC17/AC8)</f>
        <v>0.12982271318062796</v>
      </c>
      <c r="AD38" s="1048">
        <f>(AD17/AD8)</f>
        <v>0.12902564984496789</v>
      </c>
      <c r="AE38" s="1048">
        <f>(AE17/AE8)</f>
        <v>0.20198921984632542</v>
      </c>
      <c r="AF38" s="1048">
        <f>(AF17/AF8)</f>
        <v>0.25471941651929308</v>
      </c>
      <c r="AG38" s="1042"/>
      <c r="AH38" s="1048">
        <f>(AH17/AH8)</f>
        <v>0.19052219498463224</v>
      </c>
      <c r="AI38" s="1048">
        <f>(AI17/AI8)</f>
        <v>0.16598238309024801</v>
      </c>
      <c r="AJ38" s="1048">
        <f>(AJ17/AJ8)</f>
        <v>0.19436496958902558</v>
      </c>
      <c r="AK38" s="1048">
        <f>(AK17/AK8)</f>
        <v>0.22527988349565065</v>
      </c>
      <c r="AL38" s="1042"/>
      <c r="AM38" s="1048">
        <f>(AM17/AM8)</f>
        <v>0.18809481880756768</v>
      </c>
      <c r="AN38" s="1048">
        <f>(AN17/AN8)</f>
        <v>0.18138350328559621</v>
      </c>
      <c r="AO38" s="1048">
        <f>(AO17/AO8)</f>
        <v>0.21901937411136158</v>
      </c>
      <c r="AP38" s="1048">
        <f>(AP17/AP8)</f>
        <v>0.23297529703656902</v>
      </c>
      <c r="AQ38" s="1042"/>
      <c r="AR38" s="1048">
        <f>(AR17/AR8)</f>
        <v>0.18940341549284267</v>
      </c>
      <c r="AS38" s="1048">
        <f>(AS17/AS8)</f>
        <v>0.17447087482881551</v>
      </c>
      <c r="AT38" s="1048">
        <f>(AT17/AT8)</f>
        <v>0.20268710969140685</v>
      </c>
      <c r="AU38" s="1048">
        <f>(AU17/AU8)</f>
        <v>0.21015851902901439</v>
      </c>
      <c r="AV38" s="1048"/>
      <c r="AW38" s="1048">
        <f>(AW17/AW8)</f>
        <v>0.10070091925372719</v>
      </c>
      <c r="AX38" s="1048">
        <f>(AX17/AX8)</f>
        <v>0.12982731212299395</v>
      </c>
      <c r="AY38" s="1048">
        <f>(AY17/AY8)</f>
        <v>0.12583086218695119</v>
      </c>
      <c r="AZ38" s="1048">
        <f>(AZ17/AZ8)</f>
        <v>6.630466825583814E-2</v>
      </c>
      <c r="BA38" s="1048"/>
      <c r="BB38" s="1048">
        <f>(BB17/BB8)</f>
        <v>6.4531087174390336E-2</v>
      </c>
      <c r="BC38" s="1048">
        <f>(BC17/BC8)</f>
        <v>9.2160148918209422E-2</v>
      </c>
      <c r="BD38" s="1048">
        <f>(BD17/BD8)</f>
        <v>0.11490860870285899</v>
      </c>
      <c r="BE38" s="1048">
        <f>(BE17/BE8)</f>
        <v>0.13327530051340203</v>
      </c>
      <c r="BF38" s="1048"/>
      <c r="BG38" s="1048">
        <f>(BG17/BG8)</f>
        <v>8.7738715277777754E-2</v>
      </c>
      <c r="BH38" s="1048">
        <f>(BH17/BH8)</f>
        <v>6.4151949699494892E-2</v>
      </c>
      <c r="BI38" s="1048">
        <f>(BI17/BI8)</f>
        <v>0.13203347255618247</v>
      </c>
      <c r="BJ38" s="1048">
        <f>(BJ17/BJ8)</f>
        <v>0.15772018919372063</v>
      </c>
      <c r="BK38" s="1048"/>
      <c r="BL38" s="1047">
        <f>(BL17/BL8)</f>
        <v>7.3175544368612094E-2</v>
      </c>
      <c r="BM38" s="1048">
        <f>(BM17/BM8)</f>
        <v>5.6892635102821616E-2</v>
      </c>
      <c r="BN38" s="1048">
        <f>(BN17/BN8)</f>
        <v>0.11246139032656056</v>
      </c>
      <c r="BO38" s="1048">
        <f>(BO17/BO8)</f>
        <v>0.11638672866335691</v>
      </c>
      <c r="BP38" s="1048"/>
      <c r="BQ38" s="1048">
        <f>(BQ17/BQ8)</f>
        <v>9.0741433197638013E-2</v>
      </c>
      <c r="BR38" s="1048">
        <f>(BR17/BR8)</f>
        <v>9.0408014276443821E-2</v>
      </c>
      <c r="BS38" s="1048">
        <f>(BS17/BS8)</f>
        <v>0.14119581622498012</v>
      </c>
      <c r="BT38" s="1048">
        <f>(BT17/BT8)</f>
        <v>0.15881251829590909</v>
      </c>
      <c r="BU38" s="1042"/>
      <c r="BV38" s="1042">
        <f>(BV17/BV8)</f>
        <v>8.441786844882164E-2</v>
      </c>
      <c r="BW38" s="1042">
        <f>(BW17/BW8)</f>
        <v>4.045713468616674E-2</v>
      </c>
      <c r="BX38" s="1042">
        <f>(BX17/BX8)</f>
        <v>7.1330506645826172E-2</v>
      </c>
      <c r="BY38" s="1042">
        <f>(BY17/BY8)</f>
        <v>8.2336971912447585E-2</v>
      </c>
      <c r="BZ38" s="1042"/>
      <c r="CA38" s="1042">
        <f>(CA17/CA8)</f>
        <v>1.3039191864163399E-2</v>
      </c>
      <c r="CB38" s="1042">
        <f>(CB17/CB8)</f>
        <v>1.695339820854358E-2</v>
      </c>
      <c r="CC38" s="1042">
        <f>(CC17/CC8)</f>
        <v>8.6976319516791717E-2</v>
      </c>
      <c r="CD38" s="1042">
        <f>(CD17/CD8)</f>
        <v>0.10468786298121109</v>
      </c>
      <c r="CE38" s="1042"/>
      <c r="CF38" s="1042">
        <f>(CF17/CF8)</f>
        <v>6.0032593778591006E-2</v>
      </c>
      <c r="CG38" s="1042">
        <f>(CG17/CG8)</f>
        <v>6.663799114151997E-2</v>
      </c>
      <c r="CH38" s="1042">
        <f>(CH17/CH8)</f>
        <v>0.11871866404373112</v>
      </c>
      <c r="CI38" s="1042">
        <f>(CI17/CI8)</f>
        <v>0.10456960757007421</v>
      </c>
      <c r="CJ38" s="1042"/>
      <c r="CK38" s="1042">
        <f>(CK17/CK8)</f>
        <v>7.8295632866125162E-2</v>
      </c>
      <c r="CL38" s="1042">
        <f>(CL17/CL8)</f>
        <v>8.3466448819223105E-2</v>
      </c>
      <c r="CM38" s="1042">
        <f>(CM17/CM8)</f>
        <v>0.1257355606846203</v>
      </c>
      <c r="CN38" s="1042">
        <f>(CN17/CN8)</f>
        <v>9.7553328970896289E-2</v>
      </c>
      <c r="CO38" s="1042"/>
      <c r="CP38" s="1042">
        <f>(CP17/CP8)</f>
        <v>5.565108501042218E-2</v>
      </c>
      <c r="CQ38" s="1042">
        <f>(CQ17/CQ8)</f>
        <v>5.9592188567497442E-2</v>
      </c>
      <c r="CR38" s="1042">
        <f>(CR17/CR8)</f>
        <v>0.11933992272235547</v>
      </c>
      <c r="CS38" s="1042">
        <f>(CS17/CS8)</f>
        <v>9.581817871074276E-2</v>
      </c>
      <c r="CT38" s="1042"/>
      <c r="CU38" s="1042">
        <f>(CU17/CU8)</f>
        <v>6.5500000000000003E-2</v>
      </c>
      <c r="CV38" s="1042">
        <f>(CV17/CV8)</f>
        <v>7.8999999999999973E-2</v>
      </c>
      <c r="CW38" s="1042">
        <f>(CW17/CW8)</f>
        <v>0.10350000000000001</v>
      </c>
      <c r="CX38" s="1042">
        <f>(CX17/CX8)</f>
        <v>8.1999999999999948E-2</v>
      </c>
      <c r="CY38" s="1042"/>
      <c r="CZ38" s="1043">
        <f>(CZ17/CZ8)</f>
        <v>2.7141211504760877E-2</v>
      </c>
      <c r="DA38" s="1043">
        <f>(DA17/DA8)</f>
        <v>7.6704468429653463E-2</v>
      </c>
      <c r="DB38" s="1043">
        <f t="shared" ref="DB38:DG38" si="31">(DB17/DB8)</f>
        <v>0.14815010211027912</v>
      </c>
      <c r="DC38" s="1043">
        <f t="shared" si="31"/>
        <v>0.17968186668974073</v>
      </c>
      <c r="DD38" s="1043">
        <f t="shared" si="31"/>
        <v>0.13402293783957037</v>
      </c>
      <c r="DE38" s="1043">
        <f t="shared" si="31"/>
        <v>0.12134493865802087</v>
      </c>
      <c r="DF38" s="1043">
        <f t="shared" si="31"/>
        <v>9.6426113409439032E-2</v>
      </c>
      <c r="DG38" s="1043">
        <f t="shared" si="31"/>
        <v>9.2843568086630079E-2</v>
      </c>
      <c r="DH38" s="1043">
        <f t="shared" ref="DH38:DM38" si="32">(DH17/DH8)</f>
        <v>0.19102403782293731</v>
      </c>
      <c r="DI38" s="1043">
        <f t="shared" si="32"/>
        <v>0.19754371518569211</v>
      </c>
      <c r="DJ38" s="1044">
        <f t="shared" si="32"/>
        <v>0.20998679863971223</v>
      </c>
      <c r="DK38" s="1045">
        <f t="shared" si="32"/>
        <v>0.1959649396694855</v>
      </c>
      <c r="DL38" s="1044">
        <f t="shared" si="32"/>
        <v>0.10333015933133168</v>
      </c>
      <c r="DM38" s="1043">
        <f t="shared" si="32"/>
        <v>0.10556585128775628</v>
      </c>
      <c r="DN38" s="1040"/>
      <c r="DO38" s="1044">
        <f t="shared" ref="DO38:DT38" si="33">(DO17/DO8)</f>
        <v>0.11528614800423999</v>
      </c>
      <c r="DP38" s="1043">
        <f t="shared" si="33"/>
        <v>9.4244510931663306E-2</v>
      </c>
      <c r="DQ38" s="1043">
        <f t="shared" si="33"/>
        <v>0.12576205434026455</v>
      </c>
      <c r="DR38" s="1044">
        <f t="shared" si="33"/>
        <v>7.0696309095341969E-2</v>
      </c>
      <c r="DS38" s="1043">
        <f t="shared" si="33"/>
        <v>6.3050071781768816E-2</v>
      </c>
      <c r="DT38" s="1043">
        <f t="shared" si="33"/>
        <v>9.0827315659278846E-2</v>
      </c>
      <c r="DU38" s="1043">
        <f t="shared" ref="DU38:DZ38" si="34">(DU17/DU8)</f>
        <v>9.768869472958136E-2</v>
      </c>
      <c r="DV38" s="1043">
        <f t="shared" si="34"/>
        <v>8.5647161978412031E-2</v>
      </c>
      <c r="DW38" s="1043">
        <f t="shared" si="34"/>
        <v>8.3189951383376079E-2</v>
      </c>
      <c r="DX38" s="1043">
        <f t="shared" si="34"/>
        <v>8.1899999999999959E-2</v>
      </c>
      <c r="DY38" s="1045">
        <f t="shared" si="34"/>
        <v>7.7199999999999963E-2</v>
      </c>
      <c r="DZ38" s="1045">
        <f t="shared" si="34"/>
        <v>7.3600000000000013E-2</v>
      </c>
      <c r="EA38" s="1043"/>
      <c r="EH38" s="1012"/>
      <c r="EI38" s="1012"/>
      <c r="EJ38" s="1012"/>
    </row>
    <row r="39" spans="2:140" ht="12.75">
      <c r="B39" s="1033" t="s">
        <v>7</v>
      </c>
      <c r="C39" s="1036"/>
      <c r="D39" s="1048">
        <f>(D20/D8)</f>
        <v>0.13871007675167124</v>
      </c>
      <c r="E39" s="1048">
        <f>(E20/E8)</f>
        <v>0.15638754185752204</v>
      </c>
      <c r="F39" s="1048">
        <f>(F20/F8)</f>
        <v>0.1800505628825334</v>
      </c>
      <c r="G39" s="1048">
        <f>(G20/G8)</f>
        <v>0.21428045896470177</v>
      </c>
      <c r="H39" s="1042"/>
      <c r="I39" s="1048">
        <f>(I20/I8)</f>
        <v>0.11669166680711689</v>
      </c>
      <c r="J39" s="1048">
        <f>(J20/J8)</f>
        <v>2.1868435282351672E-2</v>
      </c>
      <c r="K39" s="1048">
        <f>(K20/K8)</f>
        <v>0.16943985684326671</v>
      </c>
      <c r="L39" s="1048">
        <f>(L20/L8)</f>
        <v>0.1877286222016642</v>
      </c>
      <c r="M39" s="1042"/>
      <c r="N39" s="1048">
        <f>(N20/N8)</f>
        <v>9.9885508928713451E-2</v>
      </c>
      <c r="O39" s="1048">
        <f>(O20/O8)</f>
        <v>8.1158171222194861E-2</v>
      </c>
      <c r="P39" s="1048">
        <f>(P20/P8)</f>
        <v>0.13633376322323931</v>
      </c>
      <c r="Q39" s="1048">
        <f>(Q20/Q8)</f>
        <v>0.15250915356450576</v>
      </c>
      <c r="R39" s="1042"/>
      <c r="S39" s="1048">
        <f>(S20/S8)</f>
        <v>7.4068076561842097E-2</v>
      </c>
      <c r="T39" s="1048">
        <f>(T20/T8)</f>
        <v>5.1021303258145356E-2</v>
      </c>
      <c r="U39" s="1048">
        <f>(U20/U8)</f>
        <v>0.11695781507847933</v>
      </c>
      <c r="V39" s="1048">
        <f>(V20/V8)</f>
        <v>0.12805103813619653</v>
      </c>
      <c r="W39" s="1042"/>
      <c r="X39" s="1048">
        <f>(X20/X8)</f>
        <v>3.5486435184233445E-2</v>
      </c>
      <c r="Y39" s="1048">
        <f>(Y20/Y8)</f>
        <v>3.8907596683033924E-2</v>
      </c>
      <c r="Z39" s="1048">
        <f>(Z20/Z8)</f>
        <v>5.791064740502945E-2</v>
      </c>
      <c r="AA39" s="1048">
        <f>(AA20/AA8)</f>
        <v>0.14220514493049038</v>
      </c>
      <c r="AB39" s="1042"/>
      <c r="AC39" s="1048">
        <f>(AC20/AC8)</f>
        <v>0.13265207837943602</v>
      </c>
      <c r="AD39" s="1048">
        <f>(AD20/AD8)</f>
        <v>0.13026742403933211</v>
      </c>
      <c r="AE39" s="1048">
        <f>(AE20/AE8)</f>
        <v>0.20064430705714315</v>
      </c>
      <c r="AF39" s="1048">
        <f>(AF20/AF8)</f>
        <v>0.25967918056330336</v>
      </c>
      <c r="AG39" s="1042"/>
      <c r="AH39" s="1048">
        <f>(AH20/AH8)</f>
        <v>0.19825095240285923</v>
      </c>
      <c r="AI39" s="1048">
        <f>(AI20/AI8)</f>
        <v>0.17540533624880797</v>
      </c>
      <c r="AJ39" s="1048">
        <f>(AJ20/AJ8)</f>
        <v>0.20218862555486469</v>
      </c>
      <c r="AK39" s="1048">
        <f>(AK20/AK8)</f>
        <v>0.23223373685100193</v>
      </c>
      <c r="AL39" s="1042"/>
      <c r="AM39" s="1048">
        <f>(AM20/AM8)</f>
        <v>0.20359169110384581</v>
      </c>
      <c r="AN39" s="1048">
        <f>(AN20/AN8)</f>
        <v>0.19627411069752929</v>
      </c>
      <c r="AO39" s="1048">
        <f>(AO20/AO8)</f>
        <v>0.23205991756308431</v>
      </c>
      <c r="AP39" s="1048">
        <f>(AP20/AP8)</f>
        <v>0.24954975779897573</v>
      </c>
      <c r="AQ39" s="1042"/>
      <c r="AR39" s="1048">
        <f>(AR20/AR8)</f>
        <v>0.20785746245015391</v>
      </c>
      <c r="AS39" s="1048">
        <f>(AS20/AS8)</f>
        <v>0.18693694013984852</v>
      </c>
      <c r="AT39" s="1048">
        <f>(AT20/AT8)</f>
        <v>0.21196250082276277</v>
      </c>
      <c r="AU39" s="1048">
        <f>(AU20/AU8)</f>
        <v>0.22086174315677798</v>
      </c>
      <c r="AV39" s="1048"/>
      <c r="AW39" s="1048">
        <f>(AW20/AW8)</f>
        <v>0.11078678498583484</v>
      </c>
      <c r="AX39" s="1048">
        <f>(AX20/AX8)</f>
        <v>0.1355980923760372</v>
      </c>
      <c r="AY39" s="1048">
        <f>(AY20/AY8)</f>
        <v>0.13175630871735558</v>
      </c>
      <c r="AZ39" s="1048">
        <f>(AZ20/AZ8)</f>
        <v>6.951208605816625E-2</v>
      </c>
      <c r="BA39" s="1048"/>
      <c r="BB39" s="1048">
        <f>(BB20/BB8)</f>
        <v>6.5259050091493978E-2</v>
      </c>
      <c r="BC39" s="1048">
        <f>(BC20/BC8)</f>
        <v>8.574238015578281E-2</v>
      </c>
      <c r="BD39" s="1048">
        <f>(BD20/BD8)</f>
        <v>0.11429584612186496</v>
      </c>
      <c r="BE39" s="1048">
        <f>(BE20/BE8)</f>
        <v>0.13421275375844458</v>
      </c>
      <c r="BF39" s="1048"/>
      <c r="BG39" s="1048">
        <f>(BG20/BG8)</f>
        <v>8.7926277281746013E-2</v>
      </c>
      <c r="BH39" s="1048">
        <f>(BH20/BH8)</f>
        <v>6.2440943304030452E-2</v>
      </c>
      <c r="BI39" s="1048">
        <f>(BI20/BI8)</f>
        <v>0.13469978478859468</v>
      </c>
      <c r="BJ39" s="1048">
        <f>(BJ20/BJ8)</f>
        <v>0.15885301306883864</v>
      </c>
      <c r="BK39" s="1048"/>
      <c r="BL39" s="1047">
        <f>(BL20/BL8)</f>
        <v>8.0657089228034662E-2</v>
      </c>
      <c r="BM39" s="1048">
        <f>(BM20/BM8)</f>
        <v>5.9031264945002382E-2</v>
      </c>
      <c r="BN39" s="1048">
        <f>(BN20/BN8)</f>
        <v>0.11196469693770823</v>
      </c>
      <c r="BO39" s="1048">
        <f>(BO20/BO8)</f>
        <v>0.11671538112990339</v>
      </c>
      <c r="BP39" s="1048"/>
      <c r="BQ39" s="1048">
        <f>(BQ20/BQ8)</f>
        <v>9.568996535886394E-2</v>
      </c>
      <c r="BR39" s="1048">
        <f>(BR20/BR8)</f>
        <v>8.9944300237940686E-2</v>
      </c>
      <c r="BS39" s="1048">
        <f>(BS20/BS8)</f>
        <v>0.14429564113210622</v>
      </c>
      <c r="BT39" s="1048">
        <f>(BT20/BT8)</f>
        <v>0.16010699581846174</v>
      </c>
      <c r="BU39" s="1042"/>
      <c r="BV39" s="1042">
        <f>(BV20/BV8)</f>
        <v>8.341415529885482E-2</v>
      </c>
      <c r="BW39" s="1042">
        <f>(BW20/BW8)</f>
        <v>4.2036922205432863E-2</v>
      </c>
      <c r="BX39" s="1042">
        <f>(BX20/BX8)</f>
        <v>7.1937058573086604E-2</v>
      </c>
      <c r="BY39" s="1042">
        <f>(BY20/BY8)</f>
        <v>8.3824914299318362E-2</v>
      </c>
      <c r="BZ39" s="1042"/>
      <c r="CA39" s="1042">
        <f>(CA20/CA8)</f>
        <v>1.4100899356011002E-2</v>
      </c>
      <c r="CB39" s="1042">
        <f>(CB20/CB8)</f>
        <v>1.814957887404221E-2</v>
      </c>
      <c r="CC39" s="1042">
        <f>(CC20/CC8)</f>
        <v>8.7585012115323838E-2</v>
      </c>
      <c r="CD39" s="1042">
        <f>(CD20/CD8)</f>
        <v>0.10613582272942285</v>
      </c>
      <c r="CE39" s="1042"/>
      <c r="CF39" s="1042">
        <f>(CF20/CF8)</f>
        <v>6.8567017383348555E-2</v>
      </c>
      <c r="CG39" s="1042">
        <f>(CG20/CG8)</f>
        <v>6.3832722201879022E-2</v>
      </c>
      <c r="CH39" s="1042">
        <f>(CH20/CH8)</f>
        <v>0.1192855401970684</v>
      </c>
      <c r="CI39" s="1042">
        <f>(CI20/CI8)</f>
        <v>0.10252408150272918</v>
      </c>
      <c r="CJ39" s="1042"/>
      <c r="CK39" s="1042">
        <f>(CK20/CK8)</f>
        <v>8.4880760485498113E-2</v>
      </c>
      <c r="CL39" s="1042">
        <f>(CL20/CL8)</f>
        <v>7.9656549889739067E-2</v>
      </c>
      <c r="CM39" s="1042">
        <f>(CM20/CM8)</f>
        <v>0.12637663471219179</v>
      </c>
      <c r="CN39" s="1042">
        <f>(CN20/CN8)</f>
        <v>9.8811023234534515E-2</v>
      </c>
      <c r="CO39" s="1042"/>
      <c r="CP39" s="1042">
        <f>(CP20/CP8)</f>
        <v>5.618007025134017E-2</v>
      </c>
      <c r="CQ39" s="1042">
        <f>(CQ20/CQ8)</f>
        <v>6.2643492387133057E-2</v>
      </c>
      <c r="CR39" s="1042">
        <f>(CR20/CR8)</f>
        <v>0.10555135027638579</v>
      </c>
      <c r="CS39" s="1042">
        <f>(CS20/CS8)</f>
        <v>9.7943962959918529E-2</v>
      </c>
      <c r="CT39" s="1042"/>
      <c r="CU39" s="1042">
        <f>(CU20/CU8)</f>
        <v>6.6118587537324081E-2</v>
      </c>
      <c r="CV39" s="1042">
        <f>(CV20/CV8)</f>
        <v>7.9548596257209406E-2</v>
      </c>
      <c r="CW39" s="1042">
        <f>(CW20/CW8)</f>
        <v>0.1040206306885782</v>
      </c>
      <c r="CX39" s="1042">
        <f>(CX20/CX8)</f>
        <v>8.242872543643999E-2</v>
      </c>
      <c r="CY39" s="1042"/>
      <c r="CZ39" s="1043">
        <f>(CZ20/CZ8)</f>
        <v>3.012217987524653E-2</v>
      </c>
      <c r="DA39" s="1043">
        <f>(DA20/DA8)</f>
        <v>7.9558702826875147E-2</v>
      </c>
      <c r="DB39" s="1043">
        <f t="shared" ref="DB39:DG39" si="35">(DB20/DB8)</f>
        <v>0.15229577944179715</v>
      </c>
      <c r="DC39" s="1043">
        <f t="shared" si="35"/>
        <v>0.17948958303289017</v>
      </c>
      <c r="DD39" s="1043">
        <f t="shared" si="35"/>
        <v>0.13973773568168318</v>
      </c>
      <c r="DE39" s="1043">
        <f t="shared" si="35"/>
        <v>0.12336549556490686</v>
      </c>
      <c r="DF39" s="1043">
        <f t="shared" si="35"/>
        <v>9.8153903143989557E-2</v>
      </c>
      <c r="DG39" s="1043">
        <f t="shared" si="35"/>
        <v>9.4248019417096915E-2</v>
      </c>
      <c r="DH39" s="1043">
        <f t="shared" ref="DH39:DM39" si="36">(DH20/DH8)</f>
        <v>0.19412885052075868</v>
      </c>
      <c r="DI39" s="1043">
        <f t="shared" si="36"/>
        <v>0.20541550636918263</v>
      </c>
      <c r="DJ39" s="1044">
        <f t="shared" si="36"/>
        <v>0.22511629471562669</v>
      </c>
      <c r="DK39" s="1045">
        <f t="shared" si="36"/>
        <v>0.20827945365267403</v>
      </c>
      <c r="DL39" s="1044">
        <f t="shared" si="36"/>
        <v>0.10928760272290559</v>
      </c>
      <c r="DM39" s="1043">
        <f t="shared" si="36"/>
        <v>0.10445438835698362</v>
      </c>
      <c r="DN39" s="1040"/>
      <c r="DO39" s="1044">
        <f t="shared" ref="DO39:DT39" si="37">(DO20/DO8)</f>
        <v>0.11597334595459741</v>
      </c>
      <c r="DP39" s="1043">
        <f t="shared" si="37"/>
        <v>9.6127164017416333E-2</v>
      </c>
      <c r="DQ39" s="1043">
        <f t="shared" si="37"/>
        <v>0.12790026589546821</v>
      </c>
      <c r="DR39" s="1044">
        <f t="shared" si="37"/>
        <v>7.1463747677567996E-2</v>
      </c>
      <c r="DS39" s="1043">
        <f t="shared" si="37"/>
        <v>6.4149111127560166E-2</v>
      </c>
      <c r="DT39" s="1043">
        <f t="shared" si="37"/>
        <v>9.1392927803812057E-2</v>
      </c>
      <c r="DU39" s="1043">
        <f t="shared" ref="DU39:DZ39" si="38">(DU20/DU8)</f>
        <v>9.8736933375624919E-2</v>
      </c>
      <c r="DV39" s="1043">
        <f t="shared" si="38"/>
        <v>8.3631379808296449E-2</v>
      </c>
      <c r="DW39" s="1043">
        <f t="shared" si="38"/>
        <v>8.370992738539168E-2</v>
      </c>
      <c r="DX39" s="1043">
        <f t="shared" si="38"/>
        <v>8.1916317253251172E-2</v>
      </c>
      <c r="DY39" s="1045">
        <f t="shared" si="38"/>
        <v>7.7216317253251177E-2</v>
      </c>
      <c r="DZ39" s="1045">
        <f t="shared" si="38"/>
        <v>7.3616317253251226E-2</v>
      </c>
      <c r="EA39" s="1043"/>
      <c r="EH39" s="1012"/>
      <c r="EI39" s="1012"/>
      <c r="EJ39" s="1012"/>
    </row>
    <row r="40" spans="2:140" ht="12.75">
      <c r="B40" s="1033" t="s">
        <v>8</v>
      </c>
      <c r="C40" s="1036"/>
      <c r="D40" s="1048">
        <f>(D22/D20)</f>
        <v>0.39297932470623226</v>
      </c>
      <c r="E40" s="1048">
        <f>(E22/E20)</f>
        <v>0.39311801775995414</v>
      </c>
      <c r="F40" s="1048">
        <f>(F22/F20)</f>
        <v>0.39303172386272933</v>
      </c>
      <c r="G40" s="1048">
        <f>(G22/G20)</f>
        <v>0.39289743463972138</v>
      </c>
      <c r="H40" s="1042"/>
      <c r="I40" s="1048">
        <f>(I22/I20)</f>
        <v>0.3929998555678591</v>
      </c>
      <c r="J40" s="1048">
        <f>(J22/J20)</f>
        <v>0.39234135667396014</v>
      </c>
      <c r="K40" s="1048">
        <f>(K22/K20)</f>
        <v>0.39000667891133745</v>
      </c>
      <c r="L40" s="1048">
        <f>(L22/L20)</f>
        <v>0.38216400367078596</v>
      </c>
      <c r="M40" s="1042"/>
      <c r="N40" s="1048">
        <f>(N22/N20)</f>
        <v>0.38131815649128376</v>
      </c>
      <c r="O40" s="1048">
        <f>(O22/O20)</f>
        <v>0.35499367888748418</v>
      </c>
      <c r="P40" s="1048">
        <f>(P22/P20)</f>
        <v>0.37993908711349572</v>
      </c>
      <c r="Q40" s="1048">
        <f>(Q22/Q20)</f>
        <v>0.38000282445982192</v>
      </c>
      <c r="R40" s="1042"/>
      <c r="S40" s="1048">
        <f>(S22/S20)</f>
        <v>0.38211145119759055</v>
      </c>
      <c r="T40" s="1048">
        <f>(T22/T20)</f>
        <v>0.38247574603954321</v>
      </c>
      <c r="U40" s="1048">
        <f>(U22/U20)</f>
        <v>0.38164383561643805</v>
      </c>
      <c r="V40" s="1048">
        <f>(V22/V20)</f>
        <v>0.38237163192679241</v>
      </c>
      <c r="W40" s="1042"/>
      <c r="X40" s="1048">
        <f>(X22/X20)</f>
        <v>0.38177078304528322</v>
      </c>
      <c r="Y40" s="1048">
        <f>(Y22/Y20)</f>
        <v>0.38203446698185145</v>
      </c>
      <c r="Z40" s="1048">
        <f>(Z22/Z20)</f>
        <v>0.5316210098397004</v>
      </c>
      <c r="AA40" s="1048">
        <f>(AA22/AA20)</f>
        <v>0.38635093100927437</v>
      </c>
      <c r="AB40" s="1042"/>
      <c r="AC40" s="1048">
        <f>(AC22/AC20)</f>
        <v>0.38510585192076402</v>
      </c>
      <c r="AD40" s="1048">
        <f>(AD22/AD20)</f>
        <v>0.38685252776267764</v>
      </c>
      <c r="AE40" s="1048">
        <f>(AE22/AE20)</f>
        <v>0.38992579967992025</v>
      </c>
      <c r="AF40" s="1048">
        <f>(AF22/AF20)</f>
        <v>0.38899617208478543</v>
      </c>
      <c r="AG40" s="1042"/>
      <c r="AH40" s="1048">
        <f>(AH22/AH20)</f>
        <v>0.39021183022641648</v>
      </c>
      <c r="AI40" s="1048">
        <f>(AI22/AI20)</f>
        <v>0.35864111575271279</v>
      </c>
      <c r="AJ40" s="1048">
        <f>(AJ22/AJ20)</f>
        <v>0.37504685636394608</v>
      </c>
      <c r="AK40" s="1048">
        <f>(AK22/AK20)</f>
        <v>0.40014781303890157</v>
      </c>
      <c r="AL40" s="1042"/>
      <c r="AM40" s="1048">
        <f>(AM22/AM20)</f>
        <v>0.39681465184934483</v>
      </c>
      <c r="AN40" s="1048">
        <f>(AN22/AN20)</f>
        <v>0.39013373258558115</v>
      </c>
      <c r="AO40" s="1048">
        <f>(AO22/AO20)</f>
        <v>0.37526689400362678</v>
      </c>
      <c r="AP40" s="1048">
        <f>(AP22/AP20)</f>
        <v>0.38181496317460051</v>
      </c>
      <c r="AQ40" s="1042"/>
      <c r="AR40" s="1048">
        <f>(AR22/AR20)</f>
        <v>0.3811719787255774</v>
      </c>
      <c r="AS40" s="1048">
        <f>(AS22/AS20)</f>
        <v>0.38118857073304341</v>
      </c>
      <c r="AT40" s="1048">
        <f>(AT22/AT20)</f>
        <v>0.36989999619757413</v>
      </c>
      <c r="AU40" s="1048">
        <f>(AU22/AU20)</f>
        <v>0.36101179916850895</v>
      </c>
      <c r="AV40" s="1048"/>
      <c r="AW40" s="1048">
        <f>(AW22/AW20)</f>
        <v>0.38121149752597361</v>
      </c>
      <c r="AX40" s="1048">
        <f>(AX22/AX20)</f>
        <v>0.35942485171623706</v>
      </c>
      <c r="AY40" s="1048">
        <f>(AY22/AY20)</f>
        <v>0.37086432676725511</v>
      </c>
      <c r="AZ40" s="1048">
        <f>(AZ22/AZ20)</f>
        <v>0.38454048730900003</v>
      </c>
      <c r="BA40" s="1048"/>
      <c r="BB40" s="1048">
        <f>(BB22/BB20)</f>
        <v>0.40015280784413598</v>
      </c>
      <c r="BC40" s="1048">
        <f>(BC22/BC20)</f>
        <v>0.33721014100760932</v>
      </c>
      <c r="BD40" s="1048">
        <f>(BD22/BD20)</f>
        <v>0.19227797391914234</v>
      </c>
      <c r="BE40" s="1048">
        <f>(BE22/BE20)</f>
        <v>0.37934018303996037</v>
      </c>
      <c r="BF40" s="1048"/>
      <c r="BG40" s="1048">
        <f>(BG22/BG20)</f>
        <v>0.3341501683620402</v>
      </c>
      <c r="BH40" s="1048">
        <f>(BH22/BH20)</f>
        <v>0.30900069122148699</v>
      </c>
      <c r="BI40" s="1048">
        <f>(BI22/BI20)</f>
        <v>0.38551394882937501</v>
      </c>
      <c r="BJ40" s="1048">
        <f>(BJ22/BJ20)</f>
        <v>0.35756345234061226</v>
      </c>
      <c r="BK40" s="1048"/>
      <c r="BL40" s="1047">
        <f>(BL22/BL20)</f>
        <v>0.34479781263491099</v>
      </c>
      <c r="BM40" s="1048">
        <f>(BM22/BM20)</f>
        <v>0.36474341122560067</v>
      </c>
      <c r="BN40" s="1048">
        <f>(BN22/BN20)</f>
        <v>0.3683539336864825</v>
      </c>
      <c r="BO40" s="1048">
        <f>(BO22/BO20)</f>
        <v>0.37013404423709723</v>
      </c>
      <c r="BP40" s="1048"/>
      <c r="BQ40" s="1048">
        <f>(BQ22/BQ20)</f>
        <v>0.35065988350659844</v>
      </c>
      <c r="BR40" s="1048">
        <f>(BR22/BR20)</f>
        <v>0.37426724785810933</v>
      </c>
      <c r="BS40" s="1048">
        <f>(BS22/BS20)</f>
        <v>0.37241841309957885</v>
      </c>
      <c r="BT40" s="1048">
        <f>(BT22/BT20)</f>
        <v>0.38169842547861843</v>
      </c>
      <c r="BU40" s="1042"/>
      <c r="BV40" s="1042">
        <f>(BV22/BV20)</f>
        <v>0.37993577755037244</v>
      </c>
      <c r="BW40" s="1042">
        <f>(BW22/BW20)</f>
        <v>0.35912867142016103</v>
      </c>
      <c r="BX40" s="1042">
        <f>(BX22/BX20)</f>
        <v>0.40295433908418726</v>
      </c>
      <c r="BY40" s="1042">
        <f>(BY22/BY20)</f>
        <v>0.39271194787050062</v>
      </c>
      <c r="BZ40" s="1042"/>
      <c r="CA40" s="1042">
        <f>(CA22/CA20)</f>
        <v>0.57567775216770734</v>
      </c>
      <c r="CB40" s="1042">
        <f>(CB22/CB20)</f>
        <v>0.54927502519965776</v>
      </c>
      <c r="CC40" s="1042">
        <f>(CC22/CC20)</f>
        <v>0.42393531400772488</v>
      </c>
      <c r="CD40" s="1042">
        <f>(CD22/CD20)</f>
        <v>0.3840298166347284</v>
      </c>
      <c r="CE40" s="1042"/>
      <c r="CF40" s="1042">
        <f>(CF22/CF20)</f>
        <v>0.39423317488116105</v>
      </c>
      <c r="CG40" s="1042">
        <f>(CG22/CG20)</f>
        <v>0.34648933244273317</v>
      </c>
      <c r="CH40" s="1042">
        <f>(CH22/CH20)</f>
        <v>0.36820453882078208</v>
      </c>
      <c r="CI40" s="1042">
        <f>(CI22/CI20)</f>
        <v>0.27932330163882368</v>
      </c>
      <c r="CJ40" s="1042"/>
      <c r="CK40" s="1042">
        <f>(CK22/CK20)</f>
        <v>0.36369495841914101</v>
      </c>
      <c r="CL40" s="1042">
        <f>(CL22/CL20)</f>
        <v>0.36524990461655843</v>
      </c>
      <c r="CM40" s="1042">
        <f>(CM22/CM20)</f>
        <v>0.36267045789132746</v>
      </c>
      <c r="CN40" s="1042">
        <f>(CN22/CN20)</f>
        <v>0.32947795609666092</v>
      </c>
      <c r="CO40" s="1042"/>
      <c r="CP40" s="1042">
        <f>(CP22/CP20)</f>
        <v>0.33037616822429916</v>
      </c>
      <c r="CQ40" s="1042">
        <f>(CQ22/CQ20)</f>
        <v>0.34684156806411415</v>
      </c>
      <c r="CR40" s="1042">
        <f>(CR22/CR20)</f>
        <v>0.35094451294697898</v>
      </c>
      <c r="CS40" s="1042">
        <f>(CS22/CS20)</f>
        <v>0.34154022568261522</v>
      </c>
      <c r="CT40" s="1042"/>
      <c r="CU40" s="1042">
        <f>(CU22/CU20)</f>
        <v>0.25</v>
      </c>
      <c r="CV40" s="1042">
        <f>(CV22/CV20)</f>
        <v>0.25</v>
      </c>
      <c r="CW40" s="1042">
        <f>(CW22/CW20)</f>
        <v>0.25</v>
      </c>
      <c r="CX40" s="1042">
        <f>(CX22/CX20)</f>
        <v>0.25</v>
      </c>
      <c r="CY40" s="1042"/>
      <c r="CZ40" s="1043">
        <f>(CZ22/CZ20)</f>
        <v>0.39737591537835809</v>
      </c>
      <c r="DA40" s="1043">
        <f>(DA22/DA20)</f>
        <v>0.39472705867773727</v>
      </c>
      <c r="DB40" s="1043">
        <f t="shared" ref="DB40:DG40" si="39">(DB22/DB20)</f>
        <v>0.3952552827721843</v>
      </c>
      <c r="DC40" s="1043">
        <f t="shared" si="39"/>
        <v>0.39298579214483703</v>
      </c>
      <c r="DD40" s="1043">
        <f t="shared" si="39"/>
        <v>0.38640052356020976</v>
      </c>
      <c r="DE40" s="1043">
        <f t="shared" si="39"/>
        <v>0.37667287069041883</v>
      </c>
      <c r="DF40" s="1043">
        <f t="shared" si="39"/>
        <v>0.38212418095854822</v>
      </c>
      <c r="DG40" s="1043">
        <f t="shared" si="39"/>
        <v>0.38569116027408423</v>
      </c>
      <c r="DH40" s="1043">
        <f t="shared" ref="DH40:DM40" si="40">(DH22/DH20)</f>
        <v>0.38873880627530089</v>
      </c>
      <c r="DI40" s="1043">
        <f t="shared" si="40"/>
        <v>0.38421106701302188</v>
      </c>
      <c r="DJ40" s="1044">
        <f t="shared" si="40"/>
        <v>0.38423252213198306</v>
      </c>
      <c r="DK40" s="1045">
        <f t="shared" si="40"/>
        <v>0.37141586565280887</v>
      </c>
      <c r="DL40" s="1044">
        <f t="shared" si="40"/>
        <v>0.37247631993044461</v>
      </c>
      <c r="DM40" s="1043">
        <f t="shared" si="40"/>
        <v>0.32315611935244409</v>
      </c>
      <c r="DN40" s="1040"/>
      <c r="DO40" s="1044">
        <f t="shared" ref="DO40:DT40" si="41">(DO22/DO20)</f>
        <v>0.35612614015755223</v>
      </c>
      <c r="DP40" s="1043">
        <f t="shared" si="41"/>
        <v>0.36477042440893148</v>
      </c>
      <c r="DQ40" s="1043">
        <f t="shared" si="41"/>
        <v>0.37310934955326197</v>
      </c>
      <c r="DR40" s="1044">
        <f t="shared" si="41"/>
        <v>0.38797434866346436</v>
      </c>
      <c r="DS40" s="1043">
        <f t="shared" si="41"/>
        <v>0.41661931783107686</v>
      </c>
      <c r="DT40" s="1043">
        <f t="shared" si="41"/>
        <v>0.33734217328627536</v>
      </c>
      <c r="DU40" s="1043">
        <f t="shared" ref="DU40:DZ40" si="42">(DU22/DU20)</f>
        <v>0.35323081584728411</v>
      </c>
      <c r="DV40" s="1043">
        <f t="shared" si="42"/>
        <v>0.34392190960441327</v>
      </c>
      <c r="DW40" s="1043">
        <f t="shared" si="42"/>
        <v>0.25000000000000044</v>
      </c>
      <c r="DX40" s="1043">
        <f t="shared" si="42"/>
        <v>0.25000000000000044</v>
      </c>
      <c r="DY40" s="1045">
        <f t="shared" si="42"/>
        <v>0.25000000000000044</v>
      </c>
      <c r="DZ40" s="1045">
        <f t="shared" si="42"/>
        <v>0.25000000000000044</v>
      </c>
      <c r="EA40" s="1043"/>
      <c r="EH40" s="1012"/>
      <c r="EI40" s="1012"/>
      <c r="EJ40" s="1012"/>
    </row>
    <row r="41" spans="2:140" ht="12.75">
      <c r="B41" s="1033" t="s">
        <v>9</v>
      </c>
      <c r="C41" s="1036"/>
      <c r="D41" s="1048">
        <f>(D24/D8)</f>
        <v>8.4199884459849828E-2</v>
      </c>
      <c r="E41" s="1048">
        <f>(E24/E8)</f>
        <v>9.4908781400141126E-2</v>
      </c>
      <c r="F41" s="1048">
        <f>(F24/F8)</f>
        <v>0.10928497977035655</v>
      </c>
      <c r="G41" s="1048">
        <f>(G24/G8)</f>
        <v>0.13009021634404835</v>
      </c>
      <c r="H41" s="1042"/>
      <c r="I41" s="1048">
        <f>(I24/I8)</f>
        <v>7.0831858605947207E-2</v>
      </c>
      <c r="J41" s="1048">
        <f>(J24/J8)</f>
        <v>1.3288543715337121E-2</v>
      </c>
      <c r="K41" s="1048">
        <f>(K24/K8)</f>
        <v>0.10335718100061181</v>
      </c>
      <c r="L41" s="1048">
        <f>(L24/L8)</f>
        <v>0.1159855003374758</v>
      </c>
      <c r="M41" s="1042"/>
      <c r="N41" s="1048">
        <f>(N24/N8)</f>
        <v>6.179735080382278E-2</v>
      </c>
      <c r="O41" s="1048">
        <f>(O24/O8)</f>
        <v>5.2347533448247559E-2</v>
      </c>
      <c r="P41" s="1048">
        <f>(P24/P8)</f>
        <v>8.4535237681454295E-2</v>
      </c>
      <c r="Q41" s="1048">
        <f>(Q24/Q8)</f>
        <v>9.4555244454016862E-2</v>
      </c>
      <c r="R41" s="1042"/>
      <c r="S41" s="1048">
        <f>(S24/S8)</f>
        <v>4.576581633938237E-2</v>
      </c>
      <c r="T41" s="1048">
        <f>(T24/T8)</f>
        <v>3.1506892230576435E-2</v>
      </c>
      <c r="U41" s="1048">
        <f>(U24/U8)</f>
        <v>7.2321585926610407E-2</v>
      </c>
      <c r="V41" s="1048">
        <f>(V24/V8)</f>
        <v>7.9087953714139139E-2</v>
      </c>
      <c r="W41" s="1042"/>
      <c r="X41" s="1048">
        <f>(X24/X8)</f>
        <v>2.193875103646295E-2</v>
      </c>
      <c r="Y41" s="1048">
        <f>(Y24/Y8)</f>
        <v>2.4043553722686205E-2</v>
      </c>
      <c r="Z41" s="1048">
        <f>(Z24/Z8)</f>
        <v>2.7124130551096869E-2</v>
      </c>
      <c r="AA41" s="1048">
        <f>(AA24/AA8)</f>
        <v>8.7264054792286633E-2</v>
      </c>
      <c r="AB41" s="1042"/>
      <c r="AC41" s="1048">
        <f>(AC24/AC8)</f>
        <v>8.1566986726063342E-2</v>
      </c>
      <c r="AD41" s="1048">
        <f>(AD24/AD8)</f>
        <v>7.9873141764583891E-2</v>
      </c>
      <c r="AE41" s="1048">
        <f>(AE24/AE8)</f>
        <v>0.12240791517666313</v>
      </c>
      <c r="AF41" s="1048">
        <f>(AF24/AF8)</f>
        <v>0.15866497335406454</v>
      </c>
      <c r="AG41" s="1042"/>
      <c r="AH41" s="1048">
        <f>(AH24/AH8)</f>
        <v>0.12089108542160935</v>
      </c>
      <c r="AI41" s="1048">
        <f>(AI24/AI8)</f>
        <v>0.11249777074755571</v>
      </c>
      <c r="AJ41" s="1048">
        <f>(AJ24/AJ8)</f>
        <v>0.12635841714796567</v>
      </c>
      <c r="AK41" s="1048">
        <f>(AK24/AK8)</f>
        <v>0.13930591493622174</v>
      </c>
      <c r="AL41" s="1042"/>
      <c r="AM41" s="1048">
        <f>(AM24/AM8)</f>
        <v>0.12280352507905389</v>
      </c>
      <c r="AN41" s="1048">
        <f>(AN24/AN8)</f>
        <v>0.11970095928118665</v>
      </c>
      <c r="AO41" s="1048">
        <f>(AO24/AO8)</f>
        <v>0.14497551307644799</v>
      </c>
      <c r="AP41" s="1048">
        <f>(AP24/AP8)</f>
        <v>0.15426792621472935</v>
      </c>
      <c r="AQ41" s="1042"/>
      <c r="AR41" s="1048">
        <f>(AR24/AR8)</f>
        <v>0.12862802219515135</v>
      </c>
      <c r="AS41" s="1048">
        <f>(AS24/AS8)</f>
        <v>0.11567871511073118</v>
      </c>
      <c r="AT41" s="1048">
        <f>(AT24/AT8)</f>
        <v>0.13355757257439455</v>
      </c>
      <c r="AU41" s="1048">
        <f>(AU24/AU8)</f>
        <v>0.14112804789225641</v>
      </c>
      <c r="AV41" s="1048"/>
      <c r="AW41" s="1048">
        <f>(AW24/AW8)</f>
        <v>6.8553588775296687E-2</v>
      </c>
      <c r="AX41" s="1048">
        <f>(AX24/AX8)</f>
        <v>8.6860768130775423E-2</v>
      </c>
      <c r="AY41" s="1048">
        <f>(AY24/AY8)</f>
        <v>8.2892593987554872E-2</v>
      </c>
      <c r="AZ41" s="1048">
        <f>(AZ24/AZ8)</f>
        <v>4.2781874611493853E-2</v>
      </c>
      <c r="BA41" s="1048"/>
      <c r="BB41" s="1048">
        <f>(BB24/BB8)</f>
        <v>3.9145457960141537E-2</v>
      </c>
      <c r="BC41" s="1048">
        <f>(BC24/BC8)</f>
        <v>5.6829180053123249E-2</v>
      </c>
      <c r="BD41" s="1048">
        <f>(BD24/BD8)</f>
        <v>9.2319272402178715E-2</v>
      </c>
      <c r="BE41" s="1048">
        <f>(BE24/BE8)</f>
        <v>8.3300463181419079E-2</v>
      </c>
      <c r="BF41" s="1048"/>
      <c r="BG41" s="1048">
        <f>(BG24/BG8)</f>
        <v>5.8545696924603152E-2</v>
      </c>
      <c r="BH41" s="1048">
        <f>(BH24/BH8)</f>
        <v>4.3146648662563361E-2</v>
      </c>
      <c r="BI41" s="1048">
        <f>(BI24/BI8)</f>
        <v>8.2771138848276568E-2</v>
      </c>
      <c r="BJ41" s="1048">
        <f>(BJ24/BJ8)</f>
        <v>0.10205298130123629</v>
      </c>
      <c r="BK41" s="1048"/>
      <c r="BL41" s="1047">
        <f>(BL24/BL8)</f>
        <v>5.2846701288709469E-2</v>
      </c>
      <c r="BM41" s="1048">
        <f>(BM24/BM8)</f>
        <v>3.7499999999999992E-2</v>
      </c>
      <c r="BN41" s="1048">
        <f>(BN24/BN8)</f>
        <v>7.0722060386688546E-2</v>
      </c>
      <c r="BO41" s="1048">
        <f>(BO24/BO8)</f>
        <v>7.3515045087618067E-2</v>
      </c>
      <c r="BP41" s="1048"/>
      <c r="BQ41" s="1048">
        <f>(BQ24/BQ8)</f>
        <v>6.2135333253374274E-2</v>
      </c>
      <c r="BR41" s="1048">
        <f>(BR24/BR8)</f>
        <v>5.6281094527363136E-2</v>
      </c>
      <c r="BS41" s="1048">
        <f>(BS24/BS8)</f>
        <v>9.0557287444500895E-2</v>
      </c>
      <c r="BT41" s="1048">
        <f>(BT24/BT8)</f>
        <v>9.8994407606443152E-2</v>
      </c>
      <c r="BU41" s="1042"/>
      <c r="BV41" s="1042">
        <f>(BV24/BV8)</f>
        <v>5.1722133346676899E-2</v>
      </c>
      <c r="BW41" s="1042">
        <f>(BW24/BW8)</f>
        <v>2.6940258183203093E-2</v>
      </c>
      <c r="BX41" s="1042">
        <f>(BX24/BX8)</f>
        <v>4.2949708680108022E-2</v>
      </c>
      <c r="BY41" s="1042">
        <f>(BY24/BY8)</f>
        <v>5.0905868924755265E-2</v>
      </c>
      <c r="BZ41" s="1042"/>
      <c r="CA41" s="1042">
        <f>(CA24/CA8)</f>
        <v>5.9833253111995161E-3</v>
      </c>
      <c r="CB41" s="1042">
        <f>(CB24/CB8)</f>
        <v>8.1804684806395002E-3</v>
      </c>
      <c r="CC41" s="1042">
        <f>(CC24/CC8)</f>
        <v>5.0454632501843628E-2</v>
      </c>
      <c r="CD41" s="1042">
        <f>(CD24/CD8)</f>
        <v>6.5376502188266544E-2</v>
      </c>
      <c r="CE41" s="1042"/>
      <c r="CF41" s="1042">
        <f>(CF24/CF8)</f>
        <v>4.1535624428179291E-2</v>
      </c>
      <c r="CG41" s="1042">
        <f>(CG24/CG8)</f>
        <v>4.1715364898147526E-2</v>
      </c>
      <c r="CH41" s="1042">
        <f>(CH24/CH8)</f>
        <v>7.5364062880818955E-2</v>
      </c>
      <c r="CI41" s="1042">
        <f>(CI24/CI8)</f>
        <v>7.3886716559899021E-2</v>
      </c>
      <c r="CJ41" s="1042"/>
      <c r="CK41" s="1042">
        <f>(CK24/CK8)</f>
        <v>5.4010055830139805E-2</v>
      </c>
      <c r="CL41" s="1042">
        <f>(CL24/CL8)</f>
        <v>5.056200264042774E-2</v>
      </c>
      <c r="CM41" s="1042">
        <f>(CM24/CM8)</f>
        <v>8.0543562734356158E-2</v>
      </c>
      <c r="CN41" s="1042">
        <f>(CN24/CN8)</f>
        <v>6.6254969259400401E-2</v>
      </c>
      <c r="CO41" s="1042"/>
      <c r="CP41" s="1042">
        <f>(CP24/CP8)</f>
        <v>3.7619513911130463E-2</v>
      </c>
      <c r="CQ41" s="1042">
        <f>(CQ24/CQ8)</f>
        <v>4.0916125258567429E-2</v>
      </c>
      <c r="CR41" s="1042">
        <f>(CR24/CR8)</f>
        <v>6.8508683062743603E-2</v>
      </c>
      <c r="CS41" s="1042">
        <f>(CS24/CS8)</f>
        <v>6.4492159746338248E-2</v>
      </c>
      <c r="CT41" s="1042"/>
      <c r="CU41" s="1042">
        <f>(CU24/CU8)</f>
        <v>4.958894065299306E-2</v>
      </c>
      <c r="CV41" s="1042">
        <f>(CV24/CV8)</f>
        <v>5.9661447192907051E-2</v>
      </c>
      <c r="CW41" s="1042">
        <f>(CW24/CW8)</f>
        <v>7.8015473016433648E-2</v>
      </c>
      <c r="CX41" s="1042">
        <f>(CX24/CX8)</f>
        <v>6.1821544077330003E-2</v>
      </c>
      <c r="CY41" s="1042"/>
      <c r="CZ41" s="1043">
        <f>(CZ24/CZ8)</f>
        <v>1.8152351074128884E-2</v>
      </c>
      <c r="DA41" s="1043">
        <f>(DA24/DA8)</f>
        <v>4.8154730067806538E-2</v>
      </c>
      <c r="DB41" s="1043">
        <f t="shared" ref="DB41:DG41" si="43">(DB24/DB8)</f>
        <v>9.2100068073519406E-2</v>
      </c>
      <c r="DC41" s="1043">
        <f t="shared" si="43"/>
        <v>0.10895272706296333</v>
      </c>
      <c r="DD41" s="1043">
        <f t="shared" si="43"/>
        <v>8.5743001453162604E-2</v>
      </c>
      <c r="DE41" s="1043">
        <f t="shared" si="43"/>
        <v>7.6897060206327264E-2</v>
      </c>
      <c r="DF41" s="1043">
        <f t="shared" si="43"/>
        <v>6.0646923297207875E-2</v>
      </c>
      <c r="DG41" s="1043">
        <f t="shared" si="43"/>
        <v>5.7897391454582385E-2</v>
      </c>
      <c r="DH41" s="1043">
        <f t="shared" ref="DH41:DM41" si="44">(DH24/DH8)</f>
        <v>0.11866343290572262</v>
      </c>
      <c r="DI41" s="1043">
        <f t="shared" si="44"/>
        <v>0.12649259548605879</v>
      </c>
      <c r="DJ41" s="1044">
        <f t="shared" si="44"/>
        <v>0.13861929302403464</v>
      </c>
      <c r="DK41" s="1045">
        <f t="shared" si="44"/>
        <v>0.13092116007657204</v>
      </c>
      <c r="DL41" s="1044">
        <f t="shared" si="44"/>
        <v>6.8580558646657283E-2</v>
      </c>
      <c r="DM41" s="1043">
        <f t="shared" si="44"/>
        <v>7.0699313566207678E-2</v>
      </c>
      <c r="DN41" s="1040"/>
      <c r="DO41" s="1044">
        <f t="shared" ref="DO41:DT41" si="45">(DO24/DO8)</f>
        <v>7.4672205898630162E-2</v>
      </c>
      <c r="DP41" s="1043">
        <f t="shared" si="45"/>
        <v>6.1062817601556414E-2</v>
      </c>
      <c r="DQ41" s="1043">
        <f t="shared" si="45"/>
        <v>8.0179480879520829E-2</v>
      </c>
      <c r="DR41" s="1044">
        <f t="shared" si="45"/>
        <v>4.3737646719313392E-2</v>
      </c>
      <c r="DS41" s="1043">
        <f t="shared" si="45"/>
        <v>3.7423352210126111E-2</v>
      </c>
      <c r="DT41" s="1043">
        <f t="shared" si="45"/>
        <v>6.056223891547844E-2</v>
      </c>
      <c r="DU41" s="1043">
        <f t="shared" ref="DU41:DZ41" si="46">(DU24/DU8)</f>
        <v>6.3860005845093992E-2</v>
      </c>
      <c r="DV41" s="1043">
        <f t="shared" si="46"/>
        <v>5.4868715961775165E-2</v>
      </c>
      <c r="DW41" s="1043">
        <f t="shared" si="46"/>
        <v>6.2782445539043719E-2</v>
      </c>
      <c r="DX41" s="1043">
        <f t="shared" si="46"/>
        <v>6.1437237939938341E-2</v>
      </c>
      <c r="DY41" s="1045">
        <f t="shared" si="46"/>
        <v>5.7912237939938348E-2</v>
      </c>
      <c r="DZ41" s="1045">
        <f t="shared" si="46"/>
        <v>5.5212237939938395E-2</v>
      </c>
      <c r="EA41" s="1043"/>
      <c r="EH41" s="1012"/>
      <c r="EI41" s="1012"/>
      <c r="EJ41" s="1012"/>
    </row>
    <row r="42" spans="2:140" ht="12.75">
      <c r="B42" s="1033" t="s">
        <v>10</v>
      </c>
      <c r="C42" s="1036"/>
      <c r="D42" s="1048">
        <f>(D31/D8)</f>
        <v>0.1507455090643999</v>
      </c>
      <c r="E42" s="1048">
        <f>(E31/E8)</f>
        <v>0.16740768946478368</v>
      </c>
      <c r="F42" s="1048">
        <f>(F31/F8)</f>
        <v>0.18921115616566309</v>
      </c>
      <c r="G42" s="1048">
        <f>(G31/G8)</f>
        <v>0.23740737496715422</v>
      </c>
      <c r="H42" s="1042"/>
      <c r="I42" s="1048">
        <f>(I31/I8)</f>
        <v>0.13117489424097886</v>
      </c>
      <c r="J42" s="1048">
        <f>(J31/J8)</f>
        <v>4.1028438536298277E-2</v>
      </c>
      <c r="K42" s="1048">
        <f>(K31/K8)</f>
        <v>0.18543535843998771</v>
      </c>
      <c r="L42" s="1048">
        <f>(L31/L8)</f>
        <v>0.20152501333383674</v>
      </c>
      <c r="M42" s="1042"/>
      <c r="N42" s="1048">
        <f>(N31/N8)</f>
        <v>0.12822602445656497</v>
      </c>
      <c r="O42" s="1048">
        <f>(O31/O8)</f>
        <v>0.11185326547921967</v>
      </c>
      <c r="P42" s="1048">
        <f>(P31/P8)</f>
        <v>0.16754432036605718</v>
      </c>
      <c r="Q42" s="1048">
        <f>(Q31/Q8)</f>
        <v>0.17759853542967916</v>
      </c>
      <c r="R42" s="1042"/>
      <c r="S42" s="1048">
        <f>(S31/S8)</f>
        <v>0.11472041397228425</v>
      </c>
      <c r="T42" s="1048">
        <f>(T31/T8)</f>
        <v>8.9526942355889719E-2</v>
      </c>
      <c r="U42" s="1048">
        <f>(U31/U8)</f>
        <v>0.15083018686547725</v>
      </c>
      <c r="V42" s="1048">
        <f>(V31/V8)</f>
        <v>0.15217860092685637</v>
      </c>
      <c r="W42" s="1042"/>
      <c r="X42" s="1048">
        <f>(X31/X8)</f>
        <v>7.9257721220593588E-2</v>
      </c>
      <c r="Y42" s="1048">
        <f>(Y31/Y8)</f>
        <v>7.8215721469789792E-2</v>
      </c>
      <c r="Z42" s="1048">
        <f>(Z31/Z8)</f>
        <v>9.5069555912252551E-2</v>
      </c>
      <c r="AA42" s="1048">
        <f>(AA31/AA8)</f>
        <v>0.17326022259366464</v>
      </c>
      <c r="AB42" s="1042"/>
      <c r="AC42" s="1048">
        <f>(AC31/AC8)</f>
        <v>0.17719351051982069</v>
      </c>
      <c r="AD42" s="1048">
        <f>(AD31/AD8)</f>
        <v>0.17173155421570957</v>
      </c>
      <c r="AE42" s="1048">
        <f>(AE31/AE8)</f>
        <v>0.23815590562673974</v>
      </c>
      <c r="AF42" s="1048">
        <f>(AF31/AF8)</f>
        <v>0.28187571955894747</v>
      </c>
      <c r="AG42" s="1042"/>
      <c r="AH42" s="1048">
        <f>(AH31/AH8)</f>
        <v>0.23017808126148739</v>
      </c>
      <c r="AI42" s="1048">
        <f>(AI31/AI8)</f>
        <v>0.20200128715097673</v>
      </c>
      <c r="AJ42" s="1048">
        <f>(AJ31/AJ8)</f>
        <v>0.22665520621069443</v>
      </c>
      <c r="AK42" s="1048">
        <f>(AK31/AK8)</f>
        <v>0.24997984578776972</v>
      </c>
      <c r="AL42" s="1042"/>
      <c r="AM42" s="1048">
        <f>(AM31/AM8)</f>
        <v>0.22912248194966572</v>
      </c>
      <c r="AN42" s="1048">
        <f>(AN31/AN8)</f>
        <v>0.21996227956289455</v>
      </c>
      <c r="AO42" s="1048">
        <f>(AO31/AO8)</f>
        <v>0.24974220511568448</v>
      </c>
      <c r="AP42" s="1048">
        <f>(AP31/AP8)</f>
        <v>0.25554648050833961</v>
      </c>
      <c r="AQ42" s="1042"/>
      <c r="AR42" s="1048">
        <f>(AR31/AR8)</f>
        <v>0.23101442554206</v>
      </c>
      <c r="AS42" s="1048">
        <f>(AS31/AS8)</f>
        <v>0.21340066468616539</v>
      </c>
      <c r="AT42" s="1048">
        <f>(AT31/AT8)</f>
        <v>0.24012046590538158</v>
      </c>
      <c r="AU42" s="1048">
        <f>(AU31/AU8)</f>
        <v>0.23876909908669969</v>
      </c>
      <c r="AV42" s="1048"/>
      <c r="AW42" s="1048">
        <f>(AW31/AW8)</f>
        <v>0.14685101717626997</v>
      </c>
      <c r="AX42" s="1048">
        <f>(AX31/AX8)</f>
        <v>0.1763695622191736</v>
      </c>
      <c r="AY42" s="1048">
        <f>(AY31/AY8)</f>
        <v>0.16935133070569566</v>
      </c>
      <c r="AZ42" s="1048">
        <f>(AZ31/AZ8)</f>
        <v>0.10692901614529098</v>
      </c>
      <c r="BA42" s="1048"/>
      <c r="BB42" s="1048">
        <f>(BB31/BB8)</f>
        <v>0.11935766413652463</v>
      </c>
      <c r="BC42" s="1048">
        <f>(BC31/BC8)</f>
        <v>0.14384707435706359</v>
      </c>
      <c r="BD42" s="1048">
        <f>(BD31/BD8)</f>
        <v>0.16199078546380413</v>
      </c>
      <c r="BE42" s="1048">
        <f>(BE31/BE8)</f>
        <v>0.17166066285059017</v>
      </c>
      <c r="BF42" s="1048"/>
      <c r="BG42" s="1048">
        <f>(BG31/BG8)</f>
        <v>0.14269593253968252</v>
      </c>
      <c r="BH42" s="1048">
        <f>(BH31/BH8)</f>
        <v>0.11956851809890236</v>
      </c>
      <c r="BI42" s="1048">
        <f>(BI31/BI8)</f>
        <v>0.17973978618485081</v>
      </c>
      <c r="BJ42" s="1048">
        <f>(BJ31/BJ8)</f>
        <v>0.19382936385376315</v>
      </c>
      <c r="BK42" s="1048"/>
      <c r="BL42" s="1047">
        <f>(BL31/BL8)</f>
        <v>0.13027538452354906</v>
      </c>
      <c r="BM42" s="1048">
        <f>(BM31/BM8)</f>
        <v>0.10919565997130559</v>
      </c>
      <c r="BN42" s="1048">
        <f>(BN31/BN8)</f>
        <v>0.15446066054118823</v>
      </c>
      <c r="BO42" s="1048">
        <f>(BO31/BO8)</f>
        <v>0.14955340213643559</v>
      </c>
      <c r="BP42" s="1048"/>
      <c r="BQ42" s="1048">
        <f>(BQ31/BQ8)</f>
        <v>0.13598797790304726</v>
      </c>
      <c r="BR42" s="1048">
        <f>(BR31/BR8)</f>
        <v>0.13357938568029412</v>
      </c>
      <c r="BS42" s="1048">
        <f>(BS31/BS8)</f>
        <v>0.17571020262002215</v>
      </c>
      <c r="BT42" s="1048">
        <f>(BT31/BT8)</f>
        <v>0.18577274310171507</v>
      </c>
      <c r="BU42" s="1042"/>
      <c r="BV42" s="1042">
        <f>(BV31/BV8)</f>
        <v>0.12552742771278494</v>
      </c>
      <c r="BW42" s="1042">
        <f>(BW31/BW8)</f>
        <v>8.1339120846183138E-2</v>
      </c>
      <c r="BX42" s="1042">
        <f>(BX31/BX8)</f>
        <v>0.10865444620059374</v>
      </c>
      <c r="BY42" s="1042">
        <f>(BY31/BY8)</f>
        <v>0.11169743507531392</v>
      </c>
      <c r="BZ42" s="1042"/>
      <c r="CA42" s="1042">
        <f>(CA31/CA8)</f>
        <v>6.3125165408146097E-2</v>
      </c>
      <c r="CB42" s="1042">
        <f>(CB31/CB8)</f>
        <v>6.6801764718299489E-2</v>
      </c>
      <c r="CC42" s="1042">
        <f>(CC31/CC8)</f>
        <v>0.12973463343829378</v>
      </c>
      <c r="CD42" s="1042">
        <f>(CD31/CD8)</f>
        <v>0.13909463331259048</v>
      </c>
      <c r="CE42" s="1042"/>
      <c r="CF42" s="1042">
        <f>(CF31/CF8)</f>
        <v>0.11024845608417198</v>
      </c>
      <c r="CG42" s="1042">
        <f>(CG31/CG8)</f>
        <v>0.1119198222284645</v>
      </c>
      <c r="CH42" s="1042">
        <f>(CH31/CH8)</f>
        <v>0.15965452108213507</v>
      </c>
      <c r="CI42" s="1042">
        <f>(CI31/CI8)</f>
        <v>0.14010406681690102</v>
      </c>
      <c r="CJ42" s="1042"/>
      <c r="CK42" s="1042">
        <f>(CK31/CK8)</f>
        <v>0.13004659628297241</v>
      </c>
      <c r="CL42" s="1042">
        <f>(CL31/CL8)</f>
        <v>0.13075587713987705</v>
      </c>
      <c r="CM42" s="1042">
        <f>(CM31/CM8)</f>
        <v>0.16787421766111107</v>
      </c>
      <c r="CN42" s="1042">
        <f>(CN31/CN8)</f>
        <v>0.13346414568838716</v>
      </c>
      <c r="CO42" s="1042"/>
      <c r="CP42" s="1042">
        <f>(CP31/CP8)</f>
        <v>0.10874125139793865</v>
      </c>
      <c r="CQ42" s="1042">
        <f>(CQ31/CQ8)</f>
        <v>0.10728938366504562</v>
      </c>
      <c r="CR42" s="1042">
        <f>(CR31/CR8)</f>
        <v>0.16426653394875024</v>
      </c>
      <c r="CS42" s="1042">
        <f>(CS31/CS8)</f>
        <v>0.13125578344346123</v>
      </c>
      <c r="CT42" s="1042"/>
      <c r="CU42" s="1042">
        <f>(CU31/CU8)</f>
        <v>0.11900000000000001</v>
      </c>
      <c r="CV42" s="1042">
        <f>(CV31/CV8)</f>
        <v>0.12799999999999997</v>
      </c>
      <c r="CW42" s="1042">
        <f>(CW31/CW8)</f>
        <v>0.15000000000000002</v>
      </c>
      <c r="CX42" s="1042">
        <f>(CX31/CX8)</f>
        <v>0.12099999999999995</v>
      </c>
      <c r="CY42" s="1042"/>
      <c r="CZ42" s="1043">
        <f>(CZ31/CZ8)</f>
        <v>4.578988002597998E-2</v>
      </c>
      <c r="DA42" s="1043">
        <f>(DA31/DA8)</f>
        <v>9.4741849534030198E-2</v>
      </c>
      <c r="DB42" s="1043">
        <f t="shared" ref="DB42:DG42" si="47">(DB31/DB8)</f>
        <v>0.16280462899931927</v>
      </c>
      <c r="DC42" s="1043">
        <f t="shared" si="47"/>
        <v>0.19434229375174261</v>
      </c>
      <c r="DD42" s="1043">
        <f t="shared" si="47"/>
        <v>0.15523966210537568</v>
      </c>
      <c r="DE42" s="1043">
        <f t="shared" si="47"/>
        <v>0.15186832266806824</v>
      </c>
      <c r="DF42" s="1043">
        <f t="shared" si="47"/>
        <v>0.13105093767449619</v>
      </c>
      <c r="DG42" s="1043">
        <f t="shared" si="47"/>
        <v>0.13461833199111625</v>
      </c>
      <c r="DH42" s="1043">
        <f t="shared" ref="DH42:DM42" si="48">(DH31/DH8)</f>
        <v>0.22777322960320104</v>
      </c>
      <c r="DI42" s="1043">
        <f t="shared" si="48"/>
        <v>0.2314495241524194</v>
      </c>
      <c r="DJ42" s="1044">
        <f t="shared" si="48"/>
        <v>0.24149006104689744</v>
      </c>
      <c r="DK42" s="1045">
        <f t="shared" si="48"/>
        <v>0.2317057005929464</v>
      </c>
      <c r="DL42" s="1044">
        <f t="shared" si="48"/>
        <v>0.1472327631951382</v>
      </c>
      <c r="DM42" s="1043">
        <f t="shared" si="48"/>
        <v>0.15241870726794041</v>
      </c>
      <c r="DN42" s="1040"/>
      <c r="DO42" s="1044">
        <f t="shared" ref="DO42:DT42" si="49">(DO31/DO8)</f>
        <v>0.16270925754780338</v>
      </c>
      <c r="DP42" s="1043">
        <f t="shared" si="49"/>
        <v>0.13846089744925189</v>
      </c>
      <c r="DQ42" s="1043">
        <f t="shared" si="49"/>
        <v>0.16187918644387692</v>
      </c>
      <c r="DR42" s="1044">
        <f t="shared" si="49"/>
        <v>0.10707174839872433</v>
      </c>
      <c r="DS42" s="1043">
        <f t="shared" si="49"/>
        <v>0.10605851531603322</v>
      </c>
      <c r="DT42" s="1043">
        <f t="shared" si="49"/>
        <v>0.1328944349670968</v>
      </c>
      <c r="DU42" s="1043">
        <f t="shared" ref="DU42:DZ42" si="50">(DU31/DU8)</f>
        <v>0.14110361467811128</v>
      </c>
      <c r="DV42" s="1043">
        <f t="shared" si="50"/>
        <v>0.12975698640697295</v>
      </c>
      <c r="DW42" s="1043">
        <f t="shared" si="50"/>
        <v>0.12947929277022258</v>
      </c>
      <c r="DX42" s="1043">
        <f t="shared" si="50"/>
        <v>0.12759999999999994</v>
      </c>
      <c r="DY42" s="1045">
        <f t="shared" si="50"/>
        <v>0.12419999999999998</v>
      </c>
      <c r="DZ42" s="1045">
        <f t="shared" si="50"/>
        <v>0.12160000000000001</v>
      </c>
      <c r="EA42" s="1043"/>
      <c r="EH42" s="1012"/>
      <c r="EI42" s="1012"/>
      <c r="EJ42" s="1012"/>
    </row>
    <row r="43" spans="2:140" ht="12" customHeight="1">
      <c r="B43" s="1033"/>
      <c r="C43" s="963"/>
      <c r="D43" s="1051"/>
      <c r="E43" s="1051"/>
      <c r="F43" s="1051"/>
      <c r="G43" s="1051"/>
      <c r="H43" s="1051"/>
      <c r="I43" s="1051"/>
      <c r="J43" s="1051"/>
      <c r="K43" s="1051"/>
      <c r="L43" s="1051"/>
      <c r="M43" s="1051"/>
      <c r="N43" s="1051"/>
      <c r="O43" s="1051"/>
      <c r="P43" s="1051"/>
      <c r="Q43" s="1051"/>
      <c r="R43" s="1051"/>
      <c r="S43" s="1051"/>
      <c r="T43" s="1051"/>
      <c r="U43" s="1051"/>
      <c r="V43" s="1051"/>
      <c r="W43" s="1051"/>
      <c r="X43" s="1051"/>
      <c r="Y43" s="1051"/>
      <c r="Z43" s="1051"/>
      <c r="AA43" s="1051"/>
      <c r="AB43" s="1051"/>
      <c r="AC43" s="1051"/>
      <c r="AD43" s="1051"/>
      <c r="AE43" s="1051"/>
      <c r="AF43" s="1051"/>
      <c r="AG43" s="1051"/>
      <c r="AH43" s="1051"/>
      <c r="AI43" s="1051"/>
      <c r="AJ43" s="1051"/>
      <c r="AK43" s="1051"/>
      <c r="AL43" s="1051"/>
      <c r="AM43" s="1051"/>
      <c r="AN43" s="1051"/>
      <c r="AO43" s="1051"/>
      <c r="AP43" s="1051"/>
      <c r="AQ43" s="1051"/>
      <c r="AR43" s="1051"/>
      <c r="AS43" s="1051"/>
      <c r="AT43" s="1051"/>
      <c r="AU43" s="1051"/>
      <c r="AV43" s="1051"/>
      <c r="AW43" s="1051"/>
      <c r="AX43" s="1051"/>
      <c r="AY43" s="1051"/>
      <c r="AZ43" s="1051"/>
      <c r="BA43" s="1051"/>
      <c r="BB43" s="1051"/>
      <c r="BC43" s="1051"/>
      <c r="BD43" s="1051"/>
      <c r="BE43" s="1051"/>
      <c r="BF43" s="1051"/>
      <c r="BG43" s="1051"/>
      <c r="BH43" s="1051"/>
      <c r="BI43" s="1051"/>
      <c r="BJ43" s="1051"/>
      <c r="BK43" s="1051"/>
      <c r="BL43" s="1050"/>
      <c r="BM43" s="1051"/>
      <c r="BN43" s="1051"/>
      <c r="BO43" s="1051"/>
      <c r="BP43" s="1051"/>
      <c r="BQ43" s="1051"/>
      <c r="BR43" s="1051"/>
      <c r="BS43" s="1051"/>
      <c r="BT43" s="1051"/>
      <c r="BU43" s="1051"/>
      <c r="BV43" s="1051"/>
      <c r="BW43" s="1051"/>
      <c r="BX43" s="1051"/>
      <c r="BY43" s="1051"/>
      <c r="BZ43" s="1051"/>
      <c r="CA43" s="1051"/>
      <c r="CB43" s="1051"/>
      <c r="CC43" s="1051"/>
      <c r="CD43" s="1051"/>
      <c r="CE43" s="1051"/>
      <c r="CF43" s="1051"/>
      <c r="CG43" s="1051"/>
      <c r="CH43" s="1051"/>
      <c r="CI43" s="1051"/>
      <c r="CJ43" s="1051"/>
      <c r="CK43" s="1051"/>
      <c r="CL43" s="1051"/>
      <c r="CM43" s="1051"/>
      <c r="CN43" s="1051"/>
      <c r="CO43" s="1051"/>
      <c r="CP43" s="1051"/>
      <c r="CQ43" s="1051"/>
      <c r="CR43" s="1051"/>
      <c r="CS43" s="1051"/>
      <c r="CT43" s="1051"/>
      <c r="CU43" s="1051"/>
      <c r="CV43" s="1051"/>
      <c r="CW43" s="1051"/>
      <c r="CX43" s="1051"/>
      <c r="CY43" s="1051"/>
      <c r="CZ43" s="1043"/>
      <c r="DA43" s="1043"/>
      <c r="DB43" s="1043"/>
      <c r="DC43" s="1043"/>
      <c r="DD43" s="1043"/>
      <c r="DE43" s="1043"/>
      <c r="DF43" s="1043"/>
      <c r="DG43" s="1043"/>
      <c r="DH43" s="1043"/>
      <c r="DI43" s="1043"/>
      <c r="DJ43" s="1044"/>
      <c r="DK43" s="1045"/>
      <c r="DL43" s="1044"/>
      <c r="DM43" s="1043"/>
      <c r="DN43" s="1049"/>
      <c r="DO43" s="1044"/>
      <c r="DP43" s="1043"/>
      <c r="DQ43" s="1043"/>
      <c r="DR43" s="1044"/>
      <c r="DS43" s="1043"/>
      <c r="DT43" s="1043"/>
      <c r="DU43" s="1043"/>
      <c r="DV43" s="1043"/>
      <c r="DW43" s="1043"/>
      <c r="DX43" s="1043"/>
      <c r="DY43" s="1045"/>
      <c r="DZ43" s="1045"/>
      <c r="EA43" s="1043"/>
      <c r="EH43" s="1012"/>
      <c r="EI43" s="1012"/>
      <c r="EJ43" s="1012"/>
    </row>
    <row r="44" spans="2:140" ht="12.75">
      <c r="B44" s="988" t="s">
        <v>11</v>
      </c>
      <c r="C44" s="975"/>
      <c r="D44" s="1051"/>
      <c r="E44" s="1051"/>
      <c r="F44" s="1051"/>
      <c r="G44" s="1051"/>
      <c r="H44" s="1051"/>
      <c r="I44" s="1051"/>
      <c r="J44" s="1051"/>
      <c r="K44" s="1051"/>
      <c r="L44" s="1051"/>
      <c r="M44" s="1051"/>
      <c r="N44" s="1051"/>
      <c r="O44" s="1051"/>
      <c r="P44" s="1051"/>
      <c r="Q44" s="1051"/>
      <c r="R44" s="1051"/>
      <c r="S44" s="1051"/>
      <c r="T44" s="1051"/>
      <c r="U44" s="1051"/>
      <c r="V44" s="1051"/>
      <c r="W44" s="1051"/>
      <c r="X44" s="1051"/>
      <c r="Y44" s="1051"/>
      <c r="Z44" s="1051"/>
      <c r="AA44" s="1051"/>
      <c r="AB44" s="1051"/>
      <c r="AC44" s="1051"/>
      <c r="AD44" s="1051"/>
      <c r="AE44" s="1051"/>
      <c r="AF44" s="1051"/>
      <c r="AG44" s="1051"/>
      <c r="AH44" s="1051"/>
      <c r="AI44" s="1051"/>
      <c r="AJ44" s="1051"/>
      <c r="AK44" s="1051"/>
      <c r="AL44" s="1051"/>
      <c r="AM44" s="1051"/>
      <c r="AN44" s="1051"/>
      <c r="AO44" s="1051"/>
      <c r="AP44" s="1051"/>
      <c r="AQ44" s="1051"/>
      <c r="AR44" s="1051"/>
      <c r="AS44" s="1051"/>
      <c r="AT44" s="1051"/>
      <c r="AU44" s="1051"/>
      <c r="AV44" s="1051"/>
      <c r="AW44" s="1051"/>
      <c r="AX44" s="1051"/>
      <c r="AY44" s="1051"/>
      <c r="AZ44" s="1051"/>
      <c r="BA44" s="1051"/>
      <c r="BB44" s="1051"/>
      <c r="BC44" s="1051"/>
      <c r="BD44" s="1051"/>
      <c r="BE44" s="1051"/>
      <c r="BF44" s="1051"/>
      <c r="BG44" s="1051"/>
      <c r="BH44" s="1051"/>
      <c r="BI44" s="1051"/>
      <c r="BJ44" s="1051"/>
      <c r="BK44" s="1051"/>
      <c r="BL44" s="1050"/>
      <c r="BM44" s="1051"/>
      <c r="BN44" s="1051"/>
      <c r="BO44" s="1051"/>
      <c r="BP44" s="1051"/>
      <c r="BQ44" s="1051"/>
      <c r="BR44" s="1051"/>
      <c r="BS44" s="1051"/>
      <c r="BT44" s="1051"/>
      <c r="BU44" s="1051"/>
      <c r="BV44" s="1051"/>
      <c r="BW44" s="1051"/>
      <c r="BX44" s="1051"/>
      <c r="BY44" s="1051"/>
      <c r="BZ44" s="1051"/>
      <c r="CA44" s="1051"/>
      <c r="CB44" s="1051"/>
      <c r="CC44" s="1051"/>
      <c r="CD44" s="1051"/>
      <c r="CE44" s="1051"/>
      <c r="CF44" s="1051"/>
      <c r="CG44" s="1051"/>
      <c r="CH44" s="1051"/>
      <c r="CI44" s="1051"/>
      <c r="CJ44" s="1051"/>
      <c r="CK44" s="1051"/>
      <c r="CL44" s="1051"/>
      <c r="CM44" s="1051"/>
      <c r="CN44" s="1051"/>
      <c r="CO44" s="1051"/>
      <c r="CP44" s="1051"/>
      <c r="CQ44" s="1051"/>
      <c r="CR44" s="1051"/>
      <c r="CS44" s="1051"/>
      <c r="CT44" s="1051"/>
      <c r="CU44" s="1051"/>
      <c r="CV44" s="1051"/>
      <c r="CW44" s="1051"/>
      <c r="CX44" s="1051"/>
      <c r="CY44" s="1051"/>
      <c r="CZ44" s="1043"/>
      <c r="DA44" s="1043"/>
      <c r="DB44" s="1043"/>
      <c r="DC44" s="1043"/>
      <c r="DD44" s="1043"/>
      <c r="DE44" s="1043"/>
      <c r="DF44" s="1043"/>
      <c r="DG44" s="1043"/>
      <c r="DH44" s="1043"/>
      <c r="DI44" s="1043"/>
      <c r="DJ44" s="1044"/>
      <c r="DK44" s="1045"/>
      <c r="DL44" s="1044"/>
      <c r="DM44" s="1043"/>
      <c r="DN44" s="1049"/>
      <c r="DO44" s="1044"/>
      <c r="DP44" s="1043"/>
      <c r="DQ44" s="1043"/>
      <c r="DR44" s="1044"/>
      <c r="DS44" s="1043"/>
      <c r="DT44" s="1043"/>
      <c r="DU44" s="1043"/>
      <c r="DV44" s="1043"/>
      <c r="DW44" s="1043"/>
      <c r="DX44" s="1043"/>
      <c r="DY44" s="1045"/>
      <c r="DZ44" s="1045"/>
      <c r="EA44" s="1043"/>
      <c r="EH44" s="1012"/>
      <c r="EI44" s="1012"/>
      <c r="EJ44" s="1012"/>
    </row>
    <row r="45" spans="2:140" ht="12.75">
      <c r="B45" s="1033" t="s">
        <v>738</v>
      </c>
      <c r="C45" s="1823"/>
      <c r="D45" s="1043">
        <f>'qtrP&amp;L'!$T10/100</f>
        <v>0.45850301923887082</v>
      </c>
      <c r="E45" s="1043">
        <f>'qtrP&amp;L'!$T11/100</f>
        <v>0.42034979440233511</v>
      </c>
      <c r="F45" s="1043">
        <f>'qtrP&amp;L'!$T12/100</f>
        <v>0.49390211178790877</v>
      </c>
      <c r="G45" s="1043">
        <f>'qtrP&amp;L'!$T13/100</f>
        <v>0.33935065483536442</v>
      </c>
      <c r="H45" s="1043"/>
      <c r="I45" s="1043">
        <f>((I8/D8)-1)</f>
        <v>0.22416852356193773</v>
      </c>
      <c r="J45" s="1043">
        <f>((J8/E8)-1)</f>
        <v>0.17020192404609658</v>
      </c>
      <c r="K45" s="1043">
        <f>((K8/F8)-1)</f>
        <v>0.26976151024055528</v>
      </c>
      <c r="L45" s="1043">
        <f>((L8/G8)-1)</f>
        <v>0.48457212928089688</v>
      </c>
      <c r="M45" s="1042"/>
      <c r="N45" s="1043">
        <f>((N8/I8)-1)</f>
        <v>0.41319895055590194</v>
      </c>
      <c r="O45" s="1043">
        <f>((O8/J8)-1)</f>
        <v>0.39915875909789111</v>
      </c>
      <c r="P45" s="1043">
        <f>((P8/K8)-1)</f>
        <v>0.28607298588590613</v>
      </c>
      <c r="Q45" s="1043">
        <f>((Q8/L8)-1)</f>
        <v>9.5734588208640448E-2</v>
      </c>
      <c r="R45" s="1042"/>
      <c r="S45" s="1043">
        <f>((S8/N8)-1)</f>
        <v>0.10473150253629515</v>
      </c>
      <c r="T45" s="1043">
        <f>((T8/O8)-1)</f>
        <v>9.1685135024214048E-2</v>
      </c>
      <c r="U45" s="1043">
        <f>((U8/P8)-1)</f>
        <v>2.9794395298892828E-2</v>
      </c>
      <c r="V45" s="1043">
        <f>((V8/Q8)-1)</f>
        <v>5.8699116950247543E-2</v>
      </c>
      <c r="W45" s="1042"/>
      <c r="X45" s="1043">
        <f>((X8/S8)-1)</f>
        <v>5.0253154991309668E-2</v>
      </c>
      <c r="Y45" s="1043">
        <f>((Y8/T8)-1)</f>
        <v>5.5936716791979979E-2</v>
      </c>
      <c r="Z45" s="1043">
        <f>((Z8/U8)-1)</f>
        <v>-1.8531672069512783E-3</v>
      </c>
      <c r="AA45" s="1043">
        <f>((AA8/V8)-1)</f>
        <v>-1.9814710082717291E-3</v>
      </c>
      <c r="AB45" s="1042"/>
      <c r="AC45" s="1043">
        <f>((AC8/X8)-1)</f>
        <v>0.13832754284617876</v>
      </c>
      <c r="AD45" s="1043">
        <f>((AD8/Y8)-1)</f>
        <v>0.17310824642862443</v>
      </c>
      <c r="AE45" s="1043">
        <f>((AE8/Z8)-1)</f>
        <v>0.28299892990904207</v>
      </c>
      <c r="AF45" s="1043">
        <f>((AF8/AA8)-1)</f>
        <v>0.37393289575604394</v>
      </c>
      <c r="AG45" s="1042"/>
      <c r="AH45" s="1043">
        <f>((AH8/AC8)-1)</f>
        <v>0.37397887005989805</v>
      </c>
      <c r="AI45" s="1043">
        <f>((AI8/AD8)-1)</f>
        <v>0.30466714887633373</v>
      </c>
      <c r="AJ45" s="1043">
        <f>((AJ8/AE8)-1)</f>
        <v>0.21051951166112381</v>
      </c>
      <c r="AK45" s="1043">
        <f>((AK8/AF8)-1)</f>
        <v>0.14101278292761088</v>
      </c>
      <c r="AL45" s="1042"/>
      <c r="AM45" s="1043">
        <f>((AM8/AH8)-1)</f>
        <v>0.14447825410699777</v>
      </c>
      <c r="AN45" s="1043">
        <f>((AN8/AI8)-1)</f>
        <v>0.16759713725216518</v>
      </c>
      <c r="AO45" s="1043">
        <f>((AO8/AJ8)-1)</f>
        <v>0.19936887108192769</v>
      </c>
      <c r="AP45" s="1043">
        <f>((AP8/AK8)-1)</f>
        <v>0.26563901855487781</v>
      </c>
      <c r="AQ45" s="1042"/>
      <c r="AR45" s="1043">
        <f>((AR8/AM8)-1)</f>
        <v>0.17219214896598189</v>
      </c>
      <c r="AS45" s="1043">
        <f>((AS8/AN8)-1)</f>
        <v>0.16745582956737692</v>
      </c>
      <c r="AT45" s="1043">
        <f>((AT8/AO8)-1)</f>
        <v>6.9156529606916761E-2</v>
      </c>
      <c r="AU45" s="1043">
        <f>((AU8/AP8)-1)</f>
        <v>2.2638989484931038E-2</v>
      </c>
      <c r="AV45" s="1043"/>
      <c r="AW45" s="1043">
        <f>((AW8/AR8)-1)</f>
        <v>4.5585627365746451E-2</v>
      </c>
      <c r="AX45" s="1043">
        <f>((AX8/AS8)-1)</f>
        <v>-2.0441161622266391E-2</v>
      </c>
      <c r="AY45" s="1043">
        <f>((AY8/AT8)-1)</f>
        <v>1.2886144405951816E-2</v>
      </c>
      <c r="AZ45" s="1043">
        <f>((AZ8/AU8)-1)</f>
        <v>-9.0102380849526931E-2</v>
      </c>
      <c r="BA45" s="1043"/>
      <c r="BB45" s="1043">
        <f>((BB8/AW8)-1)</f>
        <v>-6.0319974012263078E-2</v>
      </c>
      <c r="BC45" s="1043">
        <f>((BC8/AX8)-1)</f>
        <v>-6.099896198543886E-2</v>
      </c>
      <c r="BD45" s="1043">
        <f>((BD8/AY8)-1)</f>
        <v>-2.3904694205581722E-2</v>
      </c>
      <c r="BE45" s="1043">
        <f>((BE8/AZ8)-1)</f>
        <v>5.5280204656442011E-2</v>
      </c>
      <c r="BF45" s="1043"/>
      <c r="BG45" s="1043">
        <f>((BG8/BB8)-1)</f>
        <v>7.219962804086566E-2</v>
      </c>
      <c r="BH45" s="1043">
        <f>((BH8/BC8)-1)</f>
        <v>3.0040290786303991E-3</v>
      </c>
      <c r="BI45" s="1043">
        <f>((BI8/BD8)-1)</f>
        <v>1.2007972706929548E-2</v>
      </c>
      <c r="BJ45" s="1043">
        <f>((BJ8/BE8)-1)</f>
        <v>-5.1473088500399111E-2</v>
      </c>
      <c r="BK45" s="1043"/>
      <c r="BL45" s="1044">
        <f>((BL8/BG8)-1)</f>
        <v>-6.5159970238095166E-2</v>
      </c>
      <c r="BM45" s="1043">
        <f>((BM8/BH8)-1)</f>
        <v>3.1413152552405288E-2</v>
      </c>
      <c r="BN45" s="1043">
        <f>((BN8/BI8)-1)</f>
        <v>0.10011425134490359</v>
      </c>
      <c r="BO45" s="1043">
        <f>((BO8/BJ8)-1)</f>
        <v>0.13441446131853207</v>
      </c>
      <c r="BP45" s="1043"/>
      <c r="BQ45" s="1043">
        <f>((BQ8/BL8)-1)</f>
        <v>0.17511822565347446</v>
      </c>
      <c r="BR45" s="1043">
        <f>((BR8/BM8)-1)</f>
        <v>0.10545193687230991</v>
      </c>
      <c r="BS45" s="1043">
        <f>((BS8/BN8)-1)</f>
        <v>0.11099937882816979</v>
      </c>
      <c r="BT45" s="1043">
        <f>((BT8/BO8)-1)</f>
        <v>8.6160425186836198E-2</v>
      </c>
      <c r="BU45" s="1042"/>
      <c r="BV45" s="1042">
        <f>((BV8/BQ8)-1)</f>
        <v>-4.1227890700513026E-2</v>
      </c>
      <c r="BW45" s="1042">
        <f>((BW8/BR8)-1)</f>
        <v>-1.6719392169586844E-2</v>
      </c>
      <c r="BX45" s="1042">
        <f>((BX8/BS8)-1)</f>
        <v>-5.8293624378552233E-2</v>
      </c>
      <c r="BY45" s="1042">
        <f>((BY8/BT8)-1)</f>
        <v>-6.7450693924102079E-2</v>
      </c>
      <c r="BZ45" s="1042"/>
      <c r="CA45" s="1042">
        <f>((CA8/BV8)-1)</f>
        <v>-4.9078923937086794E-2</v>
      </c>
      <c r="CB45" s="1042">
        <f>((CB8/BW8)-1)</f>
        <v>-2.298597715151518E-2</v>
      </c>
      <c r="CC45" s="1042">
        <f>((CC8/BX8)-1)</f>
        <v>-3.5168347320965188E-3</v>
      </c>
      <c r="CD45" s="1042">
        <f>((CD8/BY8)-1)</f>
        <v>2.8939039480391227E-2</v>
      </c>
      <c r="CE45" s="1042"/>
      <c r="CF45" s="1042">
        <f>((CF8/CA8)-1)</f>
        <v>8.2632105972646253E-2</v>
      </c>
      <c r="CG45" s="1042">
        <f>((CG8/CB8)-1)</f>
        <v>0.12219759497322658</v>
      </c>
      <c r="CH45" s="1042">
        <f>((CH8/CC8)-1)</f>
        <v>7.5831392150206733E-2</v>
      </c>
      <c r="CI45" s="1042">
        <f>((CI8/CD8)-1)</f>
        <v>3.1697443586014007E-2</v>
      </c>
      <c r="CJ45" s="1042"/>
      <c r="CK45" s="1042">
        <f>((CK8/CF8)-1)</f>
        <v>7.1328911253430993E-2</v>
      </c>
      <c r="CL45" s="1042">
        <f>((CL8/CG8)-1)</f>
        <v>3.1558962063032769E-2</v>
      </c>
      <c r="CM45" s="1042">
        <f>((CM8/CH8)-1)</f>
        <v>2.343341979736091E-2</v>
      </c>
      <c r="CN45" s="1042">
        <f>((CN8/CI8)-1)</f>
        <v>-7.7607005791134887E-3</v>
      </c>
      <c r="CO45" s="1042"/>
      <c r="CP45" s="1042">
        <f>((CP8/CK8)-1)</f>
        <v>1.657290476851303E-2</v>
      </c>
      <c r="CQ45" s="1042">
        <f>((CQ8/CL8)-1)</f>
        <v>2.6699684169833482E-2</v>
      </c>
      <c r="CR45" s="1042">
        <f>((CR8/CM8)-1)</f>
        <v>2.1075707334290872E-2</v>
      </c>
      <c r="CS45" s="1042">
        <f>((CS8/CN8)-1)</f>
        <v>0.11982454253649588</v>
      </c>
      <c r="CT45" s="1042"/>
      <c r="CU45" s="1042">
        <f>((CU8/CP8)-1)</f>
        <v>6.0980366250628748E-2</v>
      </c>
      <c r="CV45" s="1042">
        <f>((CV8/CQ8)-1)</f>
        <v>7.9165861044105057E-2</v>
      </c>
      <c r="CW45" s="1042">
        <f>((CW8/CR8)-1)</f>
        <v>-6.1784428892486254E-5</v>
      </c>
      <c r="CX45" s="1042">
        <f>((CX8/CS8)-1)</f>
        <v>-5.0845818279521504E-2</v>
      </c>
      <c r="CY45" s="1042"/>
      <c r="CZ45" s="1043">
        <f>'yrP&amp;L'!C8</f>
        <v>-4.0899380882279436E-2</v>
      </c>
      <c r="DA45" s="1043">
        <f>'yrP&amp;L'!D8</f>
        <v>0.24297802723005837</v>
      </c>
      <c r="DB45" s="1043">
        <f>'yrP&amp;L'!E8</f>
        <v>0.44831444888381705</v>
      </c>
      <c r="DC45" s="1043">
        <f t="shared" ref="DC45:DI45" si="51">((DC8/DB8)-1)</f>
        <v>0.41610619469026555</v>
      </c>
      <c r="DD45" s="1043">
        <f t="shared" si="51"/>
        <v>0.31411097651255115</v>
      </c>
      <c r="DE45" s="1043">
        <f t="shared" si="51"/>
        <v>0.25462081049715746</v>
      </c>
      <c r="DF45" s="1043">
        <f t="shared" si="51"/>
        <v>6.6507811435098318E-2</v>
      </c>
      <c r="DG45" s="1043">
        <f t="shared" si="51"/>
        <v>-1.8935290583751097E-2</v>
      </c>
      <c r="DH45" s="1043">
        <f t="shared" si="51"/>
        <v>0.31642720399934232</v>
      </c>
      <c r="DI45" s="1043">
        <f t="shared" si="51"/>
        <v>0.22878082520174403</v>
      </c>
      <c r="DJ45" s="1044">
        <f t="shared" ref="DJ45:DT45" si="52">((DJ8/DI8)-1)</f>
        <v>0.20346887675164349</v>
      </c>
      <c r="DK45" s="1045">
        <f t="shared" si="52"/>
        <v>9.3404365645830767E-2</v>
      </c>
      <c r="DL45" s="1044">
        <f t="shared" si="52"/>
        <v>-2.1781955273564746E-2</v>
      </c>
      <c r="DM45" s="1043">
        <f t="shared" si="52"/>
        <v>-1.6259343844789331E-2</v>
      </c>
      <c r="DN45" s="1040"/>
      <c r="DO45" s="1044">
        <f>((DO8/DM8)-1)</f>
        <v>1.7090273032842607E-3</v>
      </c>
      <c r="DP45" s="1043">
        <f>((DP8/DO8)-1)</f>
        <v>5.9339067678812363E-2</v>
      </c>
      <c r="DQ45" s="1043">
        <f t="shared" si="52"/>
        <v>0.11401589389964628</v>
      </c>
      <c r="DR45" s="1044">
        <f t="shared" si="52"/>
        <v>-4.8909575401590799E-2</v>
      </c>
      <c r="DS45" s="1043">
        <f t="shared" si="52"/>
        <v>-6.9378020825202613E-3</v>
      </c>
      <c r="DT45" s="1043">
        <f t="shared" si="52"/>
        <v>7.2796430680865054E-2</v>
      </c>
      <c r="DU45" s="1043">
        <f t="shared" ref="DU45:DZ45" si="53">((DU8/DT8)-1)</f>
        <v>2.4991708898282949E-2</v>
      </c>
      <c r="DV45" s="1043">
        <f t="shared" si="53"/>
        <v>5.1437934659606332E-2</v>
      </c>
      <c r="DW45" s="1043">
        <f t="shared" si="53"/>
        <v>1.3379448988928067E-2</v>
      </c>
      <c r="DX45" s="1043">
        <f t="shared" si="53"/>
        <v>1.7391217370778422E-2</v>
      </c>
      <c r="DY45" s="1045">
        <f t="shared" si="53"/>
        <v>1.5758662475470864E-2</v>
      </c>
      <c r="DZ45" s="1045">
        <f t="shared" si="53"/>
        <v>6.0533774532967044E-5</v>
      </c>
      <c r="EA45" s="1043"/>
      <c r="EH45" s="1012"/>
      <c r="EI45" s="1012"/>
      <c r="EJ45" s="1012"/>
    </row>
    <row r="46" spans="2:140" ht="12.75">
      <c r="B46" s="1033" t="s">
        <v>12</v>
      </c>
      <c r="C46" s="1824"/>
      <c r="D46" s="1043">
        <f>'qtrP&amp;L'!$U10/100</f>
        <v>0.27500000000000002</v>
      </c>
      <c r="E46" s="1043">
        <f>'qtrP&amp;L'!$U11/100</f>
        <v>0.19800000000000001</v>
      </c>
      <c r="F46" s="1043">
        <f>'qtrP&amp;L'!$U12/100</f>
        <v>0.26400000000000001</v>
      </c>
      <c r="G46" s="1043">
        <f>'qtrP&amp;L'!$U13/100</f>
        <v>0.14400000000000002</v>
      </c>
      <c r="H46" s="1043"/>
      <c r="I46" s="1054">
        <f>'qtrP&amp;L'!Y10/100</f>
        <v>3.9E-2</v>
      </c>
      <c r="J46" s="1054">
        <f>'qtrP&amp;L'!Y11/100</f>
        <v>-2.8999999999999998E-2</v>
      </c>
      <c r="K46" s="1054">
        <f>'qtrP&amp;L'!Y12/100</f>
        <v>6.8000000000000005E-2</v>
      </c>
      <c r="L46" s="1054">
        <f>'qtrP&amp;L'!Y13/100</f>
        <v>0.113</v>
      </c>
      <c r="M46" s="1055"/>
      <c r="N46" s="1054">
        <f>'qtrP&amp;L'!AD10/100</f>
        <v>8.199999999999999E-2</v>
      </c>
      <c r="O46" s="1054">
        <f>'qtrP&amp;L'!AD11/100</f>
        <v>4.5999999999999999E-2</v>
      </c>
      <c r="P46" s="1054">
        <f>'qtrP&amp;L'!AD12/100</f>
        <v>2.6000000000000002E-2</v>
      </c>
      <c r="Q46" s="1054">
        <f>'qtrP&amp;L'!AD13/100</f>
        <v>-2.1000000000000001E-2</v>
      </c>
      <c r="R46" s="1055"/>
      <c r="S46" s="1054">
        <f>'qtrP&amp;L'!AH10/100</f>
        <v>-6.0999999999999999E-2</v>
      </c>
      <c r="T46" s="1054">
        <f>'qtrP&amp;L'!AH11/100</f>
        <v>-5.5E-2</v>
      </c>
      <c r="U46" s="1054">
        <f>'qtrP&amp;L'!AH12/100</f>
        <v>-7.0000000000000007E-2</v>
      </c>
      <c r="V46" s="1054">
        <f>'qtrP&amp;L'!AH13/100</f>
        <v>-4.5999999999999999E-2</v>
      </c>
      <c r="W46" s="1055"/>
      <c r="X46" s="1054">
        <f>'qtrP&amp;L'!AL10/100</f>
        <v>-6.5000000000000002E-2</v>
      </c>
      <c r="Y46" s="1054">
        <f>'qtrP&amp;L'!AL11/100</f>
        <v>-5.5E-2</v>
      </c>
      <c r="Z46" s="1054">
        <f>'qtrP&amp;L'!AL12/100</f>
        <v>-0.10300000000000001</v>
      </c>
      <c r="AA46" s="1054">
        <f>'qtrP&amp;L'!AL13/100</f>
        <v>-4.7E-2</v>
      </c>
      <c r="AB46" s="1055"/>
      <c r="AC46" s="1054">
        <f>+'qtrP&amp;L'!$AP$10/100</f>
        <v>9.3000000000000013E-2</v>
      </c>
      <c r="AD46" s="1054">
        <f>+'qtrP&amp;L'!$AP$11/100</f>
        <v>0.127</v>
      </c>
      <c r="AE46" s="1054">
        <f>+'qtrP&amp;L'!$AP$12/100</f>
        <v>0.249</v>
      </c>
      <c r="AF46" s="1054">
        <f>+'qtrP&amp;L'!$AP$13/100</f>
        <v>0.28600000000000003</v>
      </c>
      <c r="AG46" s="1055"/>
      <c r="AH46" s="1054">
        <f>+'qtrP&amp;L'!$AT$10/100</f>
        <v>0.27100000000000002</v>
      </c>
      <c r="AI46" s="1054">
        <f>+'qtrP&amp;L'!$AT$11/100</f>
        <v>0.21100000000000002</v>
      </c>
      <c r="AJ46" s="1054">
        <f>+'qtrP&amp;L'!$AT$12/100</f>
        <v>0.13600000000000001</v>
      </c>
      <c r="AK46" s="1054">
        <f>+'qtrP&amp;L'!$AT$13/100</f>
        <v>7.8E-2</v>
      </c>
      <c r="AL46" s="1055"/>
      <c r="AM46" s="1054">
        <f>'qtrP&amp;L'!AX10/100</f>
        <v>0.09</v>
      </c>
      <c r="AN46" s="1054">
        <f>+'qtrP&amp;L'!$AX$11/100</f>
        <v>0.1</v>
      </c>
      <c r="AO46" s="1054">
        <f>+'qtrP&amp;L'!$AX$12/100</f>
        <v>0.13</v>
      </c>
      <c r="AP46" s="1054">
        <f>+'qtrP&amp;L'!$AX$13/100</f>
        <v>0.14000000000000001</v>
      </c>
      <c r="AQ46" s="1055"/>
      <c r="AR46" s="1054">
        <f>'qtrP&amp;L'!BB10/100</f>
        <v>0.06</v>
      </c>
      <c r="AS46" s="1054">
        <f>+'qtrP&amp;L'!$BB$11/100</f>
        <v>0.02</v>
      </c>
      <c r="AT46" s="1054">
        <f>+'qtrP&amp;L'!$BB$12/100</f>
        <v>0.02</v>
      </c>
      <c r="AU46" s="1054">
        <f>+'qtrP&amp;L'!$BB$13/100</f>
        <v>-0.02</v>
      </c>
      <c r="AV46" s="1054"/>
      <c r="AW46" s="1054">
        <f>'qtrP&amp;L'!BF10/100</f>
        <v>-0.06</v>
      </c>
      <c r="AX46" s="1054">
        <f>'qtrP&amp;L'!BF11/100</f>
        <v>-0.09</v>
      </c>
      <c r="AY46" s="1054">
        <f>'qtrP&amp;L'!BF12/100</f>
        <v>-7.0000000000000007E-2</v>
      </c>
      <c r="AZ46" s="1054">
        <f>'qtrP&amp;L'!BF13/100</f>
        <v>-0.16</v>
      </c>
      <c r="BA46" s="1054"/>
      <c r="BB46" s="1054">
        <f>'qtrP&amp;L'!BJ10/100</f>
        <v>-0.1</v>
      </c>
      <c r="BC46" s="1054">
        <f>'qtrP&amp;L'!BJ11/100</f>
        <v>-0.1</v>
      </c>
      <c r="BD46" s="1054">
        <f>'qtrP&amp;L'!BJ12/100</f>
        <v>-0.04</v>
      </c>
      <c r="BE46" s="1054">
        <f>'qtrP&amp;L'!BJ13/100</f>
        <v>0.05</v>
      </c>
      <c r="BF46" s="1054"/>
      <c r="BG46" s="1054">
        <f>'qtrP&amp;L'!BN10/100</f>
        <v>0.05</v>
      </c>
      <c r="BH46" s="1054">
        <f>'qtrP&amp;L'!BN11/100</f>
        <v>-0.01</v>
      </c>
      <c r="BI46" s="1054">
        <f>'qtrP&amp;L'!BN12/100</f>
        <v>0.01</v>
      </c>
      <c r="BJ46" s="1054">
        <f>'qtrP&amp;L'!BN13/100</f>
        <v>-7.0000000000000007E-2</v>
      </c>
      <c r="BK46" s="1054"/>
      <c r="BL46" s="1053">
        <f>'qtrP&amp;L'!$BR$10/100</f>
        <v>-0.08</v>
      </c>
      <c r="BM46" s="1054">
        <f>'qtrP&amp;L'!BR11/100</f>
        <v>0.01</v>
      </c>
      <c r="BN46" s="1054">
        <f>'qtrP&amp;L'!BR12/100</f>
        <v>0.05</v>
      </c>
      <c r="BO46" s="1054">
        <f>'qtrP&amp;L'!BR13/100</f>
        <v>0.1</v>
      </c>
      <c r="BP46" s="1054"/>
      <c r="BQ46" s="1054">
        <f>'qtrP&amp;L'!$BV$10/100</f>
        <v>0.17</v>
      </c>
      <c r="BR46" s="1054">
        <f>'qtrP&amp;L'!BV11/100</f>
        <v>0.09</v>
      </c>
      <c r="BS46" s="1054">
        <f>'qtrP&amp;L'!BV12/100</f>
        <v>0.1</v>
      </c>
      <c r="BT46" s="1054">
        <f>'qtrP&amp;L'!BV13/100</f>
        <v>0.04</v>
      </c>
      <c r="BU46" s="1055"/>
      <c r="BV46" s="803">
        <f>'qtrP&amp;L'!BZ10/100</f>
        <v>-0.05</v>
      </c>
      <c r="BW46" s="803">
        <f>'qtrP&amp;L'!BZ11/100</f>
        <v>-7.0000000000000007E-2</v>
      </c>
      <c r="BX46" s="803">
        <f>'qtrP&amp;L'!BZ12/100</f>
        <v>-0.05</v>
      </c>
      <c r="BY46" s="803">
        <f>'qtrP&amp;L'!BZ13/100</f>
        <v>-7.0000000000000007E-2</v>
      </c>
      <c r="BZ46" s="1812"/>
      <c r="CA46" s="803">
        <f>'qtrP&amp;L'!CD10/100</f>
        <v>-0.1</v>
      </c>
      <c r="CB46" s="803">
        <f>'qtrP&amp;L'!CD11/100</f>
        <v>-7.0000000000000007E-2</v>
      </c>
      <c r="CC46" s="803">
        <f>'qtrP&amp;L'!CD12/100</f>
        <v>-0.05</v>
      </c>
      <c r="CD46" s="803">
        <f>'qtrP&amp;L'!CD13/100</f>
        <v>0</v>
      </c>
      <c r="CE46" s="1812"/>
      <c r="CF46" s="803">
        <f>'qtrP&amp;L'!CH10/100</f>
        <v>7.0000000000000007E-2</v>
      </c>
      <c r="CG46" s="803">
        <f>'qtrP&amp;L'!CH11/100</f>
        <v>0.11</v>
      </c>
      <c r="CH46" s="803">
        <f>'qtrP&amp;L'!CH12/100</f>
        <v>0.09</v>
      </c>
      <c r="CI46" s="803">
        <f>'qtrP&amp;L'!CH13/100</f>
        <v>0.04</v>
      </c>
      <c r="CJ46" s="1812"/>
      <c r="CK46" s="803">
        <f>'qtrP&amp;L'!CL10/100</f>
        <v>0.06</v>
      </c>
      <c r="CL46" s="803">
        <f>'qtrP&amp;L'!CL11/100</f>
        <v>0.03</v>
      </c>
      <c r="CM46" s="803">
        <f>'qtrP&amp;L'!CL12/100</f>
        <v>0.02</v>
      </c>
      <c r="CN46" s="803">
        <f>'qtrP&amp;L'!CL13/100</f>
        <v>4.0000000000000001E-3</v>
      </c>
      <c r="CO46" s="1055"/>
      <c r="CP46" s="803">
        <f>'qtrP&amp;L'!CP10/100</f>
        <v>0.02</v>
      </c>
      <c r="CQ46" s="803">
        <f>'qtrP&amp;L'!CP11/100</f>
        <v>0.02</v>
      </c>
      <c r="CR46" s="803">
        <f>'qtrP&amp;L'!CP12/100</f>
        <v>0.03</v>
      </c>
      <c r="CS46" s="803">
        <f>'qtrP&amp;L'!CP13/100</f>
        <v>0.08</v>
      </c>
      <c r="CT46" s="803"/>
      <c r="CU46" s="803">
        <f>'qtrP&amp;L'!CT10/100</f>
        <v>0.05</v>
      </c>
      <c r="CV46" s="803">
        <f>'qtrP&amp;L'!CT11/100</f>
        <v>0.03</v>
      </c>
      <c r="CW46" s="803">
        <f>'qtrP&amp;L'!CT12/100</f>
        <v>0.03</v>
      </c>
      <c r="CX46" s="803">
        <f>'qtrP&amp;L'!CT13/100</f>
        <v>-0.02</v>
      </c>
      <c r="CY46" s="1055"/>
      <c r="CZ46" s="1043">
        <f>yrSales!D43</f>
        <v>-1.8000000000000002E-2</v>
      </c>
      <c r="DA46" s="1043">
        <f>yrSales!E43</f>
        <v>0.151</v>
      </c>
      <c r="DB46" s="1043">
        <f>yrSales!F43</f>
        <v>0.32100000000000001</v>
      </c>
      <c r="DC46" s="1054">
        <f>yrSales!G143</f>
        <v>0.20899565631219172</v>
      </c>
      <c r="DD46" s="1054">
        <f>yrSales!H143</f>
        <v>5.7999999999999996E-2</v>
      </c>
      <c r="DE46" s="1054">
        <f>yrSales!I143</f>
        <v>2.3E-2</v>
      </c>
      <c r="DF46" s="1054">
        <f>yrSales!J143</f>
        <v>-5.7000000000000002E-2</v>
      </c>
      <c r="DG46" s="1054">
        <f>yrSales!K143</f>
        <v>-6.6115349058494643E-2</v>
      </c>
      <c r="DH46" s="1054">
        <f>yrSales!L143</f>
        <v>0.214</v>
      </c>
      <c r="DI46" s="1054">
        <f>yrSales!M143</f>
        <v>0.155</v>
      </c>
      <c r="DJ46" s="1056">
        <f>yrSales!N143</f>
        <v>0.12</v>
      </c>
      <c r="DK46" s="1057">
        <f>yrSales!O143</f>
        <v>0.01</v>
      </c>
      <c r="DL46" s="1056">
        <f>yrSales!P143</f>
        <v>-0.1</v>
      </c>
      <c r="DM46" s="803">
        <f>yrSales!Q143</f>
        <v>-0.04</v>
      </c>
      <c r="DN46" s="1052"/>
      <c r="DO46" s="1056">
        <f>yrSales!R143</f>
        <v>-0.01</v>
      </c>
      <c r="DP46" s="803">
        <f>yrSales!S143</f>
        <v>0.04</v>
      </c>
      <c r="DQ46" s="803">
        <f>yrSales!T143</f>
        <v>0.09</v>
      </c>
      <c r="DR46" s="1056">
        <f>yrSales!U143</f>
        <v>-0.06</v>
      </c>
      <c r="DS46" s="1058">
        <f>yrSales!V43</f>
        <v>-0.05</v>
      </c>
      <c r="DT46" s="803">
        <f>yrSales!W43</f>
        <v>7.0000000000000007E-2</v>
      </c>
      <c r="DU46" s="803">
        <f>yrSales!X43</f>
        <v>0.03</v>
      </c>
      <c r="DV46" s="1054">
        <f>yrSales!Y43</f>
        <v>0.04</v>
      </c>
      <c r="DW46" s="1054">
        <f>yrSales!Z43</f>
        <v>2.0712879278911158E-2</v>
      </c>
      <c r="DX46" s="1054">
        <f>yrSales!AA43</f>
        <v>0.01</v>
      </c>
      <c r="DY46" s="1059">
        <f>yrSales!AB43</f>
        <v>0.01</v>
      </c>
      <c r="DZ46" s="2129">
        <f>yrSales!AC43</f>
        <v>0</v>
      </c>
      <c r="EA46" s="1054"/>
      <c r="EH46" s="1012"/>
      <c r="EI46" s="1012"/>
      <c r="EJ46" s="1012"/>
    </row>
    <row r="47" spans="2:140" ht="12.75">
      <c r="B47" s="1033" t="s">
        <v>13</v>
      </c>
      <c r="C47" s="1036"/>
      <c r="D47" s="1043">
        <f>'qtrP&amp;L'!$U30/100</f>
        <v>0.41509362010448841</v>
      </c>
      <c r="E47" s="1043">
        <f>'qtrP&amp;L'!$U31/100</f>
        <v>0.3433075325656032</v>
      </c>
      <c r="F47" s="1043">
        <f>'qtrP&amp;L'!$U32/100</f>
        <v>0.48422041673575422</v>
      </c>
      <c r="G47" s="1043">
        <f>'qtrP&amp;L'!$U33/100</f>
        <v>0.37240236474381933</v>
      </c>
      <c r="H47" s="1043"/>
      <c r="I47" s="1043">
        <f>((I13/D13)-1)</f>
        <v>0.25867737415112657</v>
      </c>
      <c r="J47" s="1043">
        <f>((J13/E13)-1)</f>
        <v>0.28864216616307115</v>
      </c>
      <c r="K47" s="1043">
        <f>((K13/F13)-1)</f>
        <v>0.25947717286065397</v>
      </c>
      <c r="L47" s="1043">
        <f>((L13/G13)-1)</f>
        <v>0.58448911660085501</v>
      </c>
      <c r="M47" s="1042"/>
      <c r="N47" s="1043">
        <f>((N13/I13)-1)</f>
        <v>0.49046181514548137</v>
      </c>
      <c r="O47" s="1043">
        <f>((O13/J13)-1)</f>
        <v>0.36840191944161704</v>
      </c>
      <c r="P47" s="1043">
        <f>((P13/K13)-1)</f>
        <v>0.30994618887114878</v>
      </c>
      <c r="Q47" s="1043">
        <f>((Q13/L13)-1)</f>
        <v>8.6543709516306633E-2</v>
      </c>
      <c r="R47" s="1042"/>
      <c r="S47" s="1043">
        <f>((S13/N13)-1)</f>
        <v>0.12244487538605187</v>
      </c>
      <c r="T47" s="1043">
        <f>((T13/O13)-1)</f>
        <v>7.7971414908878156E-2</v>
      </c>
      <c r="U47" s="1043">
        <f>((U13/P13)-1)</f>
        <v>1.3937478839860074E-2</v>
      </c>
      <c r="V47" s="1043">
        <f>((V13/Q13)-1)</f>
        <v>-3.6934537631147402E-2</v>
      </c>
      <c r="W47" s="1042"/>
      <c r="X47" s="1043">
        <f>((X13/S13)-1)</f>
        <v>6.0366782272616826E-2</v>
      </c>
      <c r="Y47" s="1043">
        <f>((Y13/T13)-1)</f>
        <v>4.5247307588042407E-2</v>
      </c>
      <c r="Z47" s="1043">
        <f>((Z13/U13)-1)</f>
        <v>9.8914797707162272E-2</v>
      </c>
      <c r="AA47" s="1043">
        <f>((AA13/V13)-1)</f>
        <v>4.1017969964768586E-2</v>
      </c>
      <c r="AB47" s="1042"/>
      <c r="AC47" s="1043">
        <f>((AC13/X13)-1)</f>
        <v>8.4411509124263873E-2</v>
      </c>
      <c r="AD47" s="1043">
        <f>((AD13/Y13)-1)</f>
        <v>0.11936198806969567</v>
      </c>
      <c r="AE47" s="1043">
        <f>((AE13/Z13)-1)</f>
        <v>0.21178543937122707</v>
      </c>
      <c r="AF47" s="1043">
        <f>((AF13/AA13)-1)</f>
        <v>0.34603240626949772</v>
      </c>
      <c r="AG47" s="1042"/>
      <c r="AH47" s="1043">
        <f>((AH13/AC13)-1)</f>
        <v>0.30316082359488039</v>
      </c>
      <c r="AI47" s="1043">
        <f>((AI13/AD13)-1)</f>
        <v>0.30355657128413616</v>
      </c>
      <c r="AJ47" s="1043">
        <f>((AJ13/AE13)-1)</f>
        <v>0.15162735494224422</v>
      </c>
      <c r="AK47" s="1043">
        <f>((AK13/AF13)-1)</f>
        <v>0.1532173106906578</v>
      </c>
      <c r="AL47" s="1042"/>
      <c r="AM47" s="1043">
        <f>((AM13/AH13)-1)</f>
        <v>0.15014219952343955</v>
      </c>
      <c r="AN47" s="1043">
        <f>((AN13/AI13)-1)</f>
        <v>0.15348942427327228</v>
      </c>
      <c r="AO47" s="1043">
        <f>((AO13/AJ13)-1)</f>
        <v>0.23695230906570486</v>
      </c>
      <c r="AP47" s="1043">
        <f>((AP13/AK13)-1)</f>
        <v>0.32601917150826432</v>
      </c>
      <c r="AQ47" s="1042"/>
      <c r="AR47" s="1043">
        <f>((AR13/AM13)-1)</f>
        <v>0.16573970252990655</v>
      </c>
      <c r="AS47" s="1043">
        <f>((AS13/AN13)-1)</f>
        <v>0.16539657635951022</v>
      </c>
      <c r="AT47" s="1043">
        <f>((AT13/AO13)-1)</f>
        <v>2.1885689809952424E-2</v>
      </c>
      <c r="AU47" s="1043">
        <f>((AU13/AP13)-1)</f>
        <v>-4.1793923806465738E-4</v>
      </c>
      <c r="AV47" s="1043"/>
      <c r="AW47" s="1043">
        <f>((AW13/AR13)-1)</f>
        <v>8.0572524189592931E-2</v>
      </c>
      <c r="AX47" s="1043">
        <f>((AX13/AS13)-1)</f>
        <v>9.0873030182827552E-3</v>
      </c>
      <c r="AY47" s="1043">
        <f>((AY13/AT13)-1)</f>
        <v>4.3373660004248915E-2</v>
      </c>
      <c r="AZ47" s="1043">
        <f>((AZ13/AU13)-1)</f>
        <v>-1.3113157265993935E-2</v>
      </c>
      <c r="BA47" s="1043"/>
      <c r="BB47" s="1043">
        <f>((BB13/AW13)-1)</f>
        <v>-0.10522406536271356</v>
      </c>
      <c r="BC47" s="1043">
        <f>((BC13/AX13)-1)</f>
        <v>-4.1930219538052871E-2</v>
      </c>
      <c r="BD47" s="1043">
        <f>((BD13/AY13)-1)</f>
        <v>1.7791596731145054E-2</v>
      </c>
      <c r="BE47" s="1043">
        <f>((BE13/AZ13)-1)</f>
        <v>6.0030727687508723E-2</v>
      </c>
      <c r="BF47" s="1043"/>
      <c r="BG47" s="1043">
        <f>((BG13/BB13)-1)</f>
        <v>0.10066013123567075</v>
      </c>
      <c r="BH47" s="1043">
        <f>((BH13/BC13)-1)</f>
        <v>1.792263984383724E-2</v>
      </c>
      <c r="BI47" s="1043">
        <f>((BI13/BD13)-1)</f>
        <v>-1.8421394121590828E-2</v>
      </c>
      <c r="BJ47" s="1043">
        <f>((BJ13/BE13)-1)</f>
        <v>-0.16298466295391867</v>
      </c>
      <c r="BK47" s="1043"/>
      <c r="BL47" s="1044">
        <f>((BL13/BG13)-1)</f>
        <v>-7.0720130247146296E-2</v>
      </c>
      <c r="BM47" s="1043">
        <f>((BM13/BH13)-1)</f>
        <v>-3.8353253003217125E-3</v>
      </c>
      <c r="BN47" s="1043">
        <f>((BN13/BI13)-1)</f>
        <v>2.2837816250874443E-2</v>
      </c>
      <c r="BO47" s="1043">
        <f>((BO13/BJ13)-1)</f>
        <v>9.4241112422930762E-2</v>
      </c>
      <c r="BP47" s="1043"/>
      <c r="BQ47" s="1043">
        <f>((BQ13/BL13)-1)</f>
        <v>0.14999484708731603</v>
      </c>
      <c r="BR47" s="1043">
        <f>((BR13/BM13)-1)</f>
        <v>8.9784382605923474E-2</v>
      </c>
      <c r="BS47" s="1043">
        <f>((BS13/BN13)-1)</f>
        <v>0.18009338295087951</v>
      </c>
      <c r="BT47" s="1043">
        <f>((BT13/BO13)-1)</f>
        <v>0.21384899417363989</v>
      </c>
      <c r="BU47" s="1042"/>
      <c r="BV47" s="1043">
        <f>((BV13/BQ13)-1)</f>
        <v>1.2333439752659325E-2</v>
      </c>
      <c r="BW47" s="1043">
        <f>((BW13/BR13)-1)</f>
        <v>4.8256618548813579E-2</v>
      </c>
      <c r="BX47" s="1043">
        <f>((BX13/BS13)-1)</f>
        <v>-6.1165163739914541E-2</v>
      </c>
      <c r="BY47" s="1043">
        <f>((BY13/BT13)-1)</f>
        <v>-0.14722474617785331</v>
      </c>
      <c r="BZ47" s="1042"/>
      <c r="CA47" s="1043">
        <f>((CA13/BV13)-1)</f>
        <v>2.3885006722326407E-2</v>
      </c>
      <c r="CB47" s="1043">
        <f>((CB13/BW13)-1)</f>
        <v>2.0082002404258947E-2</v>
      </c>
      <c r="CC47" s="1043">
        <f>((CC13/BX13)-1)</f>
        <v>-5.269170008506463E-3</v>
      </c>
      <c r="CD47" s="1043">
        <f>((CD13/BY13)-1)</f>
        <v>5.0300422026933855E-2</v>
      </c>
      <c r="CE47" s="1042"/>
      <c r="CF47" s="1043">
        <f>((CF13/CA13)-1)</f>
        <v>1.7832247187365979E-4</v>
      </c>
      <c r="CG47" s="1043">
        <f>((CG13/CB13)-1)</f>
        <v>3.005608223992251E-2</v>
      </c>
      <c r="CH47" s="1043">
        <f>((CH13/CC13)-1)</f>
        <v>7.8952898001866778E-2</v>
      </c>
      <c r="CI47" s="1043">
        <f>((CI13/CD13)-1)</f>
        <v>2.7783046122767718E-2</v>
      </c>
      <c r="CJ47" s="1042"/>
      <c r="CK47" s="1043">
        <f>((CK13/CF13)-1)</f>
        <v>5.8900756924971986E-2</v>
      </c>
      <c r="CL47" s="1043">
        <f>((CL13/CG13)-1)</f>
        <v>1.912753905950737E-2</v>
      </c>
      <c r="CM47" s="1043">
        <f>((CM13/CH13)-1)</f>
        <v>-4.0127175064991194E-3</v>
      </c>
      <c r="CN47" s="1043">
        <f>((CN13/CI13)-1)</f>
        <v>3.8790661745772947E-2</v>
      </c>
      <c r="CO47" s="1042"/>
      <c r="CP47" s="1043">
        <f>((CP13/CK13)-1)</f>
        <v>-5.1736541611179243E-3</v>
      </c>
      <c r="CQ47" s="1043">
        <f>((CQ13/CL13)-1)</f>
        <v>2.0953612380723241E-2</v>
      </c>
      <c r="CR47" s="1043">
        <f>((CR13/CM13)-1)</f>
        <v>-1.2577758376077774E-2</v>
      </c>
      <c r="CS47" s="1043">
        <f>((CS13/CN13)-1)</f>
        <v>8.9994588096290684E-2</v>
      </c>
      <c r="CT47" s="1043"/>
      <c r="CU47" s="1043">
        <f>((CU13/CP13)-1)</f>
        <v>4.0530275640101587E-2</v>
      </c>
      <c r="CV47" s="1043">
        <f>((CV13/CQ13)-1)</f>
        <v>3.3479513081607681E-2</v>
      </c>
      <c r="CW47" s="1043">
        <f>((CW13/CR13)-1)</f>
        <v>3.9336714219775137E-2</v>
      </c>
      <c r="CX47" s="1043">
        <f>((CX13/CS13)-1)</f>
        <v>-2.75487081417779E-2</v>
      </c>
      <c r="CY47" s="1042"/>
      <c r="CZ47" s="1060">
        <f>sumry!CZ13/'yrP&amp;L'!B19-1</f>
        <v>1.3679410733076214E-2</v>
      </c>
      <c r="DA47" s="1060">
        <f>sumry!DA13/'yrP&amp;L'!C19-1</f>
        <v>0.17562343395776159</v>
      </c>
      <c r="DB47" s="1060">
        <f>sumry!DB13/'yrP&amp;L'!D19-1</f>
        <v>0.40919932202701759</v>
      </c>
      <c r="DC47" s="1043">
        <f t="shared" ref="DC47:DI47" si="54">((DC13/DB13)-1)</f>
        <v>0.40294712885406225</v>
      </c>
      <c r="DD47" s="1043">
        <f t="shared" si="54"/>
        <v>0.36797145717292579</v>
      </c>
      <c r="DE47" s="1043">
        <f t="shared" si="54"/>
        <v>0.27224419643192177</v>
      </c>
      <c r="DF47" s="1043">
        <f t="shared" si="54"/>
        <v>3.4605627986549647E-2</v>
      </c>
      <c r="DG47" s="1043">
        <f t="shared" si="54"/>
        <v>1.5706253991424113E-2</v>
      </c>
      <c r="DH47" s="1043">
        <f t="shared" si="54"/>
        <v>0.265299878459893</v>
      </c>
      <c r="DI47" s="1043">
        <f t="shared" si="54"/>
        <v>0.19866807756385096</v>
      </c>
      <c r="DJ47" s="1044">
        <f t="shared" ref="DJ47:DT47" si="55">((DJ13/DI13)-1)</f>
        <v>0.23184819703441595</v>
      </c>
      <c r="DK47" s="1045">
        <f t="shared" si="55"/>
        <v>7.4477882594383704E-2</v>
      </c>
      <c r="DL47" s="1044">
        <f t="shared" si="55"/>
        <v>2.6372381778013709E-2</v>
      </c>
      <c r="DM47" s="1043">
        <f t="shared" si="55"/>
        <v>-1.1938025260169294E-2</v>
      </c>
      <c r="DN47" s="1040"/>
      <c r="DO47" s="1044">
        <f>((DO13/DM13)-1)</f>
        <v>-3.0821285079652316E-2</v>
      </c>
      <c r="DP47" s="1043">
        <f>((DP13/DO13)-1)</f>
        <v>1.3746863103265783E-2</v>
      </c>
      <c r="DQ47" s="1043">
        <f t="shared" si="55"/>
        <v>0.16274223357989959</v>
      </c>
      <c r="DR47" s="1044">
        <f t="shared" si="55"/>
        <v>-4.814405802873678E-2</v>
      </c>
      <c r="DS47" s="1043">
        <f t="shared" si="55"/>
        <v>2.2611628511471915E-2</v>
      </c>
      <c r="DT47" s="1043">
        <f t="shared" si="55"/>
        <v>3.4968468613685522E-2</v>
      </c>
      <c r="DU47" s="1043">
        <f t="shared" ref="DU47:DZ47" si="56">((DU13/DT13)-1)</f>
        <v>2.7315203066970106E-2</v>
      </c>
      <c r="DV47" s="1043">
        <f t="shared" si="56"/>
        <v>2.5871720116618091E-2</v>
      </c>
      <c r="DW47" s="1043">
        <f t="shared" si="56"/>
        <v>1.8183980543255318E-2</v>
      </c>
      <c r="DX47" s="1043">
        <f t="shared" si="56"/>
        <v>1.9722693998431184E-2</v>
      </c>
      <c r="DY47" s="1045">
        <f t="shared" si="56"/>
        <v>2.1851473647131803E-2</v>
      </c>
      <c r="DZ47" s="1045">
        <f t="shared" si="56"/>
        <v>6.8752563215483953E-3</v>
      </c>
      <c r="EA47" s="1043"/>
      <c r="EH47" s="1012"/>
      <c r="EI47" s="1012"/>
      <c r="EJ47" s="1012"/>
    </row>
    <row r="48" spans="2:140" ht="12.75">
      <c r="B48" s="1033" t="s">
        <v>14</v>
      </c>
      <c r="C48" s="1036"/>
      <c r="D48" s="1043">
        <f>'qtrP&amp;L'!$U70/100</f>
        <v>1.1548952211996881</v>
      </c>
      <c r="E48" s="1043">
        <f>'qtrP&amp;L'!$U71/100</f>
        <v>0.78607619924985328</v>
      </c>
      <c r="F48" s="1043">
        <f>'qtrP&amp;L'!$U72/100</f>
        <v>0.76276480173818495</v>
      </c>
      <c r="G48" s="1043">
        <f>'qtrP&amp;L'!$U73/100</f>
        <v>0.57057307645109834</v>
      </c>
      <c r="H48" s="1043"/>
      <c r="I48" s="1043">
        <f>((I17/D17)-1)</f>
        <v>-1.9397993311037087E-2</v>
      </c>
      <c r="J48" s="1043">
        <f>((J17/E17)-1)</f>
        <v>-0.86655859706001526</v>
      </c>
      <c r="K48" s="1043">
        <f>((K17/F17)-1)</f>
        <v>0.19985620008730676</v>
      </c>
      <c r="L48" s="1043">
        <f>((L17/G17)-1)</f>
        <v>0.20552247902114229</v>
      </c>
      <c r="M48" s="1042"/>
      <c r="N48" s="1043">
        <f>((N17/I17)-1)</f>
        <v>0.2675516843320398</v>
      </c>
      <c r="O48" s="1043">
        <f>((O17/J17)-1)</f>
        <v>5.3097736057426745</v>
      </c>
      <c r="P48" s="1043">
        <f>((P17/K17)-1)</f>
        <v>5.9923811154389162E-2</v>
      </c>
      <c r="Q48" s="1043">
        <f>((Q17/L17)-1)</f>
        <v>-9.3447404238770293E-2</v>
      </c>
      <c r="R48" s="1042"/>
      <c r="S48" s="1043">
        <f>((S17/N17)-1)</f>
        <v>-0.17531150391191064</v>
      </c>
      <c r="T48" s="1043">
        <f>((T17/O17)-1)</f>
        <v>-0.29596569528310157</v>
      </c>
      <c r="U48" s="1043">
        <f>((U17/P17)-1)</f>
        <v>-0.12135040180914969</v>
      </c>
      <c r="V48" s="1043">
        <f>((V17/Q17)-1)</f>
        <v>-0.11980954015099643</v>
      </c>
      <c r="W48" s="1042"/>
      <c r="X48" s="1043">
        <f>((X17/S17)-1)</f>
        <v>-0.51229796205200218</v>
      </c>
      <c r="Y48" s="1043">
        <f>((Y17/T17)-1)</f>
        <v>-0.21690490988191402</v>
      </c>
      <c r="Z48" s="1043">
        <f>((Z17/U17)-1)</f>
        <v>-0.51365015166835215</v>
      </c>
      <c r="AA48" s="1043">
        <f>((AA17/V17)-1)</f>
        <v>0.12568838637360558</v>
      </c>
      <c r="AB48" s="1042"/>
      <c r="AC48" s="1043">
        <f>((AC17/X17)-1)</f>
        <v>3.4391724989707706</v>
      </c>
      <c r="AD48" s="1043">
        <f>((AD17/Y17)-1)</f>
        <v>3.0489682539682539</v>
      </c>
      <c r="AE48" s="1043">
        <f>((AE17/Z17)-1)</f>
        <v>3.5771593271593245</v>
      </c>
      <c r="AF48" s="1043">
        <f>((AF17/AA17)-1)</f>
        <v>1.4776604034981391</v>
      </c>
      <c r="AG48" s="1042"/>
      <c r="AH48" s="1043">
        <f>((AH17/AC17)-1)</f>
        <v>1.0163919222832742</v>
      </c>
      <c r="AI48" s="1043">
        <f>((AI17/AD17)-1)</f>
        <v>0.67836211458925599</v>
      </c>
      <c r="AJ48" s="1043">
        <f>((AJ17/AE17)-1)</f>
        <v>0.16482745093991036</v>
      </c>
      <c r="AK48" s="1043">
        <f>((AK17/AF17)-1)</f>
        <v>9.138723374513269E-3</v>
      </c>
      <c r="AL48" s="1042"/>
      <c r="AM48" s="1043">
        <f>((AM17/AH17)-1)</f>
        <v>0.12989685980061871</v>
      </c>
      <c r="AN48" s="1043">
        <f>((AN17/AI17)-1)</f>
        <v>0.27593576642335704</v>
      </c>
      <c r="AO48" s="1043">
        <f>((AO17/AJ17)-1)</f>
        <v>0.35150392598238089</v>
      </c>
      <c r="AP48" s="1043">
        <f>((AP17/AK17)-1)</f>
        <v>0.30887242000277015</v>
      </c>
      <c r="AQ48" s="1042"/>
      <c r="AR48" s="1043">
        <f>((AR17/AM17)-1)</f>
        <v>0.18034722080882482</v>
      </c>
      <c r="AS48" s="1043">
        <f>((AS17/AN17)-1)</f>
        <v>0.1229634240105435</v>
      </c>
      <c r="AT48" s="1043">
        <f>((AT17/AO17)-1)</f>
        <v>-1.0570422489032616E-2</v>
      </c>
      <c r="AU48" s="1043">
        <f>((AU17/AP17)-1)</f>
        <v>-7.7514662433302739E-2</v>
      </c>
      <c r="AV48" s="1043"/>
      <c r="AW48" s="1043">
        <f>((AW17/AR17)-1)</f>
        <v>-0.44408904369417479</v>
      </c>
      <c r="AX48" s="1043">
        <f>((AX17/AS17)-1)</f>
        <v>-0.27109042596547195</v>
      </c>
      <c r="AY48" s="1043">
        <f>((AY17/AT17)-1)</f>
        <v>-0.37118676643095305</v>
      </c>
      <c r="AZ48" s="1043">
        <f>((AZ17/AU17)-1)</f>
        <v>-0.7129287926880572</v>
      </c>
      <c r="BA48" s="1043"/>
      <c r="BB48" s="1043">
        <f>((BB17/AW17)-1)</f>
        <v>-0.39783495401603652</v>
      </c>
      <c r="BC48" s="1043">
        <f>((BC17/AX17)-1)</f>
        <v>-0.33343397407941711</v>
      </c>
      <c r="BD48" s="1043">
        <f>((BD17/AY17)-1)</f>
        <v>-0.10863081122669427</v>
      </c>
      <c r="BE48" s="1043">
        <f>((BE17/AZ17)-1)</f>
        <v>1.1211596423159551</v>
      </c>
      <c r="BF48" s="1043"/>
      <c r="BG48" s="1043">
        <f>((BG17/BB17)-1)</f>
        <v>0.45779998454683568</v>
      </c>
      <c r="BH48" s="1043">
        <f>((BH17/BC17)-1)</f>
        <v>-0.30181683973896556</v>
      </c>
      <c r="BI48" s="1043">
        <f>((BI17/BD17)-1)</f>
        <v>0.16282781942440949</v>
      </c>
      <c r="BJ48" s="1043">
        <f>((BJ17/BE17)-1)</f>
        <v>0.12250239437283228</v>
      </c>
      <c r="BK48" s="1043"/>
      <c r="BL48" s="1044">
        <f>((BL17/BG17)-1)</f>
        <v>-0.22032790360764498</v>
      </c>
      <c r="BM48" s="1043">
        <f>((BM17/BH17)-1)</f>
        <v>-8.5299629967802826E-2</v>
      </c>
      <c r="BN48" s="1043">
        <f>((BN17/BI17)-1)</f>
        <v>-6.2962021455081674E-2</v>
      </c>
      <c r="BO48" s="1043">
        <f>((BO17/BJ17)-1)</f>
        <v>-0.16287959850783151</v>
      </c>
      <c r="BP48" s="1043"/>
      <c r="BQ48" s="1043">
        <f>((BQ17/BL17)-1)</f>
        <v>0.45720695202918549</v>
      </c>
      <c r="BR48" s="1043">
        <f>((BR17/BM17)-1)</f>
        <v>0.75667227067353071</v>
      </c>
      <c r="BS48" s="1043">
        <f>((BS17/BN17)-1)</f>
        <v>0.39486506136533972</v>
      </c>
      <c r="BT48" s="1043">
        <f>((BT17/BO17)-1)</f>
        <v>0.48209228301461193</v>
      </c>
      <c r="BU48" s="1042"/>
      <c r="BV48" s="1043">
        <f>((BV17/BQ17)-1)</f>
        <v>-0.10804254525098111</v>
      </c>
      <c r="BW48" s="1043">
        <f>((BW17/BR17)-1)</f>
        <v>-0.55998684072794691</v>
      </c>
      <c r="BX48" s="1043">
        <f>((BX17/BS17)-1)</f>
        <v>-0.52426074170887127</v>
      </c>
      <c r="BY48" s="1043">
        <f>((BY17/BT17)-1)</f>
        <v>-0.51651616103538878</v>
      </c>
      <c r="BZ48" s="1042"/>
      <c r="CA48" s="1043">
        <f>((CA17/BV17)-1)</f>
        <v>-0.85312064156206358</v>
      </c>
      <c r="CB48" s="1043">
        <f>((CB17/BW17)-1)</f>
        <v>-0.59058623619371176</v>
      </c>
      <c r="CC48" s="1043">
        <f>((CC17/BX17)-1)</f>
        <v>0.21505429094714801</v>
      </c>
      <c r="CD48" s="1043">
        <f>((CD17/BY17)-1)</f>
        <v>0.30825104056149533</v>
      </c>
      <c r="CE48" s="1042"/>
      <c r="CF48" s="1043">
        <f>((CF17/CA17)-1)</f>
        <v>3.9844510385756458</v>
      </c>
      <c r="CG48" s="1043">
        <f>((CG17/CB17)-1)</f>
        <v>3.4109736863949429</v>
      </c>
      <c r="CH48" s="1043">
        <f>((CH17/CC17)-1)</f>
        <v>0.46846022367872164</v>
      </c>
      <c r="CI48" s="1043">
        <f>((CI17/CD17)-1)</f>
        <v>3.0532038142767615E-2</v>
      </c>
      <c r="CJ48" s="1042"/>
      <c r="CK48" s="1043">
        <f>((CK17/CF17)-1)</f>
        <v>0.39724722579416327</v>
      </c>
      <c r="CL48" s="1043">
        <f>((CL17/CG17)-1)</f>
        <v>0.29206420896140384</v>
      </c>
      <c r="CM48" s="1043">
        <f>((CM17/CH17)-1)</f>
        <v>8.3923710716609534E-2</v>
      </c>
      <c r="CN48" s="1043">
        <f>((CN17/CI17)-1)</f>
        <v>-7.4336711750665252E-2</v>
      </c>
      <c r="CO48" s="1042"/>
      <c r="CP48" s="1043">
        <f>((CP17/CK17)-1)</f>
        <v>-0.27743881655191305</v>
      </c>
      <c r="CQ48" s="1043">
        <f>((CQ17/CL17)-1)</f>
        <v>-0.2669715550765388</v>
      </c>
      <c r="CR48" s="1043">
        <f>((CR17/CM17)-1)</f>
        <v>-3.0862109784557168E-2</v>
      </c>
      <c r="CS48" s="1043">
        <f>((CS17/CN17)-1)</f>
        <v>9.990657698056693E-2</v>
      </c>
      <c r="CT48" s="1043"/>
      <c r="CU48" s="1043">
        <f>((CU17/CP17)-1)</f>
        <v>0.24874859091069834</v>
      </c>
      <c r="CV48" s="1043">
        <f>((CV17/CQ17)-1)</f>
        <v>0.43062547410757879</v>
      </c>
      <c r="CW48" s="1043">
        <f>((CW17/CR17)-1)</f>
        <v>-0.13278303730439245</v>
      </c>
      <c r="CX48" s="1043">
        <f>((CX17/CS17)-1)</f>
        <v>-0.18772571188150622</v>
      </c>
      <c r="CY48" s="1042"/>
      <c r="CZ48" s="1060">
        <f>CZ17/'yrP&amp;L'!B33-1</f>
        <v>-9.2562907735317896</v>
      </c>
      <c r="DA48" s="1060">
        <f>DA17/'yrP&amp;L'!C33-1</f>
        <v>2.5128118297776383</v>
      </c>
      <c r="DB48" s="1060">
        <f>DB17/'yrP&amp;L'!D33-1</f>
        <v>1.7973329048843198</v>
      </c>
      <c r="DC48" s="1043">
        <f t="shared" ref="DC48:DI48" si="57">((DC17/DB17)-1)</f>
        <v>0.71750542772793602</v>
      </c>
      <c r="DD48" s="1043">
        <f t="shared" si="57"/>
        <v>-1.9817542169965119E-2</v>
      </c>
      <c r="DE48" s="1043">
        <f t="shared" si="57"/>
        <v>0.13593902463988861</v>
      </c>
      <c r="DF48" s="1043">
        <f t="shared" si="57"/>
        <v>-0.15250521105524695</v>
      </c>
      <c r="DG48" s="1043">
        <f t="shared" si="57"/>
        <v>-5.5385051564660337E-2</v>
      </c>
      <c r="DH48" s="1043">
        <f t="shared" si="57"/>
        <v>1.7085262360153388</v>
      </c>
      <c r="DI48" s="1043">
        <f t="shared" si="57"/>
        <v>0.27071928813634449</v>
      </c>
      <c r="DJ48" s="1044">
        <f t="shared" ref="DJ48:DT48" si="58">((DJ17/DI17)-1)</f>
        <v>0.27927419231766959</v>
      </c>
      <c r="DK48" s="1045">
        <f t="shared" si="58"/>
        <v>2.0392338643021812E-2</v>
      </c>
      <c r="DL48" s="1044">
        <f t="shared" si="58"/>
        <v>-0.4841963741430132</v>
      </c>
      <c r="DM48" s="1043">
        <f t="shared" si="58"/>
        <v>5.0252557958809785E-3</v>
      </c>
      <c r="DN48" s="1040"/>
      <c r="DO48" s="1044">
        <f>((DO17/DM17)-1)</f>
        <v>9.3944431557515085E-2</v>
      </c>
      <c r="DP48" s="1043">
        <f>((DP17/DO17)-1)</f>
        <v>-0.13400790925444006</v>
      </c>
      <c r="DQ48" s="1043">
        <f t="shared" si="58"/>
        <v>0.48656856510309532</v>
      </c>
      <c r="DR48" s="1044">
        <f t="shared" si="58"/>
        <v>-0.46535079291002202</v>
      </c>
      <c r="DS48" s="1043">
        <f t="shared" si="58"/>
        <v>-0.11434353980180223</v>
      </c>
      <c r="DT48" s="1043">
        <f t="shared" si="58"/>
        <v>0.54542599705292538</v>
      </c>
      <c r="DU48" s="1043">
        <f t="shared" ref="DU48:DZ48" si="59">((DU17/DT17)-1)</f>
        <v>0.10242278354383005</v>
      </c>
      <c r="DV48" s="1043">
        <f t="shared" si="59"/>
        <v>-7.8166871311781128E-2</v>
      </c>
      <c r="DW48" s="1043">
        <f t="shared" si="59"/>
        <v>-1.569433070589632E-2</v>
      </c>
      <c r="DX48" s="1043">
        <f t="shared" si="59"/>
        <v>1.6154513502633083E-3</v>
      </c>
      <c r="DY48" s="1045">
        <f t="shared" si="59"/>
        <v>-4.2532738179409502E-2</v>
      </c>
      <c r="DZ48" s="1045">
        <f t="shared" si="59"/>
        <v>-4.657441339629953E-2</v>
      </c>
      <c r="EA48" s="1043"/>
      <c r="EH48" s="1012"/>
      <c r="EI48" s="1012"/>
      <c r="EJ48" s="1012"/>
    </row>
    <row r="49" spans="2:140" ht="12.75">
      <c r="B49" s="1033" t="s">
        <v>15</v>
      </c>
      <c r="C49" s="1036"/>
      <c r="D49" s="1043">
        <f>'qtrP&amp;L'!$T167/100</f>
        <v>1.0676986767405401</v>
      </c>
      <c r="E49" s="1043">
        <f>'qtrP&amp;L'!$T168/100</f>
        <v>0.75343350413325938</v>
      </c>
      <c r="F49" s="1043">
        <f>'qtrP&amp;L'!$T169/100</f>
        <v>0.7184717220205511</v>
      </c>
      <c r="G49" s="1043">
        <f>'qtrP&amp;L'!$T170/100</f>
        <v>0.4595988036223857</v>
      </c>
      <c r="H49" s="1043"/>
      <c r="I49" s="1043">
        <f>((I26/D26)-1)</f>
        <v>2.4411059717245109E-2</v>
      </c>
      <c r="J49" s="1043">
        <f>((J26/E26)-1)</f>
        <v>-0.8323501542238807</v>
      </c>
      <c r="K49" s="1043">
        <f>((K26/F26)-1)</f>
        <v>0.2347242268795231</v>
      </c>
      <c r="L49" s="1043">
        <f>((L26/G26)-1)</f>
        <v>0.33784141851107363</v>
      </c>
      <c r="M49" s="1042"/>
      <c r="N49" s="1043">
        <f>((N26/I26)-1)</f>
        <v>0.21945993538756126</v>
      </c>
      <c r="O49" s="1043">
        <f>((O26/J26)-1)</f>
        <v>4.2737170542576051</v>
      </c>
      <c r="P49" s="1043">
        <f>((P26/K26)-1)</f>
        <v>2.3818847272494947E-2</v>
      </c>
      <c r="Q49" s="1043">
        <f>((Q26/L26)-1)</f>
        <v>-0.11670292171863172</v>
      </c>
      <c r="R49" s="1042"/>
      <c r="S49" s="1043">
        <f>((S26/N26)-1)</f>
        <v>-0.18172593244659196</v>
      </c>
      <c r="T49" s="1043">
        <f>((T26/O26)-1)</f>
        <v>-0.33109028423718567</v>
      </c>
      <c r="U49" s="1043">
        <f>((U26/P26)-1)</f>
        <v>-0.1062141144695512</v>
      </c>
      <c r="V49" s="1043">
        <f>((V26/Q26)-1)</f>
        <v>-9.5747643917720282E-2</v>
      </c>
      <c r="W49" s="1042"/>
      <c r="X49" s="1043">
        <f>((X26/S26)-1)</f>
        <v>-0.48449076088731613</v>
      </c>
      <c r="Y49" s="1043">
        <f>((Y26/T26)-1)</f>
        <v>-0.18434038992388313</v>
      </c>
      <c r="Z49" s="1043">
        <f>((Z26/U26)-1)</f>
        <v>-0.62475992770210764</v>
      </c>
      <c r="AA49" s="1043">
        <f>((AA26/V26)-1)</f>
        <v>9.7886193232730401E-2</v>
      </c>
      <c r="AB49" s="1042"/>
      <c r="AC49" s="1043">
        <f>((AC26/X26)-1)</f>
        <v>3.1596628115616623</v>
      </c>
      <c r="AD49" s="1043">
        <f>((AD26/Y26)-1)</f>
        <v>2.8033441986817929</v>
      </c>
      <c r="AE49" s="1043">
        <f>((AE26/Z26)-1)</f>
        <v>4.518720243195026</v>
      </c>
      <c r="AF49" s="1043">
        <f>((AF26/AA26)-1)</f>
        <v>1.353173951249115</v>
      </c>
      <c r="AG49" s="1042"/>
      <c r="AH49" s="1043">
        <f>((AH26/AC26)-1)</f>
        <v>0.91096092977323218</v>
      </c>
      <c r="AI49" s="1043">
        <f>((AI26/AD26)-1)</f>
        <v>0.72719950726593119</v>
      </c>
      <c r="AJ49" s="1043">
        <f>((AJ26/AE26)-1)</f>
        <v>0.21420303683351705</v>
      </c>
      <c r="AK49" s="1043">
        <f>((AK26/AF26)-1)</f>
        <v>1.4631286799678511E-2</v>
      </c>
      <c r="AL49" s="1042"/>
      <c r="AM49" s="1043">
        <f>((AM26/AH26)-1)</f>
        <v>0.19198810804801969</v>
      </c>
      <c r="AN49" s="1043">
        <f>((AN26/AI26)-1)</f>
        <v>0.2830010091389874</v>
      </c>
      <c r="AO49" s="1043">
        <f>((AO26/AJ26)-1)</f>
        <v>0.40969728915845383</v>
      </c>
      <c r="AP49" s="1043">
        <f>((AP26/AK26)-1)</f>
        <v>0.39688242071137481</v>
      </c>
      <c r="AQ49" s="1042"/>
      <c r="AR49" s="1043">
        <f>((AR26/AM26)-1)</f>
        <v>0.24314913966267149</v>
      </c>
      <c r="AS49" s="1043">
        <f>((AS26/AN26)-1)</f>
        <v>0.16464012751383339</v>
      </c>
      <c r="AT49" s="1043">
        <f>((AT26/AO26)-1)</f>
        <v>2.8235697636085577E-2</v>
      </c>
      <c r="AU49" s="1043">
        <f>((AU26/AP26)-1)</f>
        <v>-3.7331725070004484E-3</v>
      </c>
      <c r="AV49" s="1043"/>
      <c r="AW49" s="1043">
        <f>((AW26/AR26)-1)</f>
        <v>-0.39598810306909837</v>
      </c>
      <c r="AX49" s="1043">
        <f>((AX26/AS26)-1)</f>
        <v>-0.21293009545996122</v>
      </c>
      <c r="AY49" s="1043">
        <f>((AY26/AT26)-1)</f>
        <v>-0.33662844471253028</v>
      </c>
      <c r="AZ49" s="1043">
        <f>((AZ26/AU26)-1)</f>
        <v>-0.7141647673980156</v>
      </c>
      <c r="BA49" s="1043"/>
      <c r="BB49" s="1043">
        <f>((BB26/AW26)-1)</f>
        <v>-0.46130662362216468</v>
      </c>
      <c r="BC49" s="1043">
        <f>((BC26/AX26)-1)</f>
        <v>-0.39009412726021075</v>
      </c>
      <c r="BD49" s="1043">
        <f>((BD26/AY26)-1)</f>
        <v>7.640878632160808E-2</v>
      </c>
      <c r="BE49" s="1043">
        <f>((BE26/AZ26)-1)</f>
        <v>1.0145043591951541</v>
      </c>
      <c r="BF49" s="1043"/>
      <c r="BG49" s="1043">
        <f>((BG26/BB26)-1)</f>
        <v>0.58070537636234776</v>
      </c>
      <c r="BH49" s="1043">
        <f>((BH26/BC26)-1)</f>
        <v>-0.21651160088835042</v>
      </c>
      <c r="BI49" s="1043">
        <f>((BI26/BD26)-1)</f>
        <v>-3.7158188872451148E-2</v>
      </c>
      <c r="BJ49" s="1043">
        <f>((BJ26/BE26)-1)</f>
        <v>0.24414512336839445</v>
      </c>
      <c r="BK49" s="1043"/>
      <c r="BL49" s="1044">
        <f>((BL26/BG26)-1)</f>
        <v>-9.7572973019096176E-2</v>
      </c>
      <c r="BM49" s="1043">
        <f>((BM26/BH26)-1)</f>
        <v>-7.3585823109369564E-2</v>
      </c>
      <c r="BN49" s="1043">
        <f>((BN26/BI26)-1)</f>
        <v>-5.3613272016077351E-2</v>
      </c>
      <c r="BO49" s="1043">
        <f>((BO26/BJ26)-1)</f>
        <v>-0.17915747138820814</v>
      </c>
      <c r="BP49" s="1043"/>
      <c r="BQ49" s="1043">
        <f>((BQ26/BL26)-1)</f>
        <v>0.37732775832009202</v>
      </c>
      <c r="BR49" s="1043">
        <f>((BR26/BM26)-1)</f>
        <v>0.63228257736434346</v>
      </c>
      <c r="BS49" s="1043">
        <f>((BS26/BN26)-1)</f>
        <v>0.38046288668564987</v>
      </c>
      <c r="BT49" s="1043">
        <f>((BT26/BO26)-1)</f>
        <v>0.42293136727298908</v>
      </c>
      <c r="BU49" s="1042"/>
      <c r="BV49" s="1043">
        <f>((BV26/BQ26)-1)</f>
        <v>-0.19974111516067183</v>
      </c>
      <c r="BW49" s="1043">
        <f>((BW26/BR26)-1)</f>
        <v>-0.52006777915512548</v>
      </c>
      <c r="BX49" s="1043">
        <f>((BX26/BS26)-1)</f>
        <v>-0.53648571123502675</v>
      </c>
      <c r="BY49" s="1043">
        <f>((BY26/BT26)-1)</f>
        <v>-0.50343863413556877</v>
      </c>
      <c r="BZ49" s="1042"/>
      <c r="CA49" s="1043">
        <f>((CA26/BV26)-1)</f>
        <v>-0.88885642881150817</v>
      </c>
      <c r="CB49" s="1043">
        <f>((CB26/BW26)-1)</f>
        <v>-0.70149340735950472</v>
      </c>
      <c r="CC49" s="1043">
        <f>((CC26/BX26)-1)</f>
        <v>0.16695436719754198</v>
      </c>
      <c r="CD49" s="1043">
        <f>((CD26/BY26)-1)</f>
        <v>0.31364632925104408</v>
      </c>
      <c r="CE49" s="1042"/>
      <c r="CF49" s="1043">
        <f>((CF26/CA26)-1)</f>
        <v>6.4703224368181491</v>
      </c>
      <c r="CG49" s="1043">
        <f>((CG26/CB26)-1)</f>
        <v>4.6603769152686318</v>
      </c>
      <c r="CH49" s="1043">
        <f>((CH26/CC26)-1)</f>
        <v>0.58860264580870014</v>
      </c>
      <c r="CI49" s="1043">
        <f>((CI26/CD26)-1)</f>
        <v>0.17420705939734238</v>
      </c>
      <c r="CJ49" s="1042"/>
      <c r="CK49" s="1043">
        <f>((CK26/CF26)-1)</f>
        <v>0.49172576463193285</v>
      </c>
      <c r="CL49" s="1043">
        <f>((CL26/CG26)-1)</f>
        <v>0.34216154713942526</v>
      </c>
      <c r="CM49" s="1043">
        <f>((CM26/CH26)-1)</f>
        <v>0.16997845131492006</v>
      </c>
      <c r="CN49" s="1043">
        <f>((CN26/CI26)-1)</f>
        <v>-6.5990732937897922E-2</v>
      </c>
      <c r="CO49" s="1042"/>
      <c r="CP49" s="1043">
        <f>((CP26/CK26)-1)</f>
        <v>-0.28706070031565767</v>
      </c>
      <c r="CQ49" s="1043">
        <f>((CQ26/CL26)-1)</f>
        <v>-0.14767464275914177</v>
      </c>
      <c r="CR49" s="1043">
        <f>((CR26/CM26)-1)</f>
        <v>-0.10491034706468227</v>
      </c>
      <c r="CS49" s="1043">
        <f>((CS26/CN26)-1)</f>
        <v>0.11946017363553652</v>
      </c>
      <c r="CT49" s="1043"/>
      <c r="CU49" s="1043">
        <f>((CU26/CP26)-1)</f>
        <v>0.41797963262088023</v>
      </c>
      <c r="CV49" s="1043">
        <f>((CV26/CQ26)-1)</f>
        <v>0.57444694380412575</v>
      </c>
      <c r="CW49" s="1043">
        <f>((CW26/CR26)-1)</f>
        <v>0.14472344480781896</v>
      </c>
      <c r="CX49" s="1043">
        <f>((CX26/CS26)-1)</f>
        <v>-7.7349069224110223E-2</v>
      </c>
      <c r="CY49" s="1042"/>
      <c r="CZ49" s="1060">
        <f>CZ26/'yrP&amp;L'!B53-1</f>
        <v>4.0350301630299228</v>
      </c>
      <c r="DA49" s="1060">
        <f>DA26/'yrP&amp;L'!C53-1</f>
        <v>1.181855161946908</v>
      </c>
      <c r="DB49" s="1060">
        <f>DB26/'yrP&amp;L'!D53-1</f>
        <v>1.6131463413687537</v>
      </c>
      <c r="DC49" s="1043">
        <f t="shared" ref="DC49:DI49" si="60">((DC26/DB26)-1)</f>
        <v>0.64807646152730314</v>
      </c>
      <c r="DD49" s="1043">
        <f t="shared" si="60"/>
        <v>4.8236433257167644E-2</v>
      </c>
      <c r="DE49" s="1043">
        <f t="shared" si="60"/>
        <v>9.9797703911111757E-2</v>
      </c>
      <c r="DF49" s="1043">
        <f t="shared" si="60"/>
        <v>-0.14715161412160682</v>
      </c>
      <c r="DG49" s="1043">
        <f t="shared" si="60"/>
        <v>-5.5942322693840363E-2</v>
      </c>
      <c r="DH49" s="1043">
        <f t="shared" si="60"/>
        <v>1.5933845504816229</v>
      </c>
      <c r="DI49" s="1043">
        <f t="shared" si="60"/>
        <v>0.26676868534628828</v>
      </c>
      <c r="DJ49" s="1044">
        <f t="shared" ref="DJ49:DT49" si="61">((DJ26/DI26)-1)</f>
        <v>0.34567896188602298</v>
      </c>
      <c r="DK49" s="1045">
        <f t="shared" si="61"/>
        <v>7.0674788078127104E-2</v>
      </c>
      <c r="DL49" s="1044">
        <f t="shared" si="61"/>
        <v>-0.45623378685872373</v>
      </c>
      <c r="DM49" s="1043">
        <f t="shared" si="61"/>
        <v>4.790657403048959E-3</v>
      </c>
      <c r="DN49" s="1040"/>
      <c r="DO49" s="1044">
        <f>((DO26/DM26)-1)</f>
        <v>9.8333869222573922E-2</v>
      </c>
      <c r="DP49" s="1043">
        <f>((DP26/DO26)-1)</f>
        <v>-0.10927676467741387</v>
      </c>
      <c r="DQ49" s="1043">
        <f t="shared" si="61"/>
        <v>0.43079074517877358</v>
      </c>
      <c r="DR49" s="1044">
        <f t="shared" si="61"/>
        <v>-0.46466969331078134</v>
      </c>
      <c r="DS49" s="1043">
        <f t="shared" si="61"/>
        <v>-0.15317760984618511</v>
      </c>
      <c r="DT49" s="1043">
        <f t="shared" si="61"/>
        <v>0.72635788166658766</v>
      </c>
      <c r="DU49" s="1043">
        <f t="shared" ref="DU49:DZ49" si="62">((DU26/DT26)-1)</f>
        <v>0.15371909522834537</v>
      </c>
      <c r="DV49" s="1043">
        <f t="shared" si="62"/>
        <v>-7.8152773080741866E-2</v>
      </c>
      <c r="DW49" s="1043">
        <f t="shared" si="62"/>
        <v>0.17069691592433855</v>
      </c>
      <c r="DX49" s="1043">
        <f t="shared" si="62"/>
        <v>1.202989856982084E-3</v>
      </c>
      <c r="DY49" s="1045">
        <f t="shared" si="62"/>
        <v>-3.7094441880928697E-2</v>
      </c>
      <c r="DZ49" s="1045">
        <f t="shared" si="62"/>
        <v>-4.1129989042296922E-2</v>
      </c>
      <c r="EA49" s="1043"/>
      <c r="EH49" s="1012"/>
      <c r="EI49" s="1012"/>
      <c r="EJ49" s="1012"/>
    </row>
    <row r="50" spans="2:140" ht="12.75">
      <c r="B50" s="1825" t="s">
        <v>16</v>
      </c>
      <c r="C50" s="1061"/>
      <c r="D50" s="1062">
        <f>D31/('qtrP&amp;L'!O70+'qtrP&amp;L'!O50)-1</f>
        <v>0.99372384937238412</v>
      </c>
      <c r="E50" s="1062">
        <f>E31/('qtrP&amp;L'!O51+'qtrP&amp;L'!O71)-1</f>
        <v>0.7299924772871953</v>
      </c>
      <c r="F50" s="1062">
        <f>sumry!F31/('qtrP&amp;L'!O72+'qtrP&amp;L'!O52)-1</f>
        <v>0.73871420318560621</v>
      </c>
      <c r="G50" s="1062">
        <f>G31/('qtrP&amp;L'!O53+'qtrP&amp;L'!O73)-1</f>
        <v>0.57020044027343286</v>
      </c>
      <c r="H50" s="1063"/>
      <c r="I50" s="1064">
        <f>((I31/D31)-1)</f>
        <v>6.5240202563985328E-2</v>
      </c>
      <c r="J50" s="1064">
        <f>((J31/E31)-1)</f>
        <v>-0.71320578003746304</v>
      </c>
      <c r="K50" s="1064">
        <f>((K31/F31)-1)</f>
        <v>0.24442282134042115</v>
      </c>
      <c r="L50" s="1064">
        <f>((L31/G31)-1)</f>
        <v>0.26019007703432551</v>
      </c>
      <c r="M50" s="1063"/>
      <c r="N50" s="1064">
        <f>((N31/I31)-1)</f>
        <v>0.38142961154653365</v>
      </c>
      <c r="O50" s="1064">
        <f>((O31/J31)-1)</f>
        <v>2.8144390016328411</v>
      </c>
      <c r="P50" s="1064">
        <f>((P31/K31)-1)</f>
        <v>0.16199103652140723</v>
      </c>
      <c r="Q50" s="1064">
        <f>((Q31/L31)-1)</f>
        <v>-3.4358788191068856E-2</v>
      </c>
      <c r="R50" s="1063"/>
      <c r="S50" s="1064">
        <f>((S31/N31)-1)</f>
        <v>-1.1626104479926513E-2</v>
      </c>
      <c r="T50" s="1064">
        <f>((T31/O31)-1)</f>
        <v>-0.12621923253325185</v>
      </c>
      <c r="U50" s="1064">
        <f>((U31/P31)-1)</f>
        <v>-7.2937353312871434E-2</v>
      </c>
      <c r="V50" s="1064">
        <f>((V31/Q31)-1)</f>
        <v>-9.2834014479924343E-2</v>
      </c>
      <c r="W50" s="1063"/>
      <c r="X50" s="1064">
        <f>((X31/S31)-1)</f>
        <v>-0.27440401505646117</v>
      </c>
      <c r="Y50" s="1064">
        <f>((Y31/T31)-1)</f>
        <v>-7.7474892395982708E-2</v>
      </c>
      <c r="Z50" s="1064">
        <f>((Z31/U31)-1)</f>
        <v>-0.37085952022660917</v>
      </c>
      <c r="AA50" s="1064">
        <f>((AA31/V31)-1)</f>
        <v>0.13627613496604529</v>
      </c>
      <c r="AB50" s="1063"/>
      <c r="AC50" s="1064">
        <f>((AC31/X31)-1)</f>
        <v>1.5449161334947266</v>
      </c>
      <c r="AD50" s="1064">
        <f>((AD31/Y31)-1)</f>
        <v>1.57569320638774</v>
      </c>
      <c r="AE50" s="1064">
        <f>((AE31/Z31)-1)</f>
        <v>2.2140023074542015</v>
      </c>
      <c r="AF50" s="1064">
        <f>((AF31/AA31)-1)</f>
        <v>1.2352408291959813</v>
      </c>
      <c r="AG50" s="1063"/>
      <c r="AH50" s="1064">
        <f>((AH31/AC31)-1)</f>
        <v>0.78482732847508729</v>
      </c>
      <c r="AI50" s="1064">
        <f>((AI31/AD31)-1)</f>
        <v>0.53463028143086588</v>
      </c>
      <c r="AJ50" s="1064">
        <f>((AJ31/AE31)-1)</f>
        <v>0.15206275828255289</v>
      </c>
      <c r="AK50" s="1064">
        <f>((AK31/AF31)-1)</f>
        <v>1.1900563710912859E-2</v>
      </c>
      <c r="AL50" s="1063"/>
      <c r="AM50" s="1064">
        <f>((AM31/AH31)-1)</f>
        <v>0.13922966375117762</v>
      </c>
      <c r="AN50" s="1064">
        <f>((AN31/AI31)-1)</f>
        <v>0.27141431395505</v>
      </c>
      <c r="AO50" s="1064">
        <f>((AO31/AJ31)-1)</f>
        <v>0.32153605301556354</v>
      </c>
      <c r="AP50" s="1064">
        <f>((AP31/AK31)-1)</f>
        <v>0.29382269105132797</v>
      </c>
      <c r="AQ50" s="1063"/>
      <c r="AR50" s="1064">
        <f>((AR31/AM31)-1)</f>
        <v>0.18187134502923974</v>
      </c>
      <c r="AS50" s="1064">
        <f>((AS31/AN31)-1)</f>
        <v>0.1326298787069109</v>
      </c>
      <c r="AT50" s="1064">
        <f>((AT31/AO31)-1)</f>
        <v>2.7965473020765907E-2</v>
      </c>
      <c r="AU50" s="1064">
        <f>((AU31/AP31)-1)</f>
        <v>-4.4500281418348719E-2</v>
      </c>
      <c r="AV50" s="1064"/>
      <c r="AW50" s="1064">
        <f>((AW31/AR31)-1)</f>
        <v>-0.33534318230013382</v>
      </c>
      <c r="AX50" s="1064">
        <f>((AX31/AS31)-1)</f>
        <v>-0.19042256149165926</v>
      </c>
      <c r="AY50" s="1064">
        <f>((AY31/AT31)-1)</f>
        <v>-0.2856351674908818</v>
      </c>
      <c r="AZ50" s="1064">
        <f>((AZ31/AU31)-1)</f>
        <v>-0.59251654598163028</v>
      </c>
      <c r="BA50" s="1064"/>
      <c r="BB50" s="1064">
        <f>((BB31/AW31)-1)</f>
        <v>-0.23624626445032937</v>
      </c>
      <c r="BC50" s="1064">
        <f>((BC31/AX31)-1)</f>
        <v>-0.23415043708740135</v>
      </c>
      <c r="BD50" s="1064">
        <f>((BD31/AY31)-1)</f>
        <v>-6.6328887914359536E-2</v>
      </c>
      <c r="BE50" s="1064">
        <f>((BE31/AZ31)-1)</f>
        <v>0.69411546046857464</v>
      </c>
      <c r="BF50" s="1064"/>
      <c r="BG50" s="1064">
        <f>((BG31/BB31)-1)</f>
        <v>0.28184919585044899</v>
      </c>
      <c r="BH50" s="1064">
        <f>((BH31/BC31)-1)</f>
        <v>-0.16628331900257953</v>
      </c>
      <c r="BI50" s="1064">
        <f>((BI31/BD31)-1)</f>
        <v>0.12289162689659205</v>
      </c>
      <c r="BJ50" s="1064">
        <f>((BJ31/BE31)-1)</f>
        <v>7.1022124702871281E-2</v>
      </c>
      <c r="BK50" s="1064"/>
      <c r="BL50" s="1065">
        <f>((BL31/BG31)-1)</f>
        <v>-0.14653037281654557</v>
      </c>
      <c r="BM50" s="1064">
        <f>((BM31/BH31)-1)</f>
        <v>-5.8064432956464795E-2</v>
      </c>
      <c r="BN50" s="1064">
        <f>((BN31/BI31)-1)</f>
        <v>-5.460901261586959E-2</v>
      </c>
      <c r="BO50" s="1064">
        <f>((BO31/BJ31)-1)</f>
        <v>-0.12471702558464248</v>
      </c>
      <c r="BP50" s="1064"/>
      <c r="BQ50" s="1064">
        <f>((BQ31/BL31)-1)</f>
        <v>0.22664732012167965</v>
      </c>
      <c r="BR50" s="1064">
        <f>((BR31/BM31)-1)</f>
        <v>0.35230274413193663</v>
      </c>
      <c r="BS50" s="1064">
        <f>((BS31/BN31)-1)</f>
        <v>0.26384236141836914</v>
      </c>
      <c r="BT50" s="1064">
        <f>((BT31/BO31)-1)</f>
        <v>0.34921037404019328</v>
      </c>
      <c r="BU50" s="1063"/>
      <c r="BV50" s="1064">
        <f>((BV31/BQ31)-1)</f>
        <v>-0.11497914375246532</v>
      </c>
      <c r="BW50" s="1064">
        <f>((BW31/BR31)-1)</f>
        <v>-0.40126105702082848</v>
      </c>
      <c r="BX50" s="1064">
        <f>((BX31/BS31)-1)</f>
        <v>-0.41767419762193536</v>
      </c>
      <c r="BY50" s="1064">
        <f>((BY31/BT31)-1)</f>
        <v>-0.4392968320820364</v>
      </c>
      <c r="BZ50" s="1063"/>
      <c r="CA50" s="1064">
        <f>((CA31/BV31)-1)</f>
        <v>-0.52180132015522906</v>
      </c>
      <c r="CB50" s="1064">
        <f>((CB31/BW31)-1)</f>
        <v>-0.19760306969353725</v>
      </c>
      <c r="CC50" s="1064">
        <f>((CC31/BX31)-1)</f>
        <v>0.18981213097155103</v>
      </c>
      <c r="CD50" s="1064">
        <f>((CD31/BY31)-1)</f>
        <v>0.2813176802227646</v>
      </c>
      <c r="CE50" s="1063"/>
      <c r="CF50" s="1064">
        <f>((CF31/CA31)-1)</f>
        <v>0.8908230563659969</v>
      </c>
      <c r="CG50" s="1064">
        <f>((CG31/CB31)-1)</f>
        <v>0.88013229686742811</v>
      </c>
      <c r="CH50" s="1064">
        <f>((CH31/CC31)-1)</f>
        <v>0.32394366197183144</v>
      </c>
      <c r="CI50" s="1064">
        <f>((CI31/CD31)-1)</f>
        <v>3.9184648096103336E-2</v>
      </c>
      <c r="CJ50" s="1063"/>
      <c r="CK50" s="1064">
        <f>((CK31/CF31)-1)</f>
        <v>0.26371546012110958</v>
      </c>
      <c r="CL50" s="1064">
        <f>((CL31/CG31)-1)</f>
        <v>0.20516986375044866</v>
      </c>
      <c r="CM50" s="1064">
        <f>((CM31/CH31)-1)</f>
        <v>7.6124143007073819E-2</v>
      </c>
      <c r="CN50" s="1064">
        <f>((CN31/CI31)-1)</f>
        <v>-5.4785678786039904E-2</v>
      </c>
      <c r="CO50" s="1063"/>
      <c r="CP50" s="1064">
        <f>((CP31/CK31)-1)</f>
        <v>-0.14997075693368556</v>
      </c>
      <c r="CQ50" s="1064">
        <f>((CQ31/CL31)-1)</f>
        <v>-0.15756003681700359</v>
      </c>
      <c r="CR50" s="1064">
        <f>((CR31/CM31)-1)</f>
        <v>-8.6761576654170725E-4</v>
      </c>
      <c r="CS50" s="1064">
        <f>((CS31/CN31)-1)</f>
        <v>0.10129538455235076</v>
      </c>
      <c r="CT50" s="1064"/>
      <c r="CU50" s="1064">
        <f>((CU31/CP31)-1)</f>
        <v>0.16107421940353173</v>
      </c>
      <c r="CV50" s="1064">
        <f>((CV31/CQ31)-1)</f>
        <v>0.28748274521637107</v>
      </c>
      <c r="CW50" s="1064">
        <f>((CW31/CR31)-1)</f>
        <v>-8.6906330035173229E-2</v>
      </c>
      <c r="CX50" s="1064">
        <f>((CX31/CS31)-1)</f>
        <v>-0.12500879599222536</v>
      </c>
      <c r="CY50" s="1063"/>
      <c r="CZ50" s="1062">
        <f>CZ31/('yrP&amp;L'!B33+'yrP&amp;L'!B28)-1</f>
        <v>1.9032634032634217</v>
      </c>
      <c r="DA50" s="1062">
        <f>DA31/('yrP&amp;L'!C33+'yrP&amp;L'!C28)-1</f>
        <v>1.5717917837548554</v>
      </c>
      <c r="DB50" s="1062">
        <f>DB31/('yrP&amp;L'!D33+'yrP&amp;L'!D28)-1</f>
        <v>1.4887871377282909</v>
      </c>
      <c r="DC50" s="1064">
        <f t="shared" ref="DC50:DI50" si="63">((DC31/DB31)-1)</f>
        <v>0.69042691085465813</v>
      </c>
      <c r="DD50" s="1064">
        <f t="shared" si="63"/>
        <v>4.9705342180281109E-2</v>
      </c>
      <c r="DE50" s="1064">
        <f t="shared" si="63"/>
        <v>0.22737421281759951</v>
      </c>
      <c r="DF50" s="1064">
        <f t="shared" si="63"/>
        <v>-7.9683990247087277E-2</v>
      </c>
      <c r="DG50" s="1064">
        <f t="shared" si="63"/>
        <v>7.7706966507771202E-3</v>
      </c>
      <c r="DH50" s="1064">
        <f t="shared" si="63"/>
        <v>1.2273851663251163</v>
      </c>
      <c r="DI50" s="1064">
        <f t="shared" si="63"/>
        <v>0.24861353450539148</v>
      </c>
      <c r="DJ50" s="1065">
        <f t="shared" ref="DJ50:DU50" si="64">((DJ31/DI31)-1)</f>
        <v>0.25567669054011977</v>
      </c>
      <c r="DK50" s="1066">
        <f t="shared" si="64"/>
        <v>4.910331909748078E-2</v>
      </c>
      <c r="DL50" s="1065">
        <f t="shared" si="64"/>
        <v>-0.37841086618132691</v>
      </c>
      <c r="DM50" s="1064">
        <f t="shared" si="64"/>
        <v>1.8390715790382206E-2</v>
      </c>
      <c r="DN50" s="1046"/>
      <c r="DO50" s="1065">
        <f>((DO31/DM31)-1)</f>
        <v>6.9339420553740982E-2</v>
      </c>
      <c r="DP50" s="1064">
        <f>((DP31/DO31)-1)</f>
        <v>-9.8532927846659346E-2</v>
      </c>
      <c r="DQ50" s="1064">
        <f t="shared" si="64"/>
        <v>0.30243259947176804</v>
      </c>
      <c r="DR50" s="1065">
        <f t="shared" si="64"/>
        <v>-0.37092027156719953</v>
      </c>
      <c r="DS50" s="1064">
        <f t="shared" si="64"/>
        <v>-1.633527141638158E-2</v>
      </c>
      <c r="DT50" s="1064">
        <f t="shared" si="64"/>
        <v>0.34424543908827676</v>
      </c>
      <c r="DU50" s="1064">
        <f t="shared" si="64"/>
        <v>8.8307687048377659E-2</v>
      </c>
      <c r="DV50" s="1064">
        <f>((DV31/DU31)-1)</f>
        <v>-3.3111815692088098E-2</v>
      </c>
      <c r="DW50" s="1064">
        <f>((DW31/DV31)-1)</f>
        <v>1.1210710084070818E-2</v>
      </c>
      <c r="DX50" s="1064">
        <f>((DX31/DW31)-1)</f>
        <v>2.6245630402981224E-3</v>
      </c>
      <c r="DY50" s="1066">
        <f>((DY31/DX31)-1)</f>
        <v>-1.1307007214314213E-2</v>
      </c>
      <c r="DZ50" s="1066">
        <f>((DZ31/DY31)-1)</f>
        <v>-2.087471089385462E-2</v>
      </c>
      <c r="EA50" s="1064"/>
      <c r="EH50" s="1161"/>
      <c r="EI50" s="1161"/>
      <c r="EJ50" s="1161"/>
    </row>
    <row r="51" spans="2:140" ht="12" customHeight="1">
      <c r="B51" s="1067"/>
      <c r="C51" s="1068"/>
      <c r="D51" s="1004"/>
      <c r="E51" s="1067"/>
      <c r="F51" s="1067"/>
      <c r="G51" s="1067"/>
      <c r="H51" s="1067"/>
      <c r="I51" s="1067"/>
      <c r="J51" s="1067"/>
      <c r="K51" s="1067"/>
      <c r="L51" s="1067"/>
      <c r="M51" s="1067"/>
      <c r="N51" s="1067"/>
      <c r="O51" s="1067"/>
      <c r="P51" s="1067"/>
      <c r="Q51" s="1067"/>
      <c r="R51" s="1067"/>
      <c r="S51" s="1067"/>
      <c r="T51" s="1067"/>
      <c r="U51" s="1067"/>
      <c r="V51" s="1067"/>
      <c r="W51" s="1067"/>
      <c r="X51" s="1067"/>
      <c r="Y51" s="1067"/>
      <c r="Z51" s="1067"/>
      <c r="AA51" s="1067"/>
      <c r="AB51" s="1067"/>
      <c r="AC51" s="1067"/>
      <c r="AD51" s="1067"/>
      <c r="AE51" s="1067"/>
      <c r="AF51" s="1067"/>
      <c r="AG51" s="1067"/>
      <c r="AH51" s="1067"/>
      <c r="AI51" s="1067"/>
      <c r="AJ51" s="1067"/>
      <c r="AK51" s="1067"/>
      <c r="AL51" s="1067"/>
      <c r="AM51" s="1067"/>
      <c r="AN51" s="1067"/>
      <c r="AO51" s="1067"/>
      <c r="AP51" s="1067"/>
      <c r="AQ51" s="1067"/>
      <c r="AR51" s="1067"/>
      <c r="AS51" s="1067"/>
      <c r="AT51" s="1067"/>
      <c r="AU51" s="1067"/>
      <c r="AV51" s="1067"/>
      <c r="AW51" s="1067"/>
      <c r="AX51" s="1067"/>
      <c r="AY51" s="1067"/>
      <c r="AZ51" s="1067"/>
      <c r="BA51" s="1067"/>
      <c r="BB51" s="1067"/>
      <c r="BC51" s="1067"/>
      <c r="BD51" s="1067"/>
      <c r="BE51" s="1067"/>
      <c r="BF51" s="1067"/>
      <c r="BG51" s="1067"/>
      <c r="BH51" s="1067"/>
      <c r="BI51" s="1067"/>
      <c r="BJ51" s="1067"/>
      <c r="BK51" s="1067"/>
      <c r="BL51" s="1067"/>
      <c r="BM51" s="1067"/>
      <c r="BN51" s="1067"/>
      <c r="BO51" s="1067"/>
      <c r="BP51" s="1067"/>
      <c r="BQ51" s="1067"/>
      <c r="BR51" s="1067"/>
      <c r="BS51" s="1067"/>
      <c r="BT51" s="1067"/>
      <c r="BU51" s="1067"/>
      <c r="BV51" s="1067"/>
      <c r="BW51" s="1067"/>
      <c r="BX51" s="1067"/>
      <c r="BY51" s="1067"/>
      <c r="BZ51" s="1067"/>
      <c r="CA51" s="1067"/>
      <c r="CB51" s="1067"/>
      <c r="CC51" s="1067"/>
      <c r="CD51" s="1067"/>
      <c r="CE51" s="1067"/>
      <c r="CF51" s="1067"/>
      <c r="CG51" s="1067"/>
      <c r="CH51" s="1067"/>
      <c r="CI51" s="1067"/>
      <c r="CJ51" s="1067"/>
      <c r="CK51" s="1067"/>
      <c r="CL51" s="1067"/>
      <c r="CM51" s="1067"/>
      <c r="CN51" s="1067"/>
      <c r="CO51" s="1067"/>
      <c r="CP51" s="1067"/>
      <c r="CQ51" s="1067"/>
      <c r="CR51" s="1067"/>
      <c r="CS51" s="1067"/>
      <c r="CT51" s="1067"/>
      <c r="CU51" s="1067"/>
      <c r="CV51" s="1067"/>
      <c r="CW51" s="1067"/>
      <c r="CX51" s="1067"/>
      <c r="CY51" s="1840"/>
      <c r="CZ51" s="1069"/>
      <c r="DA51" s="1069"/>
      <c r="DB51" s="1069"/>
      <c r="DC51" s="1068"/>
      <c r="DD51" s="1068"/>
      <c r="DE51" s="1068"/>
      <c r="DF51" s="1068"/>
      <c r="DG51" s="1068"/>
      <c r="DH51" s="1068"/>
      <c r="DI51" s="1068"/>
      <c r="DJ51" s="1068"/>
      <c r="DK51" s="1068"/>
      <c r="DL51" s="1068"/>
      <c r="DM51" s="1068"/>
      <c r="DN51" s="1067"/>
      <c r="DO51" s="1068"/>
      <c r="DP51" s="1068"/>
      <c r="DQ51" s="1068"/>
      <c r="DR51" s="1068"/>
      <c r="DS51" s="1068"/>
      <c r="DT51" s="1068"/>
      <c r="DU51" s="1840"/>
      <c r="DV51" s="1068"/>
      <c r="DW51" s="1068"/>
      <c r="DX51" s="1068"/>
      <c r="DY51" s="1068"/>
      <c r="DZ51" s="1068"/>
      <c r="EA51" s="1068"/>
    </row>
    <row r="52" spans="2:140" ht="12" customHeight="1">
      <c r="B52" s="1070" t="s">
        <v>17</v>
      </c>
      <c r="C52" s="1071"/>
      <c r="D52" s="1072">
        <v>1998</v>
      </c>
      <c r="E52" s="1073" t="s">
        <v>73</v>
      </c>
      <c r="F52" s="1072" t="str">
        <f>+DD5</f>
        <v>2000A</v>
      </c>
      <c r="G52" s="1072" t="str">
        <f>+DE5</f>
        <v>2001A</v>
      </c>
      <c r="H52" s="1071"/>
      <c r="I52" s="1071"/>
      <c r="J52" s="1071"/>
      <c r="K52" s="1071"/>
      <c r="L52" s="1071"/>
      <c r="M52" s="1071"/>
      <c r="N52" s="1071"/>
      <c r="O52" s="1071"/>
      <c r="P52" s="1071"/>
      <c r="Q52" s="1071"/>
      <c r="R52" s="1071"/>
      <c r="S52" s="1071"/>
      <c r="T52" s="1071"/>
      <c r="U52" s="1071"/>
      <c r="V52" s="1071"/>
      <c r="W52" s="1071"/>
      <c r="X52" s="1071"/>
      <c r="Y52" s="1071"/>
      <c r="Z52" s="1071"/>
      <c r="AA52" s="1071"/>
      <c r="AB52" s="1071"/>
      <c r="AC52" s="1071"/>
      <c r="AD52" s="1071"/>
      <c r="AE52" s="1071"/>
      <c r="AF52" s="1071"/>
      <c r="AG52" s="1071"/>
      <c r="AH52" s="1074"/>
      <c r="AI52" s="1074"/>
      <c r="AJ52" s="1074"/>
      <c r="AK52" s="1074"/>
      <c r="AL52" s="1071"/>
      <c r="AM52" s="1071"/>
      <c r="AN52" s="1071"/>
      <c r="AO52" s="1071"/>
      <c r="AP52" s="1071"/>
      <c r="AQ52" s="1071"/>
      <c r="AR52" s="1074"/>
      <c r="AS52" s="1074"/>
      <c r="AT52" s="1074"/>
      <c r="AU52" s="1074"/>
      <c r="AV52" s="1074"/>
      <c r="AW52" s="1072" t="str">
        <f>DF5</f>
        <v>2002A</v>
      </c>
      <c r="AX52" s="1072" t="str">
        <f>DG5</f>
        <v>2003A</v>
      </c>
      <c r="AY52" s="1072" t="str">
        <f>DH5</f>
        <v>2004A</v>
      </c>
      <c r="AZ52" s="1072" t="str">
        <f>DI5</f>
        <v>2005A</v>
      </c>
      <c r="BA52" s="1075"/>
      <c r="BB52" s="1072" t="str">
        <f>DK5</f>
        <v>2007A</v>
      </c>
      <c r="BC52" s="1072" t="str">
        <f>DL5</f>
        <v>2008A</v>
      </c>
      <c r="BD52" s="1072" t="str">
        <f>DM5</f>
        <v>2009A</v>
      </c>
      <c r="BF52" s="1071"/>
      <c r="BG52" s="1074"/>
      <c r="BH52" s="1074"/>
      <c r="BI52" s="1074"/>
      <c r="BJ52" s="1074"/>
      <c r="BK52" s="1071"/>
      <c r="BL52" s="1074"/>
      <c r="BM52" s="1074"/>
      <c r="BN52" s="1074"/>
      <c r="BO52" s="1074"/>
      <c r="BP52" s="1071"/>
      <c r="BU52" s="1076"/>
      <c r="CB52" s="1072" t="str">
        <f>DO5</f>
        <v>2010A</v>
      </c>
      <c r="CC52" s="1077" t="str">
        <f>DP5</f>
        <v>2011A</v>
      </c>
      <c r="CD52" s="1077" t="str">
        <f>DQ5</f>
        <v>2012A</v>
      </c>
      <c r="CE52" s="1076"/>
      <c r="CF52" s="1072" t="str">
        <f>DR5</f>
        <v>2013A</v>
      </c>
      <c r="CJ52" s="975"/>
      <c r="CK52" s="1072" t="str">
        <f>DS5</f>
        <v>2014A</v>
      </c>
      <c r="CL52" s="1072" t="str">
        <f>DT5</f>
        <v>2015A</v>
      </c>
      <c r="CM52" s="1072" t="str">
        <f>DU5</f>
        <v>2016A</v>
      </c>
      <c r="CN52" s="1078" t="s">
        <v>804</v>
      </c>
      <c r="CO52" s="1012"/>
      <c r="CQ52" s="1080"/>
      <c r="CR52" s="1012"/>
      <c r="CS52" s="1012"/>
      <c r="CT52" s="1012"/>
      <c r="CU52" s="1070" t="s">
        <v>661</v>
      </c>
      <c r="CV52" s="1074"/>
      <c r="CW52" s="1074"/>
      <c r="CX52" s="1074"/>
      <c r="CZ52" s="1079" t="str">
        <f t="shared" ref="CZ52:DM52" si="65">+CZ5</f>
        <v>1996A</v>
      </c>
      <c r="DA52" s="1079" t="str">
        <f t="shared" si="65"/>
        <v>1997A</v>
      </c>
      <c r="DB52" s="1079" t="str">
        <f t="shared" si="65"/>
        <v>1998A</v>
      </c>
      <c r="DC52" s="1079" t="str">
        <f t="shared" si="65"/>
        <v>1999A</v>
      </c>
      <c r="DD52" s="1079" t="str">
        <f t="shared" si="65"/>
        <v>2000A</v>
      </c>
      <c r="DE52" s="1079" t="str">
        <f t="shared" si="65"/>
        <v>2001A</v>
      </c>
      <c r="DF52" s="1079" t="str">
        <f t="shared" si="65"/>
        <v>2002A</v>
      </c>
      <c r="DG52" s="1079" t="str">
        <f t="shared" si="65"/>
        <v>2003A</v>
      </c>
      <c r="DH52" s="1079" t="str">
        <f t="shared" si="65"/>
        <v>2004A</v>
      </c>
      <c r="DI52" s="1079" t="str">
        <f t="shared" si="65"/>
        <v>2005A</v>
      </c>
      <c r="DJ52" s="1079" t="str">
        <f t="shared" si="65"/>
        <v>2006A</v>
      </c>
      <c r="DK52" s="1079" t="str">
        <f t="shared" si="65"/>
        <v>2007A</v>
      </c>
      <c r="DL52" s="1079" t="str">
        <f t="shared" si="65"/>
        <v>2008A</v>
      </c>
      <c r="DM52" s="1079" t="str">
        <f t="shared" si="65"/>
        <v>2009A</v>
      </c>
      <c r="DO52" s="1079" t="str">
        <f t="shared" ref="DO52:DY52" si="66">+DO5</f>
        <v>2010A</v>
      </c>
      <c r="DP52" s="1079" t="str">
        <f t="shared" si="66"/>
        <v>2011A</v>
      </c>
      <c r="DQ52" s="1079" t="str">
        <f t="shared" si="66"/>
        <v>2012A</v>
      </c>
      <c r="DR52" s="1079" t="str">
        <f t="shared" si="66"/>
        <v>2013A</v>
      </c>
      <c r="DS52" s="1079" t="str">
        <f t="shared" si="66"/>
        <v>2014A</v>
      </c>
      <c r="DT52" s="1079" t="str">
        <f t="shared" si="66"/>
        <v>2015A</v>
      </c>
      <c r="DU52" s="1080" t="str">
        <f t="shared" si="66"/>
        <v>2016A</v>
      </c>
      <c r="DV52" s="1079" t="str">
        <f t="shared" si="66"/>
        <v>2017A</v>
      </c>
      <c r="DW52" s="1079" t="str">
        <f t="shared" si="66"/>
        <v>2018E</v>
      </c>
      <c r="DX52" s="1079" t="str">
        <f t="shared" si="66"/>
        <v>2019E</v>
      </c>
      <c r="DY52" s="1081" t="str">
        <f t="shared" si="66"/>
        <v>2020E</v>
      </c>
      <c r="DZ52" s="1081" t="str">
        <f>+DZ5</f>
        <v>2021E</v>
      </c>
      <c r="EA52" s="1079"/>
      <c r="EH52" s="1074"/>
      <c r="EI52" s="1074"/>
      <c r="EJ52" s="1074"/>
    </row>
    <row r="53" spans="2:140" ht="12" customHeight="1">
      <c r="B53" s="1082" t="s">
        <v>75</v>
      </c>
      <c r="C53" s="1083"/>
      <c r="D53" s="1084">
        <f>yrSales!F19</f>
        <v>386</v>
      </c>
      <c r="E53" s="1084">
        <f>+yrSales!G124</f>
        <v>466</v>
      </c>
      <c r="F53" s="1084">
        <f>+yrSales!H124</f>
        <v>663</v>
      </c>
      <c r="G53" s="1084">
        <f>+yrSales!I124</f>
        <v>790</v>
      </c>
      <c r="H53" s="1083"/>
      <c r="I53" s="1039"/>
      <c r="J53" s="1039"/>
      <c r="K53" s="1039"/>
      <c r="L53" s="1039"/>
      <c r="M53" s="1007"/>
      <c r="N53" s="1039"/>
      <c r="O53" s="1039"/>
      <c r="P53" s="1039"/>
      <c r="Q53" s="1039"/>
      <c r="R53" s="1007"/>
      <c r="S53" s="1039"/>
      <c r="T53" s="1039"/>
      <c r="U53" s="1039"/>
      <c r="V53" s="1039"/>
      <c r="W53" s="1039"/>
      <c r="X53" s="1039"/>
      <c r="Y53" s="1039"/>
      <c r="Z53" s="1039"/>
      <c r="AA53" s="1039"/>
      <c r="AB53" s="1007"/>
      <c r="AC53" s="1039"/>
      <c r="AD53" s="1039"/>
      <c r="AE53" s="1039"/>
      <c r="AF53" s="1039"/>
      <c r="AG53" s="1039"/>
      <c r="AH53" s="1012"/>
      <c r="AI53" s="1012"/>
      <c r="AJ53" s="1012"/>
      <c r="AK53" s="1012"/>
      <c r="AL53" s="1007"/>
      <c r="AM53" s="1039"/>
      <c r="AN53" s="1039"/>
      <c r="AO53" s="1039"/>
      <c r="AP53" s="1039"/>
      <c r="AQ53" s="1007"/>
      <c r="AR53" s="1012"/>
      <c r="AS53" s="1012"/>
      <c r="AT53" s="1012"/>
      <c r="AU53" s="1012"/>
      <c r="AV53" s="1012"/>
      <c r="AW53" s="1085">
        <f>+turn!P64</f>
        <v>6.7071559082285939</v>
      </c>
      <c r="AX53" s="1085">
        <f>+turn!P71</f>
        <v>6.0843346288238909</v>
      </c>
      <c r="AY53" s="1085">
        <f>+turn!P78</f>
        <v>6.0887185835123354</v>
      </c>
      <c r="AZ53" s="1085">
        <f>+turn!P85</f>
        <v>5.5193622705380134</v>
      </c>
      <c r="BA53" s="1084"/>
      <c r="BB53" s="1085">
        <f>+turn!P99</f>
        <v>5.1970925489961344</v>
      </c>
      <c r="BC53" s="1085">
        <f>+turn!P106</f>
        <v>5.4791806557266183</v>
      </c>
      <c r="BD53" s="1085">
        <f>+turn!P113</f>
        <v>5.1165963396351097</v>
      </c>
      <c r="BF53" s="1039"/>
      <c r="BG53" s="1012"/>
      <c r="BH53" s="1012"/>
      <c r="BI53" s="1012"/>
      <c r="BJ53" s="1012"/>
      <c r="BK53" s="1039"/>
      <c r="BL53" s="1012"/>
      <c r="BM53" s="1012"/>
      <c r="BN53" s="1012"/>
      <c r="BO53" s="1012"/>
      <c r="BP53" s="1039"/>
      <c r="BU53" s="975"/>
      <c r="CB53" s="1086" t="s">
        <v>69</v>
      </c>
      <c r="CC53" s="1085">
        <f>+turn!P127</f>
        <v>4.8046365484132298</v>
      </c>
      <c r="CD53" s="1085">
        <f>+turn!P134</f>
        <v>4.8468927122470236</v>
      </c>
      <c r="CE53" s="975"/>
      <c r="CF53" s="1085">
        <f>+turn!P141</f>
        <v>5.3030843108374999</v>
      </c>
      <c r="CJ53" s="975"/>
      <c r="CK53" s="1087">
        <f>turn!P148</f>
        <v>5.6536792603702937</v>
      </c>
      <c r="CL53" s="1087">
        <f>turn!P155</f>
        <v>5.8806597448576694</v>
      </c>
      <c r="CM53" s="1087">
        <f>turn!P162</f>
        <v>5.683316867846286</v>
      </c>
      <c r="CN53" s="1088">
        <f>turn!P169</f>
        <v>5.6737214217332852</v>
      </c>
      <c r="CO53" s="1012"/>
      <c r="CQ53" s="1084"/>
      <c r="CR53" s="1012"/>
      <c r="CS53" s="1012"/>
      <c r="CT53" s="1012"/>
      <c r="CU53" s="1089" t="s">
        <v>580</v>
      </c>
      <c r="CV53" s="1012"/>
      <c r="CW53" s="1012"/>
      <c r="CX53" s="1012"/>
      <c r="CZ53" s="1084">
        <f>+yrSales!D124</f>
        <v>303</v>
      </c>
      <c r="DA53" s="1084">
        <f>+yrSales!E124</f>
        <v>332</v>
      </c>
      <c r="DB53" s="1084">
        <f>+yrSales!F124</f>
        <v>386</v>
      </c>
      <c r="DC53" s="1084">
        <f>+yrSales!G124</f>
        <v>466</v>
      </c>
      <c r="DD53" s="1084">
        <f>+yrSales!H124</f>
        <v>663</v>
      </c>
      <c r="DE53" s="1084">
        <f>+yrSales!I124</f>
        <v>790</v>
      </c>
      <c r="DF53" s="1084">
        <f>+yrSales!J124</f>
        <v>864</v>
      </c>
      <c r="DG53" s="1084">
        <f>+yrSales!K124</f>
        <v>915</v>
      </c>
      <c r="DH53" s="1084">
        <f>+yrSales!L124</f>
        <v>846</v>
      </c>
      <c r="DI53" s="1084">
        <f>+yrSales!M124</f>
        <v>869</v>
      </c>
      <c r="DJ53" s="1084">
        <f>+yrSales!N19</f>
        <v>911</v>
      </c>
      <c r="DK53" s="1084">
        <f>+yrSales!O19</f>
        <v>987</v>
      </c>
      <c r="DL53" s="1084">
        <f>+yrSales!P19</f>
        <v>1098</v>
      </c>
      <c r="DM53" s="1084">
        <f>+yrSales!Q19</f>
        <v>1103</v>
      </c>
      <c r="DO53" s="1084">
        <f>+yrSales!R19</f>
        <v>1077</v>
      </c>
      <c r="DP53" s="1084">
        <f>+yrSales!S19</f>
        <v>1069</v>
      </c>
      <c r="DQ53" s="1084">
        <f>+yrSales!T19</f>
        <v>1044</v>
      </c>
      <c r="DR53" s="1084">
        <f>+yrSales!U19</f>
        <v>1066</v>
      </c>
      <c r="DS53" s="1084">
        <f>+yrSales!V19</f>
        <v>1056</v>
      </c>
      <c r="DT53" s="1084">
        <f>+yrSales!W19</f>
        <v>1047</v>
      </c>
      <c r="DU53" s="1084">
        <f>+yrSales!X19</f>
        <v>1050</v>
      </c>
      <c r="DV53" s="1084">
        <f>+yrSales!Y19</f>
        <v>1047</v>
      </c>
      <c r="DW53" s="1084">
        <f>+yrSales!Z19</f>
        <v>1055</v>
      </c>
      <c r="DX53" s="1084">
        <f>+yrSales!AA19</f>
        <v>1060</v>
      </c>
      <c r="DY53" s="1090">
        <f>+yrSales!AB19</f>
        <v>1055</v>
      </c>
      <c r="DZ53" s="1090">
        <f>+yrSales!AC19</f>
        <v>1045</v>
      </c>
      <c r="EA53" s="1084"/>
      <c r="EH53" s="1012"/>
      <c r="EI53" s="1012"/>
      <c r="EJ53" s="1012"/>
    </row>
    <row r="54" spans="2:140" ht="12" customHeight="1">
      <c r="B54" s="1091" t="s">
        <v>76</v>
      </c>
      <c r="C54" s="1033"/>
      <c r="D54" s="1033"/>
      <c r="E54" s="1033"/>
      <c r="F54" s="1033"/>
      <c r="G54" s="1084">
        <f>+yrSales!I19-G55</f>
        <v>632</v>
      </c>
      <c r="H54" s="1033"/>
      <c r="I54" s="1033"/>
      <c r="J54" s="1033"/>
      <c r="K54" s="1033"/>
      <c r="L54" s="1033"/>
      <c r="M54" s="1033"/>
      <c r="N54" s="1033"/>
      <c r="O54" s="1033"/>
      <c r="P54" s="1033"/>
      <c r="Q54" s="1033"/>
      <c r="R54" s="1033"/>
      <c r="S54" s="1033"/>
      <c r="T54" s="1033"/>
      <c r="U54" s="1033"/>
      <c r="V54" s="1033"/>
      <c r="W54" s="1033"/>
      <c r="X54" s="1033"/>
      <c r="Y54" s="1033"/>
      <c r="Z54" s="1033"/>
      <c r="AA54" s="1033"/>
      <c r="AB54" s="1036"/>
      <c r="AC54" s="1033"/>
      <c r="AD54" s="1033"/>
      <c r="AE54" s="1033"/>
      <c r="AF54" s="1033"/>
      <c r="AG54" s="1033"/>
      <c r="AH54" s="1012"/>
      <c r="AI54" s="1012"/>
      <c r="AJ54" s="1012"/>
      <c r="AK54" s="1012"/>
      <c r="AL54" s="1036"/>
      <c r="AM54" s="1033"/>
      <c r="AN54" s="1033"/>
      <c r="AO54" s="1033"/>
      <c r="AP54" s="1033"/>
      <c r="AQ54" s="1036"/>
      <c r="AR54" s="1012"/>
      <c r="AS54" s="1012"/>
      <c r="AT54" s="1012"/>
      <c r="AU54" s="1012"/>
      <c r="AV54" s="1012"/>
      <c r="AW54" s="1092">
        <f>bal!S29/bal!S10</f>
        <v>0.40581197677775283</v>
      </c>
      <c r="AX54" s="1092">
        <f>bal!U29/bal!U10</f>
        <v>0.59152803808070586</v>
      </c>
      <c r="AY54" s="1092">
        <f>+bal!W29/bal!W10</f>
        <v>0.63859511302879657</v>
      </c>
      <c r="AZ54" s="1093">
        <f>+bal!Y29/bal!Y10</f>
        <v>0.66051846122454794</v>
      </c>
      <c r="BA54" s="1036"/>
      <c r="BB54" s="1093">
        <f>bal!AC86</f>
        <v>0.55126097352391923</v>
      </c>
      <c r="BC54" s="1093">
        <f>bal!AE86</f>
        <v>0.51561058970324969</v>
      </c>
      <c r="BD54" s="1093">
        <f>bal!AG86</f>
        <v>0.48559980885515264</v>
      </c>
      <c r="BF54" s="1033"/>
      <c r="BG54" s="1012"/>
      <c r="BH54" s="1012"/>
      <c r="BI54" s="1012"/>
      <c r="BJ54" s="1012"/>
      <c r="BK54" s="1033"/>
      <c r="BL54" s="1012"/>
      <c r="BM54" s="1012"/>
      <c r="BN54" s="1012"/>
      <c r="BO54" s="1012"/>
      <c r="BP54" s="1033"/>
      <c r="BU54" s="975"/>
      <c r="CB54" s="1093">
        <f>bal!AI86</f>
        <v>0.55683447982789303</v>
      </c>
      <c r="CC54" s="1093">
        <f>bal!AK86</f>
        <v>0.48565109162689668</v>
      </c>
      <c r="CD54" s="1093">
        <f>bal!AM86</f>
        <v>0.53202868384007318</v>
      </c>
      <c r="CE54" s="975"/>
      <c r="CF54" s="1093">
        <f>bal!AO86</f>
        <v>0.69929100881179673</v>
      </c>
      <c r="CJ54" s="975"/>
      <c r="CK54" s="1094">
        <f>bal!AQ86</f>
        <v>0.68517987468276387</v>
      </c>
      <c r="CL54" s="1094">
        <f>bal!AS86</f>
        <v>0.59895864053109982</v>
      </c>
      <c r="CM54" s="1094">
        <f>bal!AU86</f>
        <v>0.68686496710801626</v>
      </c>
      <c r="CN54" s="1095">
        <f>bal!AW86</f>
        <v>0.59441304025734965</v>
      </c>
      <c r="CO54" s="1012"/>
      <c r="CQ54" s="1084"/>
      <c r="CR54" s="1012"/>
      <c r="CS54" s="1012"/>
      <c r="CT54" s="1012"/>
      <c r="CU54" s="1096" t="s">
        <v>579</v>
      </c>
      <c r="CV54" s="1012"/>
      <c r="CW54" s="1012"/>
      <c r="CX54" s="1012"/>
      <c r="CZ54" s="1084">
        <f>+yrSales!D19-CZ55</f>
        <v>303</v>
      </c>
      <c r="DA54" s="1084">
        <f>+yrSales!E19-DA55</f>
        <v>332</v>
      </c>
      <c r="DB54" s="1084">
        <f>+yrSales!F19-DB55</f>
        <v>386</v>
      </c>
      <c r="DC54" s="1084">
        <f>+yrSales!G19-DC55</f>
        <v>466</v>
      </c>
      <c r="DD54" s="1084">
        <f>+yrSales!H19-DD55</f>
        <v>554</v>
      </c>
      <c r="DE54" s="1084">
        <f>+yrSales!I19-DE55</f>
        <v>632</v>
      </c>
      <c r="DF54" s="1084">
        <f>+yrSales!J19-DF55</f>
        <v>697</v>
      </c>
      <c r="DG54" s="1084">
        <f>+yrSales!K19-DG55</f>
        <v>740</v>
      </c>
      <c r="DH54" s="1084">
        <f>+yrSales!L19-DH55</f>
        <v>777</v>
      </c>
      <c r="DI54" s="1084">
        <f>+yrSales!M19-DI55</f>
        <v>798</v>
      </c>
      <c r="DJ54" s="1084">
        <f>+yrSales!N23-DJ55</f>
        <v>831</v>
      </c>
      <c r="DK54" s="1084">
        <f>+yrSales!O23-DK55</f>
        <v>853</v>
      </c>
      <c r="DL54" s="1084">
        <f>+yrSales!P23-DL55</f>
        <v>868</v>
      </c>
      <c r="DM54" s="1084">
        <f>+yrSales!Q23-DM55</f>
        <v>850</v>
      </c>
      <c r="DO54" s="1084">
        <f>+yrSales!R23-DO55</f>
        <v>837</v>
      </c>
      <c r="DP54" s="1084">
        <f>+yrSales!S23-DP55</f>
        <v>817</v>
      </c>
      <c r="DQ54" s="1084">
        <f>+yrSales!T23-DQ55</f>
        <v>797</v>
      </c>
      <c r="DR54" s="1084">
        <f>+yrSales!U23-DR55</f>
        <v>846</v>
      </c>
      <c r="DS54" s="1084">
        <f>+yrSales!V23-DS55</f>
        <v>855</v>
      </c>
      <c r="DT54" s="1084">
        <f>+yrSales!W23-DT55</f>
        <v>848</v>
      </c>
      <c r="DU54" s="1084">
        <f>+yrSales!X23-DU55</f>
        <v>844</v>
      </c>
      <c r="DV54" s="1084">
        <f>+yrSales!Y23-DV55</f>
        <v>832</v>
      </c>
      <c r="DW54" s="1084">
        <f>+yrSales!Z23-DW55</f>
        <v>833</v>
      </c>
      <c r="DX54" s="1084">
        <f>+yrSales!AA23-DX55</f>
        <v>826</v>
      </c>
      <c r="DY54" s="1090">
        <f>+yrSales!AB23-DY55</f>
        <v>819</v>
      </c>
      <c r="DZ54" s="1090">
        <f>+yrSales!AC23-DZ55</f>
        <v>807</v>
      </c>
      <c r="EA54" s="1084"/>
      <c r="EH54" s="1012"/>
      <c r="EI54" s="1012"/>
      <c r="EJ54" s="1012"/>
    </row>
    <row r="55" spans="2:140" ht="12" customHeight="1">
      <c r="B55" s="1097" t="s">
        <v>79</v>
      </c>
      <c r="C55" s="963"/>
      <c r="D55" s="963"/>
      <c r="E55" s="963"/>
      <c r="F55" s="1098">
        <v>0</v>
      </c>
      <c r="G55" s="1098">
        <v>46</v>
      </c>
      <c r="H55" s="963"/>
      <c r="I55" s="963"/>
      <c r="J55" s="963"/>
      <c r="K55" s="963"/>
      <c r="L55" s="963"/>
      <c r="M55" s="963"/>
      <c r="N55" s="963"/>
      <c r="O55" s="963"/>
      <c r="P55" s="963"/>
      <c r="Q55" s="963"/>
      <c r="R55" s="963"/>
      <c r="S55" s="963"/>
      <c r="T55" s="963"/>
      <c r="U55" s="963"/>
      <c r="V55" s="963"/>
      <c r="W55" s="963"/>
      <c r="X55" s="963"/>
      <c r="Y55" s="963"/>
      <c r="Z55" s="963"/>
      <c r="AA55" s="963"/>
      <c r="AB55" s="963"/>
      <c r="AC55" s="963"/>
      <c r="AD55" s="963"/>
      <c r="AE55" s="963"/>
      <c r="AF55" s="963"/>
      <c r="AG55" s="963"/>
      <c r="AH55" s="1012"/>
      <c r="AI55" s="1012"/>
      <c r="AJ55" s="1012"/>
      <c r="AK55" s="1012"/>
      <c r="AL55" s="963"/>
      <c r="AM55" s="963"/>
      <c r="AN55" s="963"/>
      <c r="AO55" s="963"/>
      <c r="AP55" s="963"/>
      <c r="AQ55" s="963"/>
      <c r="AR55" s="1012"/>
      <c r="AS55" s="1012"/>
      <c r="AT55" s="1012"/>
      <c r="AU55" s="1012"/>
      <c r="AV55" s="1012"/>
      <c r="AW55" s="1099">
        <f>+dtc!J53</f>
        <v>3.4412762535050663E-2</v>
      </c>
      <c r="AX55" s="1100">
        <f>+(bal!U30+bal!U39)/(+bal!U30+bal!U39+bal!U42)</f>
        <v>2.8511636485017901E-2</v>
      </c>
      <c r="AY55" s="1100">
        <f>+(bal!W30+bal!W39)/(+bal!W30+bal!W39+bal!W42)</f>
        <v>0</v>
      </c>
      <c r="AZ55" s="1100">
        <f>+(bal!Y30+bal!Y39)/(+bal!Y30+bal!Y39+bal!Y42)</f>
        <v>0</v>
      </c>
      <c r="BA55" s="963"/>
      <c r="BB55" s="1100">
        <f>+(bal!AC30+bal!AC39)/(+bal!AC30+bal!AC39+bal!AC42)</f>
        <v>0</v>
      </c>
      <c r="BC55" s="1100">
        <f>+(bal!AE30+bal!AE39)/(+bal!AE30+bal!AE39+bal!AE42)</f>
        <v>5.0538027844431822E-2</v>
      </c>
      <c r="BD55" s="1100">
        <f>+(bal!AG30+bal!AG39)/(+bal!AG30+bal!AG39+bal!AG42)</f>
        <v>1.8650719886703093E-2</v>
      </c>
      <c r="BF55" s="963"/>
      <c r="BG55" s="1012"/>
      <c r="BH55" s="1012"/>
      <c r="BI55" s="1012"/>
      <c r="BJ55" s="1012"/>
      <c r="BK55" s="1012"/>
      <c r="BL55" s="1012"/>
      <c r="BM55" s="1012"/>
      <c r="BN55" s="1012"/>
      <c r="BO55" s="1012"/>
      <c r="BP55" s="963"/>
      <c r="BU55" s="975"/>
      <c r="CB55" s="1100">
        <f>+(bal!AI30+bal!AI39)/(+bal!AI30+bal!AI39+bal!AI42)</f>
        <v>0</v>
      </c>
      <c r="CC55" s="1100">
        <f>+(bal!AK30+bal!AK39)/(+bal!AK30+bal!AK39+bal!AK42)</f>
        <v>0</v>
      </c>
      <c r="CD55" s="1100">
        <f>+(bal!AM30+bal!AM39)/(+bal!AM30+bal!AM39+bal!AM42)</f>
        <v>0</v>
      </c>
      <c r="CE55" s="975"/>
      <c r="CF55" s="1100">
        <f>+(bal!AO30+bal!AO39)/(+bal!AO30+bal!AO39+bal!AO42)</f>
        <v>0</v>
      </c>
      <c r="CJ55" s="975"/>
      <c r="CK55" s="1101">
        <f>+(bal!AQ30+bal!AQ39)/(+bal!AQ30+bal!AQ39+bal!AQ42)</f>
        <v>0</v>
      </c>
      <c r="CL55" s="1101">
        <f>+(bal!AS30+bal!AS39)/(+bal!AS30+bal!AS39+bal!AS42)</f>
        <v>0</v>
      </c>
      <c r="CM55" s="1101">
        <f>+(bal!AU30+bal!AU39)/(+bal!AU30+bal!AU39+bal!AU42)</f>
        <v>0</v>
      </c>
      <c r="CN55" s="1102">
        <f>+(bal!AW30+bal!AW39)/(+bal!AW30+bal!AW39+bal!AW42)</f>
        <v>0</v>
      </c>
      <c r="CO55" s="1012"/>
      <c r="CQ55" s="1103"/>
      <c r="CR55" s="1012"/>
      <c r="CS55" s="1012"/>
      <c r="CT55" s="1012"/>
      <c r="CU55" s="1001" t="s">
        <v>581</v>
      </c>
      <c r="CV55" s="1012"/>
      <c r="CW55" s="1012"/>
      <c r="CX55" s="1012"/>
      <c r="CZ55" s="1103">
        <v>0</v>
      </c>
      <c r="DA55" s="1103">
        <v>0</v>
      </c>
      <c r="DB55" s="1103">
        <v>0</v>
      </c>
      <c r="DC55" s="1103">
        <v>0</v>
      </c>
      <c r="DD55" s="1103">
        <v>0</v>
      </c>
      <c r="DE55" s="1103">
        <f>6+2+2+26+4+3+2+1</f>
        <v>46</v>
      </c>
      <c r="DF55" s="1103">
        <f>7+2+2+31+8+3+2+1</f>
        <v>56</v>
      </c>
      <c r="DG55" s="1103">
        <f>7+2+2+37+10+3+2+2</f>
        <v>65</v>
      </c>
      <c r="DH55" s="1103">
        <v>69</v>
      </c>
      <c r="DI55" s="1103">
        <v>71</v>
      </c>
      <c r="DJ55" s="1103">
        <v>72</v>
      </c>
      <c r="DK55" s="1103">
        <v>76</v>
      </c>
      <c r="DL55" s="1103">
        <v>86</v>
      </c>
      <c r="DM55" s="1103">
        <v>88</v>
      </c>
      <c r="DO55" s="1103">
        <v>92</v>
      </c>
      <c r="DP55" s="1103">
        <f>+DO55+2</f>
        <v>94</v>
      </c>
      <c r="DQ55" s="1103">
        <f t="shared" ref="DQ55:DV55" si="67">+DP55+2</f>
        <v>96</v>
      </c>
      <c r="DR55" s="1103">
        <f>+DQ55+2</f>
        <v>98</v>
      </c>
      <c r="DS55" s="1103">
        <f t="shared" si="67"/>
        <v>100</v>
      </c>
      <c r="DT55" s="1103">
        <f t="shared" si="67"/>
        <v>102</v>
      </c>
      <c r="DU55" s="1103">
        <f t="shared" si="67"/>
        <v>104</v>
      </c>
      <c r="DV55" s="1103">
        <f t="shared" si="67"/>
        <v>106</v>
      </c>
      <c r="DW55" s="1103">
        <f>+DV55+2</f>
        <v>108</v>
      </c>
      <c r="DX55" s="1103">
        <f>+DW55+2</f>
        <v>110</v>
      </c>
      <c r="DY55" s="1104">
        <f>+DX55+2</f>
        <v>112</v>
      </c>
      <c r="DZ55" s="1104">
        <f>+DY55+2</f>
        <v>114</v>
      </c>
      <c r="EA55" s="1103"/>
      <c r="EH55" s="1012"/>
      <c r="EI55" s="1012"/>
      <c r="EJ55" s="1012"/>
    </row>
    <row r="56" spans="2:140" ht="12" customHeight="1">
      <c r="B56" s="1105" t="s">
        <v>561</v>
      </c>
      <c r="C56" s="1033"/>
      <c r="D56" s="1033"/>
      <c r="E56" s="1033"/>
      <c r="F56" s="1033"/>
      <c r="G56" s="1013">
        <f>+yrSales!I78</f>
        <v>112</v>
      </c>
      <c r="H56" s="1033"/>
      <c r="I56" s="1033"/>
      <c r="J56" s="1033"/>
      <c r="K56" s="1033"/>
      <c r="L56" s="1033"/>
      <c r="M56" s="1033"/>
      <c r="N56" s="1033"/>
      <c r="O56" s="1033"/>
      <c r="P56" s="1033"/>
      <c r="Q56" s="1033"/>
      <c r="R56" s="1033"/>
      <c r="S56" s="1033"/>
      <c r="T56" s="1033"/>
      <c r="U56" s="1033"/>
      <c r="V56" s="1033"/>
      <c r="W56" s="1033"/>
      <c r="X56" s="1033"/>
      <c r="Y56" s="1033"/>
      <c r="Z56" s="1033"/>
      <c r="AA56" s="1033"/>
      <c r="AB56" s="1042"/>
      <c r="AC56" s="1033"/>
      <c r="AD56" s="1033"/>
      <c r="AE56" s="1033"/>
      <c r="AF56" s="1033"/>
      <c r="AG56" s="1033"/>
      <c r="AH56" s="1012"/>
      <c r="AI56" s="1012"/>
      <c r="AJ56" s="1012"/>
      <c r="AK56" s="1012"/>
      <c r="AL56" s="1042"/>
      <c r="AM56" s="1033"/>
      <c r="AN56" s="1033"/>
      <c r="AO56" s="1033"/>
      <c r="AP56" s="1033"/>
      <c r="AQ56" s="1042"/>
      <c r="AR56" s="1012"/>
      <c r="AS56" s="1012"/>
      <c r="AT56" s="1012"/>
      <c r="AU56" s="1012"/>
      <c r="AV56" s="1012"/>
      <c r="AW56" s="1106">
        <f>flow!Q10/((bal!Q42+bal!S42)/2)</f>
        <v>0.16439500747544777</v>
      </c>
      <c r="AX56" s="1106">
        <f>flow!S10/((bal!S42+bal!U42)/2)</f>
        <v>0.13681916996128757</v>
      </c>
      <c r="AY56" s="1106">
        <f>flow!U10/((bal!U42+bal!W42)/2)</f>
        <v>0.28013890008076903</v>
      </c>
      <c r="AZ56" s="1106">
        <f>flow!W10/((bal!W42+bal!Y42)/2)</f>
        <v>0.27721164037643498</v>
      </c>
      <c r="BA56" s="963"/>
      <c r="BB56" s="1106">
        <f>flow!AA10/((bal!AA42+bal!AC42)/2)</f>
        <v>0.29010260441747238</v>
      </c>
      <c r="BC56" s="1106">
        <f>flow!AC10/((bal!AC42+bal!AE42)/2)</f>
        <v>0.13025010047299601</v>
      </c>
      <c r="BD56" s="1106">
        <f>flow!AE10/((bal!AE42+bal!AG42)/2)</f>
        <v>0.11315098535655327</v>
      </c>
      <c r="BF56" s="1033"/>
      <c r="BG56" s="1012"/>
      <c r="BH56" s="1012"/>
      <c r="BI56" s="1012"/>
      <c r="BJ56" s="1012"/>
      <c r="BK56" s="1033"/>
      <c r="BL56" s="1012"/>
      <c r="BM56" s="1012"/>
      <c r="BN56" s="1012"/>
      <c r="BO56" s="1012"/>
      <c r="BP56" s="1033"/>
      <c r="BU56" s="975"/>
      <c r="CB56" s="1106">
        <f>flow!AG10/((bal!AG42+bal!AI42)/2)</f>
        <v>9.601827970349415E-2</v>
      </c>
      <c r="CC56" s="1106">
        <f>flow!AI10/((bal!AI42+bal!AK42)/2)</f>
        <v>0.10961652821141638</v>
      </c>
      <c r="CD56" s="1106">
        <f>flow!AK10/((bal!AK42+bal!AM42)/2)</f>
        <v>0.17597017177159693</v>
      </c>
      <c r="CE56" s="975"/>
      <c r="CF56" s="1106">
        <f>flow!AM10/((bal!AM42+bal!AO42)/2)</f>
        <v>6.9518485862027815E-2</v>
      </c>
      <c r="CJ56" s="975"/>
      <c r="CK56" s="1107">
        <f>flow!AO10/((bal!AO42+bal!AQ42)/2)</f>
        <v>6.9665782566988341E-2</v>
      </c>
      <c r="CL56" s="1107">
        <f>flow!AQ10/((bal!AQ42+bal!AS42)/2)</f>
        <v>0.19468655784570635</v>
      </c>
      <c r="CM56" s="1107">
        <f>flow!AS10/((bal!AS42+bal!AU42)/2)</f>
        <v>0.18834590382300989</v>
      </c>
      <c r="CN56" s="1108">
        <f>flow!AU10/((bal!AU42+bal!AW42)/2)</f>
        <v>0.16991131453560457</v>
      </c>
      <c r="CO56" s="1012"/>
      <c r="CQ56" s="1109"/>
      <c r="CR56" s="1012"/>
      <c r="CS56" s="1012"/>
      <c r="CT56" s="1012"/>
      <c r="CU56" s="1001" t="s">
        <v>438</v>
      </c>
      <c r="CV56" s="1012"/>
      <c r="CW56" s="1012"/>
      <c r="CX56" s="1012"/>
      <c r="CZ56" s="1109">
        <f>+yrSales!D24</f>
        <v>0</v>
      </c>
      <c r="DA56" s="1109">
        <f>+yrSales!E24</f>
        <v>0</v>
      </c>
      <c r="DB56" s="1109">
        <f>+yrSales!F24</f>
        <v>0</v>
      </c>
      <c r="DC56" s="1109">
        <f>+yrSales!G24</f>
        <v>0</v>
      </c>
      <c r="DD56" s="1109">
        <f>+yrSales!H24</f>
        <v>0</v>
      </c>
      <c r="DE56" s="1109">
        <f>+yrSales!I24</f>
        <v>0</v>
      </c>
      <c r="DF56" s="1109">
        <f>+yrSales!J24</f>
        <v>0</v>
      </c>
      <c r="DG56" s="1109">
        <f>+yrSales!K24</f>
        <v>0</v>
      </c>
      <c r="DH56" s="1109">
        <f>+yrSales!L24</f>
        <v>0</v>
      </c>
      <c r="DI56" s="1109">
        <f>+yrSales!M24</f>
        <v>0</v>
      </c>
      <c r="DJ56" s="1109">
        <f>+yrSales!N24</f>
        <v>5</v>
      </c>
      <c r="DK56" s="1109">
        <f>+yrSales!O24</f>
        <v>19</v>
      </c>
      <c r="DL56" s="1109">
        <f>+yrSales!P24</f>
        <v>28</v>
      </c>
      <c r="DM56" s="1109">
        <f>+yrSales!Q24</f>
        <v>28</v>
      </c>
      <c r="DO56" s="1109">
        <f>+yrSales!R24</f>
        <v>0</v>
      </c>
      <c r="DP56" s="1109">
        <f>+yrSales!S24</f>
        <v>0</v>
      </c>
      <c r="DQ56" s="1109">
        <f>+yrSales!T24</f>
        <v>0</v>
      </c>
      <c r="DR56" s="1109">
        <f>+yrSales!U24</f>
        <v>0</v>
      </c>
      <c r="DS56" s="1109">
        <f>+yrSales!V24</f>
        <v>0</v>
      </c>
      <c r="DT56" s="1109">
        <f>+yrSales!W24</f>
        <v>0</v>
      </c>
      <c r="DU56" s="1109">
        <f>+yrSales!X24</f>
        <v>0</v>
      </c>
      <c r="DV56" s="1109">
        <f>+yrSales!Y24</f>
        <v>0</v>
      </c>
      <c r="DW56" s="1109">
        <f>+yrSales!Z24</f>
        <v>0</v>
      </c>
      <c r="DX56" s="1109">
        <f>+yrSales!AA24</f>
        <v>0</v>
      </c>
      <c r="DY56" s="1110">
        <f>+yrSales!AB24</f>
        <v>0</v>
      </c>
      <c r="DZ56" s="1110">
        <f>+yrSales!AC24</f>
        <v>0</v>
      </c>
      <c r="EA56" s="1109"/>
      <c r="EH56" s="1012"/>
      <c r="EI56" s="1012"/>
      <c r="EJ56" s="1012"/>
    </row>
    <row r="57" spans="2:140" ht="12.75">
      <c r="B57" s="1111" t="s">
        <v>710</v>
      </c>
      <c r="C57" s="1112"/>
      <c r="D57" s="1113">
        <f>yrSales!F34</f>
        <v>1.624933</v>
      </c>
      <c r="E57" s="1113">
        <f>+yrSales!G134</f>
        <v>2.03938</v>
      </c>
      <c r="F57" s="1113">
        <f>+yrSales!H134</f>
        <v>2.919556</v>
      </c>
      <c r="G57" s="1113">
        <f>+yrSales!I134</f>
        <v>3.6881629999999999</v>
      </c>
      <c r="H57" s="1112"/>
      <c r="I57" s="1114"/>
      <c r="J57" s="1114"/>
      <c r="K57" s="1114"/>
      <c r="L57" s="1114"/>
      <c r="M57" s="1061"/>
      <c r="N57" s="1114"/>
      <c r="O57" s="1114"/>
      <c r="P57" s="1114"/>
      <c r="Q57" s="1114"/>
      <c r="R57" s="1061"/>
      <c r="S57" s="974"/>
      <c r="T57" s="974"/>
      <c r="U57" s="974"/>
      <c r="V57" s="974"/>
      <c r="W57" s="974"/>
      <c r="X57" s="974"/>
      <c r="Y57" s="974"/>
      <c r="Z57" s="974"/>
      <c r="AA57" s="974"/>
      <c r="AB57" s="974"/>
      <c r="AC57" s="974"/>
      <c r="AD57" s="1114"/>
      <c r="AE57" s="974"/>
      <c r="AF57" s="974"/>
      <c r="AG57" s="974"/>
      <c r="AH57" s="974"/>
      <c r="AI57" s="1114"/>
      <c r="AJ57" s="974"/>
      <c r="AK57" s="974"/>
      <c r="AL57" s="974"/>
      <c r="AM57" s="974"/>
      <c r="AN57" s="974"/>
      <c r="AO57" s="974"/>
      <c r="AP57" s="974"/>
      <c r="AQ57" s="974"/>
      <c r="AR57" s="974"/>
      <c r="AS57" s="974"/>
      <c r="AT57" s="974"/>
      <c r="AU57" s="974"/>
      <c r="AV57" s="974"/>
      <c r="AW57" s="974"/>
      <c r="AX57" s="974"/>
      <c r="AY57" s="974"/>
      <c r="AZ57" s="974"/>
      <c r="BA57" s="974"/>
      <c r="BB57" s="974"/>
      <c r="BC57" s="974"/>
      <c r="BD57" s="1115"/>
      <c r="BE57" s="1115"/>
      <c r="BF57" s="974"/>
      <c r="BG57" s="1116"/>
      <c r="BH57" s="974"/>
      <c r="BI57" s="1116"/>
      <c r="BJ57" s="1116"/>
      <c r="BK57" s="974"/>
      <c r="BL57" s="1116"/>
      <c r="BM57" s="974"/>
      <c r="BN57" s="1116"/>
      <c r="BO57" s="1116"/>
      <c r="BP57" s="974"/>
      <c r="BU57" s="977"/>
      <c r="CC57" s="1117">
        <f>flow!AI22</f>
        <v>100.13500000000001</v>
      </c>
      <c r="CD57" s="1117">
        <f>flow!AK22</f>
        <v>93.938999999999993</v>
      </c>
      <c r="CE57" s="977"/>
      <c r="CF57" s="1117">
        <f>flow!AM22</f>
        <v>278.49900000000002</v>
      </c>
      <c r="CJ57" s="975"/>
      <c r="CK57" s="1117">
        <f>flow!AO22</f>
        <v>245.00200000000001</v>
      </c>
      <c r="CL57" s="1117">
        <f>flow!AQ22</f>
        <v>153.256</v>
      </c>
      <c r="CM57" s="1117">
        <f>flow!AS22</f>
        <v>161.494</v>
      </c>
      <c r="CN57" s="1118">
        <f>flow!AU22</f>
        <v>169</v>
      </c>
      <c r="CO57" s="1012"/>
      <c r="CQ57" s="1109"/>
      <c r="CR57" s="1012"/>
      <c r="CS57" s="1012"/>
      <c r="CT57" s="1012"/>
      <c r="CU57" s="1001" t="s">
        <v>439</v>
      </c>
      <c r="CV57" s="1012"/>
      <c r="CW57" s="1012"/>
      <c r="CX57" s="1012"/>
      <c r="CZ57" s="1109">
        <f>+yrSales!D25</f>
        <v>0</v>
      </c>
      <c r="DA57" s="1109">
        <f>+yrSales!E25</f>
        <v>0</v>
      </c>
      <c r="DB57" s="1109">
        <f>+yrSales!F25</f>
        <v>0</v>
      </c>
      <c r="DC57" s="1109">
        <f>+yrSales!G25</f>
        <v>0</v>
      </c>
      <c r="DD57" s="1109">
        <f>+yrSales!H25</f>
        <v>0</v>
      </c>
      <c r="DE57" s="1109">
        <f>+yrSales!I25</f>
        <v>0</v>
      </c>
      <c r="DF57" s="1109">
        <f>+yrSales!J25</f>
        <v>0</v>
      </c>
      <c r="DG57" s="1109">
        <f>+yrSales!K25</f>
        <v>0</v>
      </c>
      <c r="DH57" s="1109">
        <f>+yrSales!L25</f>
        <v>0</v>
      </c>
      <c r="DI57" s="1109">
        <f>+yrSales!M25</f>
        <v>0</v>
      </c>
      <c r="DJ57" s="1109">
        <f>+yrSales!N25</f>
        <v>3</v>
      </c>
      <c r="DK57" s="1109">
        <f>+yrSales!O25</f>
        <v>39</v>
      </c>
      <c r="DL57" s="1109">
        <f>+yrSales!P25</f>
        <v>116</v>
      </c>
      <c r="DM57" s="1109">
        <f>+yrSales!Q25</f>
        <v>137</v>
      </c>
      <c r="DO57" s="1109">
        <f>+yrSales!R25</f>
        <v>148</v>
      </c>
      <c r="DP57" s="1109">
        <f>+yrSales!S25</f>
        <v>158</v>
      </c>
      <c r="DQ57" s="1109">
        <f>+yrSales!T25</f>
        <v>151</v>
      </c>
      <c r="DR57" s="1109">
        <f>+yrSales!U25</f>
        <v>122</v>
      </c>
      <c r="DS57" s="1109">
        <f>+yrSales!V25</f>
        <v>101</v>
      </c>
      <c r="DT57" s="1109">
        <f>+yrSales!W25</f>
        <v>97</v>
      </c>
      <c r="DU57" s="1109">
        <f>+yrSales!X25</f>
        <v>102</v>
      </c>
      <c r="DV57" s="1109">
        <f>+yrSales!Y25</f>
        <v>109</v>
      </c>
      <c r="DW57" s="1109">
        <f>+yrSales!Z25</f>
        <v>114</v>
      </c>
      <c r="DX57" s="1109">
        <f>+yrSales!AA25</f>
        <v>124</v>
      </c>
      <c r="DY57" s="1110">
        <f>+yrSales!AB25</f>
        <v>124</v>
      </c>
      <c r="DZ57" s="1110">
        <f>+yrSales!AC25</f>
        <v>124</v>
      </c>
      <c r="EA57" s="1109"/>
      <c r="EH57" s="1012"/>
      <c r="EI57" s="1012"/>
      <c r="EJ57" s="1012"/>
    </row>
    <row r="58" spans="2:140" ht="11.25" hidden="1" customHeight="1" outlineLevel="1">
      <c r="B58" s="963"/>
      <c r="C58" s="1119"/>
      <c r="D58" s="1086"/>
      <c r="E58" s="1086"/>
      <c r="F58" s="1086"/>
      <c r="G58" s="1048">
        <f>+G57/F57-1</f>
        <v>0.2632616055318</v>
      </c>
      <c r="H58" s="1119"/>
      <c r="I58" s="1033"/>
      <c r="J58" s="1033"/>
      <c r="K58" s="1033"/>
      <c r="L58" s="1033"/>
      <c r="M58" s="1036"/>
      <c r="N58" s="1033"/>
      <c r="O58" s="1033"/>
      <c r="P58" s="1033"/>
      <c r="Q58" s="1033"/>
      <c r="R58" s="1036"/>
      <c r="S58" s="963"/>
      <c r="T58" s="963"/>
      <c r="U58" s="963"/>
      <c r="V58" s="963"/>
      <c r="W58" s="963"/>
      <c r="X58" s="963"/>
      <c r="Y58" s="963"/>
      <c r="Z58" s="963"/>
      <c r="AA58" s="963"/>
      <c r="AB58" s="963"/>
      <c r="AC58" s="962"/>
      <c r="AD58" s="1033"/>
      <c r="AE58" s="963"/>
      <c r="AF58" s="963"/>
      <c r="AG58" s="963"/>
      <c r="AH58" s="962"/>
      <c r="AI58" s="1033"/>
      <c r="AJ58" s="963"/>
      <c r="AK58" s="963"/>
      <c r="AL58" s="963"/>
      <c r="AM58" s="962"/>
      <c r="AN58" s="1033"/>
      <c r="AO58" s="963"/>
      <c r="AP58" s="963"/>
      <c r="AQ58" s="963"/>
      <c r="AR58" s="962"/>
      <c r="AS58" s="962"/>
      <c r="AT58" s="963"/>
      <c r="AU58" s="963"/>
      <c r="AV58" s="963"/>
      <c r="AW58" s="962"/>
      <c r="AX58" s="962"/>
      <c r="AY58" s="962"/>
      <c r="AZ58" s="962"/>
      <c r="BA58" s="963"/>
      <c r="BB58" s="962"/>
      <c r="BC58" s="963"/>
      <c r="BD58" s="1013"/>
      <c r="BE58" s="1013"/>
      <c r="BF58" s="963"/>
      <c r="BG58" s="1013"/>
      <c r="BH58" s="1033"/>
      <c r="BI58" s="1013"/>
      <c r="BJ58" s="1013"/>
      <c r="BK58" s="963"/>
      <c r="BL58" s="1013"/>
      <c r="BM58" s="1033"/>
      <c r="BN58" s="1013"/>
      <c r="BO58" s="1013"/>
      <c r="BP58" s="963"/>
      <c r="BU58" s="976"/>
      <c r="BZ58" s="975"/>
      <c r="CE58" s="975"/>
      <c r="CF58" s="1013"/>
      <c r="CG58" s="976"/>
      <c r="CH58" s="976"/>
      <c r="CI58" s="976"/>
      <c r="CJ58" s="975"/>
      <c r="CK58" s="2125"/>
      <c r="CL58" s="1013"/>
      <c r="CM58" s="1012"/>
      <c r="CN58" s="1012"/>
      <c r="CO58" s="1012"/>
      <c r="CQ58" s="1013"/>
      <c r="CR58" s="1012"/>
      <c r="CS58" s="1012"/>
      <c r="CT58" s="1012"/>
      <c r="CU58" s="1096" t="s">
        <v>555</v>
      </c>
      <c r="CV58" s="1012"/>
      <c r="CW58" s="1012"/>
      <c r="CX58" s="1012"/>
      <c r="CZ58" s="1013">
        <f>+yrSales!D78</f>
        <v>0</v>
      </c>
      <c r="DA58" s="1013">
        <f>+yrSales!E78</f>
        <v>0</v>
      </c>
      <c r="DB58" s="1013">
        <f>+yrSales!F78</f>
        <v>0</v>
      </c>
      <c r="DC58" s="1013">
        <f>+yrSales!G78</f>
        <v>0</v>
      </c>
      <c r="DD58" s="1013">
        <f>+yrSales!H78</f>
        <v>109</v>
      </c>
      <c r="DE58" s="1013">
        <f>+yrSales!I78</f>
        <v>112</v>
      </c>
      <c r="DF58" s="1013">
        <f>+yrSales!J78</f>
        <v>111</v>
      </c>
      <c r="DG58" s="1013">
        <f>+yrSales!K78</f>
        <v>110</v>
      </c>
      <c r="DH58" s="1013">
        <f>+yrSales!L78</f>
        <v>0</v>
      </c>
      <c r="DI58" s="1013">
        <f>+yrSales!M78</f>
        <v>0</v>
      </c>
      <c r="DJ58" s="1013">
        <f>+yrSales!N78</f>
        <v>0</v>
      </c>
      <c r="DK58" s="1013">
        <f>+yrSales!O78</f>
        <v>0</v>
      </c>
      <c r="DL58" s="1013">
        <f>+yrSales!P78</f>
        <v>0</v>
      </c>
      <c r="DM58" s="1013">
        <f>+yrSales!Q78</f>
        <v>0</v>
      </c>
      <c r="DO58" s="1013">
        <f>+yrSales!R78</f>
        <v>0</v>
      </c>
      <c r="DP58" s="1013">
        <f>+yrSales!S78</f>
        <v>0</v>
      </c>
      <c r="DQ58" s="1013">
        <f>+yrSales!T78</f>
        <v>0</v>
      </c>
      <c r="DR58" s="1013">
        <f>+yrSales!U78</f>
        <v>0</v>
      </c>
      <c r="DS58" s="1013">
        <f>+yrSales!V78</f>
        <v>0</v>
      </c>
      <c r="DT58" s="1013">
        <f>+yrSales!W78</f>
        <v>0</v>
      </c>
      <c r="DU58" s="1013">
        <f>+yrSales!X78</f>
        <v>0</v>
      </c>
      <c r="DV58" s="1013">
        <f>+yrSales!Y78</f>
        <v>0</v>
      </c>
      <c r="DW58" s="1013">
        <f>+yrSales!Z78</f>
        <v>0</v>
      </c>
      <c r="DX58" s="1013">
        <f>+yrSales!AA78</f>
        <v>0</v>
      </c>
      <c r="DY58" s="1016">
        <f>+yrSales!AB78</f>
        <v>0</v>
      </c>
      <c r="DZ58" s="1016">
        <f>+yrSales!AC78</f>
        <v>0</v>
      </c>
      <c r="EA58" s="1013"/>
      <c r="EH58" s="1012"/>
      <c r="EI58" s="1012"/>
      <c r="EJ58" s="1012"/>
    </row>
    <row r="59" spans="2:140" ht="12.75" collapsed="1">
      <c r="B59" s="1033"/>
      <c r="C59" s="1120"/>
      <c r="D59" s="1084">
        <f>yrSales!F37</f>
        <v>4209.6709844559582</v>
      </c>
      <c r="E59" s="1121">
        <f>yrSales!G37</f>
        <v>4376.3519313304714</v>
      </c>
      <c r="F59" s="1121">
        <f>yrSales!H37</f>
        <v>4687.4783393501802</v>
      </c>
      <c r="G59" s="1121">
        <f>yrSales!I37</f>
        <v>4918.4277286135693</v>
      </c>
      <c r="H59" s="1120"/>
      <c r="I59" s="963"/>
      <c r="J59" s="963"/>
      <c r="K59" s="963"/>
      <c r="L59" s="963"/>
      <c r="M59" s="963"/>
      <c r="N59" s="963"/>
      <c r="O59" s="963"/>
      <c r="P59" s="963"/>
      <c r="Q59" s="963"/>
      <c r="R59" s="963"/>
      <c r="S59" s="1033"/>
      <c r="T59" s="1033"/>
      <c r="U59" s="1033"/>
      <c r="V59" s="1033"/>
      <c r="W59" s="1084"/>
      <c r="X59" s="1033"/>
      <c r="Y59" s="1033"/>
      <c r="Z59" s="1033"/>
      <c r="AA59" s="1033"/>
      <c r="AB59" s="1084"/>
      <c r="AC59" s="1122"/>
      <c r="AD59" s="963"/>
      <c r="AE59" s="963"/>
      <c r="AF59" s="963"/>
      <c r="AG59" s="1084"/>
      <c r="AH59" s="1122"/>
      <c r="AI59" s="963"/>
      <c r="AJ59" s="963"/>
      <c r="AK59" s="963"/>
      <c r="AL59" s="1084"/>
      <c r="AM59" s="1122"/>
      <c r="AN59" s="1033"/>
      <c r="AO59" s="963"/>
      <c r="AP59" s="963"/>
      <c r="AQ59" s="1084"/>
      <c r="AR59" s="1122"/>
      <c r="AS59" s="1038"/>
      <c r="AT59" s="963"/>
      <c r="AU59" s="963"/>
      <c r="AV59" s="963"/>
      <c r="AW59" s="1038"/>
      <c r="AX59" s="1038"/>
      <c r="AY59" s="1038"/>
      <c r="AZ59" s="1038"/>
      <c r="BA59" s="1033"/>
      <c r="BB59" s="1038"/>
      <c r="BC59" s="963"/>
      <c r="BD59" s="1086"/>
      <c r="BE59" s="1086"/>
      <c r="BF59" s="1033"/>
      <c r="BG59" s="1086"/>
      <c r="BH59" s="1033"/>
      <c r="BI59" s="1086"/>
      <c r="BJ59" s="1086"/>
      <c r="BK59" s="1033"/>
      <c r="BL59" s="1086"/>
      <c r="BM59" s="1033"/>
      <c r="BN59" s="1086"/>
      <c r="BO59" s="1086"/>
      <c r="BP59" s="1033"/>
      <c r="BU59" s="976"/>
      <c r="BZ59" s="975"/>
      <c r="CE59" s="975"/>
      <c r="CF59" s="1086"/>
      <c r="CG59" s="976"/>
      <c r="CH59" s="976"/>
      <c r="CI59" s="976"/>
      <c r="CJ59" s="975"/>
      <c r="CK59" s="2127"/>
      <c r="CL59" s="1086"/>
      <c r="CM59" s="1012"/>
      <c r="CN59" s="1012"/>
      <c r="CO59" s="1012"/>
      <c r="CQ59" s="1086"/>
      <c r="CR59" s="1012"/>
      <c r="CS59" s="1012"/>
      <c r="CT59" s="1012"/>
      <c r="CU59" s="1096" t="s">
        <v>662</v>
      </c>
      <c r="CV59" s="1012"/>
      <c r="CW59" s="1012"/>
      <c r="CX59" s="1012"/>
      <c r="CZ59" s="1086">
        <f>+yrSales!D134</f>
        <v>1.285598</v>
      </c>
      <c r="DA59" s="1086">
        <f>+yrSales!E134</f>
        <v>1.3933610000000001</v>
      </c>
      <c r="DB59" s="1086">
        <f>+yrSales!F134</f>
        <v>1.624933</v>
      </c>
      <c r="DC59" s="1086">
        <f>+yrSales!G134</f>
        <v>2.03938</v>
      </c>
      <c r="DD59" s="1086">
        <f>+yrSales!H134</f>
        <v>2.919556</v>
      </c>
      <c r="DE59" s="1086">
        <f>+yrSales!I134</f>
        <v>3.6881629999999999</v>
      </c>
      <c r="DF59" s="1086">
        <f>+yrSales!J134</f>
        <v>4.170712</v>
      </c>
      <c r="DG59" s="1086">
        <f>+yrSales!K134</f>
        <v>4.5937029999999996</v>
      </c>
      <c r="DH59" s="1086">
        <f>+yrSales!L134</f>
        <v>4.8880949999999999</v>
      </c>
      <c r="DI59" s="1086">
        <f>+yrSales!M134</f>
        <v>4.7724869999999999</v>
      </c>
      <c r="DJ59" s="1086">
        <f>+yrSales!N134</f>
        <v>5.1730650000000002</v>
      </c>
      <c r="DK59" s="1086">
        <f>+yrSales!O34</f>
        <v>5.7099320000000002</v>
      </c>
      <c r="DL59" s="1086">
        <f>+yrSales!P34</f>
        <v>6.3281669999999997</v>
      </c>
      <c r="DM59" s="1086">
        <f>+yrSales!Q34</f>
        <v>6.2153549999999997</v>
      </c>
      <c r="DO59" s="1086">
        <f>+yrSales!R34</f>
        <v>6.2884250000000002</v>
      </c>
      <c r="DP59" s="1086">
        <f>+yrSales!S34</f>
        <v>6.2902839999999998</v>
      </c>
      <c r="DQ59" s="1086">
        <f>+yrSales!T34</f>
        <v>6.2032780000000001</v>
      </c>
      <c r="DR59" s="1086">
        <f>+yrSales!U34</f>
        <v>6.5034859999999997</v>
      </c>
      <c r="DS59" s="1086">
        <f>+yrSales!V34</f>
        <v>6.6131099999999998</v>
      </c>
      <c r="DT59" s="1086">
        <f>+yrSales!W134</f>
        <v>6.6011119999999996</v>
      </c>
      <c r="DU59" s="1086">
        <f>+yrSales!X134</f>
        <v>6.6192669999999998</v>
      </c>
      <c r="DV59" s="1086">
        <f>+yrSales!Y134</f>
        <v>6.5808119999999999</v>
      </c>
      <c r="DW59" s="1086">
        <f>+yrSales!Z134</f>
        <v>6.6617119999999996</v>
      </c>
      <c r="DX59" s="1086">
        <f>+yrSales!AA134</f>
        <v>6.6612119999999999</v>
      </c>
      <c r="DY59" s="1123">
        <f>+yrSales!AB134</f>
        <v>6.6607120000000002</v>
      </c>
      <c r="DZ59" s="1123">
        <f>+yrSales!AC134</f>
        <v>6.6337120000000001</v>
      </c>
      <c r="EA59" s="1086"/>
      <c r="EH59" s="1012"/>
      <c r="EI59" s="1012"/>
      <c r="EJ59" s="1012"/>
    </row>
    <row r="60" spans="2:140" ht="12.75">
      <c r="B60" s="1124" t="s">
        <v>812</v>
      </c>
      <c r="C60" s="1125"/>
      <c r="D60" s="1126">
        <f>yrSales!F40</f>
        <v>388</v>
      </c>
      <c r="E60" s="1126">
        <f>+yrSales!G140</f>
        <v>454.16644265923793</v>
      </c>
      <c r="F60" s="1126">
        <f>+yrSales!H140</f>
        <v>426.53383709731287</v>
      </c>
      <c r="G60" s="1126">
        <f>+yrSales!I140</f>
        <v>384.76182174211709</v>
      </c>
      <c r="H60" s="1127"/>
      <c r="I60" s="1125"/>
      <c r="J60" s="1125"/>
      <c r="K60" s="1125"/>
      <c r="L60" s="1125"/>
      <c r="M60" s="1128"/>
      <c r="N60" s="1125"/>
      <c r="O60" s="1125"/>
      <c r="P60" s="1125"/>
      <c r="Q60" s="1125"/>
      <c r="R60" s="1128"/>
      <c r="S60" s="1125"/>
      <c r="T60" s="1125"/>
      <c r="U60" s="1125"/>
      <c r="V60" s="1125"/>
      <c r="W60" s="1129"/>
      <c r="X60" s="1125"/>
      <c r="Y60" s="1125"/>
      <c r="Z60" s="1125"/>
      <c r="AA60" s="1125"/>
      <c r="AB60" s="1129"/>
      <c r="AC60" s="1129"/>
      <c r="AD60" s="1125"/>
      <c r="AE60" s="1075"/>
      <c r="AF60" s="1075"/>
      <c r="AG60" s="1129"/>
      <c r="AH60" s="1129"/>
      <c r="AI60" s="1125"/>
      <c r="AJ60" s="1075"/>
      <c r="AK60" s="1075"/>
      <c r="AL60" s="1129"/>
      <c r="AM60" s="1129"/>
      <c r="AN60" s="1125"/>
      <c r="AO60" s="1075"/>
      <c r="AP60" s="1075"/>
      <c r="AQ60" s="1129"/>
      <c r="AR60" s="1129"/>
      <c r="AS60" s="1125"/>
      <c r="AT60" s="1075"/>
      <c r="AU60" s="1075"/>
      <c r="AV60" s="1075"/>
      <c r="AW60" s="1125"/>
      <c r="AX60" s="1125"/>
      <c r="AY60" s="1125"/>
      <c r="AZ60" s="1125"/>
      <c r="BA60" s="1125"/>
      <c r="BB60" s="1125"/>
      <c r="BC60" s="1075"/>
      <c r="BD60" s="1130"/>
      <c r="BE60" s="1130"/>
      <c r="BF60" s="1125"/>
      <c r="BG60" s="1130"/>
      <c r="BH60" s="1125"/>
      <c r="BI60" s="1130"/>
      <c r="BJ60" s="1130"/>
      <c r="BK60" s="1125"/>
      <c r="BL60" s="1130"/>
      <c r="BM60" s="1125"/>
      <c r="BN60" s="1130"/>
      <c r="BO60" s="1130"/>
      <c r="BP60" s="1125"/>
      <c r="BU60" s="1076"/>
      <c r="BZ60" s="975"/>
      <c r="CE60" s="1076"/>
      <c r="CF60" s="1079" t="s">
        <v>808</v>
      </c>
      <c r="CG60" s="1079" t="s">
        <v>809</v>
      </c>
      <c r="CH60" s="1079" t="s">
        <v>810</v>
      </c>
      <c r="CI60" s="1081" t="s">
        <v>811</v>
      </c>
      <c r="CJ60" s="975"/>
      <c r="CK60" s="1079" t="s">
        <v>849</v>
      </c>
      <c r="CL60" s="1079" t="s">
        <v>850</v>
      </c>
      <c r="CM60" s="1079" t="s">
        <v>851</v>
      </c>
      <c r="CN60" s="1081" t="s">
        <v>852</v>
      </c>
      <c r="CO60" s="1012"/>
      <c r="CP60" s="2176" t="s">
        <v>853</v>
      </c>
      <c r="CQ60" s="1079" t="s">
        <v>854</v>
      </c>
      <c r="CR60" s="1079" t="s">
        <v>862</v>
      </c>
      <c r="CS60" s="1081" t="s">
        <v>863</v>
      </c>
      <c r="CT60" s="1012"/>
      <c r="CU60" s="1096" t="s">
        <v>582</v>
      </c>
      <c r="CV60" s="1012"/>
      <c r="CW60" s="1012"/>
      <c r="CX60" s="1012"/>
      <c r="CZ60" s="1048">
        <f>yrSales!D35</f>
        <v>7.0603656180463936E-2</v>
      </c>
      <c r="DA60" s="1048">
        <f>yrSales!E35</f>
        <v>8.3823248013764839E-2</v>
      </c>
      <c r="DB60" s="1048">
        <f>yrSales!F35</f>
        <v>0.16619669992198705</v>
      </c>
      <c r="DC60" s="1048">
        <f>yrSales!G35</f>
        <v>0.255054823798889</v>
      </c>
      <c r="DD60" s="1048">
        <f>yrSales!H35</f>
        <v>0.27335906010650302</v>
      </c>
      <c r="DE60" s="1048">
        <f>yrSales!I35</f>
        <v>0.28412396033213927</v>
      </c>
      <c r="DF60" s="1048">
        <f>yrSales!J35</f>
        <v>0.14476530680176358</v>
      </c>
      <c r="DG60" s="1048">
        <f>yrSales!K35</f>
        <v>0.11055963653147849</v>
      </c>
      <c r="DH60" s="1048">
        <f>yrSales!L35</f>
        <v>7.0904166225379983E-2</v>
      </c>
      <c r="DI60" s="1048">
        <f>yrSales!M35</f>
        <v>5.1186594113118655E-2</v>
      </c>
      <c r="DJ60" s="1048">
        <f>yrSales!N35</f>
        <v>8.3934854091797462E-2</v>
      </c>
      <c r="DK60" s="1048">
        <f t="shared" ref="DK60:DU60" si="68">+DK59/DJ59-1</f>
        <v>0.10378122061099182</v>
      </c>
      <c r="DL60" s="1048">
        <f t="shared" si="68"/>
        <v>0.10827361867006458</v>
      </c>
      <c r="DM60" s="1048">
        <f t="shared" si="68"/>
        <v>-1.7826963163266707E-2</v>
      </c>
      <c r="DO60" s="1048">
        <f>+DO59/DM59-1</f>
        <v>1.1756367898535292E-2</v>
      </c>
      <c r="DP60" s="1048">
        <f>+DP59/DO59-1</f>
        <v>2.9562251279124929E-4</v>
      </c>
      <c r="DQ60" s="1048">
        <f t="shared" si="68"/>
        <v>-1.3831807912011551E-2</v>
      </c>
      <c r="DR60" s="1048">
        <f t="shared" si="68"/>
        <v>4.8395058225667142E-2</v>
      </c>
      <c r="DS60" s="1048">
        <f t="shared" si="68"/>
        <v>1.6856190664514381E-2</v>
      </c>
      <c r="DT60" s="1048">
        <f t="shared" si="68"/>
        <v>-1.8142749780361012E-3</v>
      </c>
      <c r="DU60" s="1048">
        <f t="shared" si="68"/>
        <v>2.7502941928572167E-3</v>
      </c>
      <c r="DV60" s="1048">
        <f>+DV59/DU59-1</f>
        <v>-5.8095556501951418E-3</v>
      </c>
      <c r="DW60" s="1048">
        <f>+DW59/DV59-1</f>
        <v>1.2293315779268621E-2</v>
      </c>
      <c r="DX60" s="1048">
        <f>+DX59/DW59-1</f>
        <v>-7.5055781456723203E-5</v>
      </c>
      <c r="DY60" s="1131">
        <f>+DY59/DX59-1</f>
        <v>-7.5061415249932928E-5</v>
      </c>
      <c r="DZ60" s="1131">
        <f>+DZ59/DY59-1</f>
        <v>-4.0536206940039454E-3</v>
      </c>
      <c r="EA60" s="1048"/>
      <c r="EH60" s="1012"/>
      <c r="EI60" s="1012"/>
      <c r="EJ60" s="1012"/>
    </row>
    <row r="61" spans="2:140" ht="12.75">
      <c r="B61" s="1096" t="s">
        <v>4</v>
      </c>
      <c r="C61" s="963"/>
      <c r="D61" s="963"/>
      <c r="E61" s="963"/>
      <c r="F61" s="963"/>
      <c r="G61" s="963"/>
      <c r="H61" s="963"/>
      <c r="I61" s="963"/>
      <c r="J61" s="963"/>
      <c r="K61" s="963"/>
      <c r="L61" s="963"/>
      <c r="M61" s="963"/>
      <c r="N61" s="963"/>
      <c r="O61" s="963"/>
      <c r="P61" s="963"/>
      <c r="Q61" s="963"/>
      <c r="R61" s="963"/>
      <c r="S61" s="963"/>
      <c r="T61" s="963"/>
      <c r="U61" s="963"/>
      <c r="V61" s="963"/>
      <c r="W61" s="963"/>
      <c r="X61" s="963"/>
      <c r="Y61" s="963"/>
      <c r="Z61" s="963"/>
      <c r="AA61" s="963"/>
      <c r="AB61" s="963"/>
      <c r="AC61" s="963"/>
      <c r="AD61" s="963"/>
      <c r="AE61" s="963"/>
      <c r="AF61" s="963"/>
      <c r="AG61" s="963"/>
      <c r="AH61" s="963"/>
      <c r="AI61" s="963"/>
      <c r="AJ61" s="963"/>
      <c r="AK61" s="963"/>
      <c r="AL61" s="963"/>
      <c r="AM61" s="963"/>
      <c r="AN61" s="963"/>
      <c r="AO61" s="963"/>
      <c r="AP61" s="963"/>
      <c r="AQ61" s="963"/>
      <c r="AR61" s="963"/>
      <c r="AS61" s="963"/>
      <c r="AT61" s="963"/>
      <c r="AU61" s="963"/>
      <c r="AV61" s="963"/>
      <c r="AW61" s="963"/>
      <c r="AX61" s="963"/>
      <c r="AY61" s="963"/>
      <c r="AZ61" s="963"/>
      <c r="BA61" s="963"/>
      <c r="BB61" s="963"/>
      <c r="BC61" s="963"/>
      <c r="BD61" s="1132"/>
      <c r="BE61" s="1132"/>
      <c r="BF61" s="963"/>
      <c r="BG61" s="1132"/>
      <c r="BH61" s="963"/>
      <c r="BI61" s="1132"/>
      <c r="BJ61" s="1132"/>
      <c r="BK61" s="963"/>
      <c r="BL61" s="1132"/>
      <c r="BM61" s="963"/>
      <c r="BN61" s="1132"/>
      <c r="BO61" s="1132"/>
      <c r="BP61" s="963"/>
      <c r="BU61" s="975"/>
      <c r="BZ61" s="975"/>
      <c r="CE61" s="975"/>
      <c r="CF61" s="1133">
        <f t="shared" ref="CF61:CI62" si="69">(CF35-CA35)*10000</f>
        <v>253.1014413684768</v>
      </c>
      <c r="CG61" s="1133">
        <f t="shared" si="69"/>
        <v>231.54852735162157</v>
      </c>
      <c r="CH61" s="1133">
        <f t="shared" si="69"/>
        <v>306.14923592047262</v>
      </c>
      <c r="CI61" s="1134">
        <f t="shared" si="69"/>
        <v>2.0688906949362096</v>
      </c>
      <c r="CJ61" s="975"/>
      <c r="CK61" s="1133">
        <f t="shared" ref="CK61:CN62" si="70">(CK35-CF35)*10000</f>
        <v>167.28630723677361</v>
      </c>
      <c r="CL61" s="1133">
        <f t="shared" si="70"/>
        <v>158.77170283901009</v>
      </c>
      <c r="CM61" s="1133">
        <f t="shared" si="70"/>
        <v>17.770065511135691</v>
      </c>
      <c r="CN61" s="1134">
        <f t="shared" si="70"/>
        <v>32.461011936864573</v>
      </c>
      <c r="CO61" s="1012"/>
      <c r="CP61" s="2177">
        <f t="shared" ref="CP61:CS62" si="71">(CP35-CK35)*10000</f>
        <v>-268.99952286489116</v>
      </c>
      <c r="CQ61" s="1133">
        <f t="shared" si="71"/>
        <v>-248.24066948867963</v>
      </c>
      <c r="CR61" s="1133">
        <f t="shared" si="71"/>
        <v>-113.13375781769719</v>
      </c>
      <c r="CS61" s="1134">
        <f t="shared" si="71"/>
        <v>-80.848770833733539</v>
      </c>
      <c r="CT61" s="1012"/>
      <c r="CU61" s="1001" t="s">
        <v>709</v>
      </c>
      <c r="CV61" s="1012"/>
      <c r="CW61" s="1012"/>
      <c r="CX61" s="1012"/>
      <c r="CZ61" s="1132">
        <f>yrSales!D37</f>
        <v>4242.8976897689772</v>
      </c>
      <c r="DA61" s="1132">
        <f>yrSales!E37</f>
        <v>4196.8704819277118</v>
      </c>
      <c r="DB61" s="1132">
        <f>yrSales!F37</f>
        <v>4209.6709844559582</v>
      </c>
      <c r="DC61" s="1132">
        <f>yrSales!G37</f>
        <v>4376.3519313304714</v>
      </c>
      <c r="DD61" s="1132">
        <f>yrSales!H37</f>
        <v>4687.4783393501802</v>
      </c>
      <c r="DE61" s="1132">
        <f>yrSales!I37</f>
        <v>4918.4277286135693</v>
      </c>
      <c r="DF61" s="1132">
        <f>yrSales!J37</f>
        <v>5069.6440903054445</v>
      </c>
      <c r="DG61" s="1132">
        <f>yrSales!K37</f>
        <v>5266.4559006211184</v>
      </c>
      <c r="DH61" s="1132">
        <f>yrSales!L37</f>
        <v>5366.5425531914889</v>
      </c>
      <c r="DI61" s="1132">
        <f>yrSales!M37</f>
        <v>5491.9298043728422</v>
      </c>
      <c r="DJ61" s="1132">
        <f>yrSales!N37</f>
        <v>5678.4467618002191</v>
      </c>
      <c r="DK61" s="1132">
        <f>yrSales!O37</f>
        <v>5785.1388044579535</v>
      </c>
      <c r="DL61" s="1132">
        <f>yrSales!P37</f>
        <v>5763.3579234972676</v>
      </c>
      <c r="DM61" s="1132">
        <f>yrSales!Q37</f>
        <v>5634.9546690843154</v>
      </c>
      <c r="DO61" s="1132">
        <f>yrSales!R37</f>
        <v>5838.8347260909941</v>
      </c>
      <c r="DP61" s="1132">
        <f>yrSales!S37</f>
        <v>5884.269410664172</v>
      </c>
      <c r="DQ61" s="1132">
        <f>yrSales!T37</f>
        <v>5941.8371647509575</v>
      </c>
      <c r="DR61" s="1132">
        <f>yrSales!U37</f>
        <v>6100.8311444652909</v>
      </c>
      <c r="DS61" s="1132">
        <f>yrSales!V37</f>
        <v>6262.414772727273</v>
      </c>
      <c r="DT61" s="1132">
        <f>yrSales!W37</f>
        <v>6304.7870105062084</v>
      </c>
      <c r="DU61" s="1132">
        <f>yrSales!X37</f>
        <v>6304.0638095238091</v>
      </c>
      <c r="DV61" s="1132">
        <f>yrSales!Y37</f>
        <v>6285.398280802292</v>
      </c>
      <c r="DW61" s="1132">
        <f>yrSales!Z37</f>
        <v>6314.4189573459707</v>
      </c>
      <c r="DX61" s="1132">
        <f>yrSales!AA37</f>
        <v>6284.1622641509439</v>
      </c>
      <c r="DY61" s="1135">
        <f>yrSales!AB37</f>
        <v>6313.4710900473938</v>
      </c>
      <c r="DZ61" s="1135">
        <f>yrSales!AC37</f>
        <v>6348.0497607655498</v>
      </c>
      <c r="EA61" s="1132"/>
      <c r="EH61" s="1012"/>
      <c r="EI61" s="1012"/>
      <c r="EJ61" s="1012"/>
    </row>
    <row r="62" spans="2:140" ht="12.75">
      <c r="B62" s="1096" t="s">
        <v>123</v>
      </c>
      <c r="C62" s="963"/>
      <c r="D62" s="1136"/>
      <c r="E62" s="1136"/>
      <c r="F62" s="1136"/>
      <c r="G62" s="1136"/>
      <c r="H62" s="963"/>
      <c r="I62" s="1136"/>
      <c r="J62" s="1136"/>
      <c r="K62" s="1136"/>
      <c r="L62" s="1136"/>
      <c r="M62" s="963"/>
      <c r="N62" s="1136"/>
      <c r="O62" s="1136"/>
      <c r="P62" s="1136"/>
      <c r="Q62" s="1136"/>
      <c r="R62" s="963"/>
      <c r="S62" s="1136"/>
      <c r="T62" s="1136"/>
      <c r="U62" s="1136"/>
      <c r="V62" s="1136"/>
      <c r="W62" s="963"/>
      <c r="X62" s="1136"/>
      <c r="Y62" s="1136"/>
      <c r="Z62" s="1136"/>
      <c r="AA62" s="1136"/>
      <c r="AB62" s="963"/>
      <c r="AC62" s="1136"/>
      <c r="AD62" s="1136"/>
      <c r="AE62" s="1136"/>
      <c r="AF62" s="1136"/>
      <c r="AG62" s="963"/>
      <c r="AH62" s="1136"/>
      <c r="AI62" s="1136"/>
      <c r="AJ62" s="1136"/>
      <c r="AK62" s="1136"/>
      <c r="AL62" s="963"/>
      <c r="AM62" s="1136"/>
      <c r="AN62" s="1136"/>
      <c r="AO62" s="1136"/>
      <c r="AP62" s="1136"/>
      <c r="AQ62" s="963"/>
      <c r="AR62" s="1136"/>
      <c r="AS62" s="1136"/>
      <c r="AT62" s="1136"/>
      <c r="AU62" s="1136"/>
      <c r="AV62" s="963"/>
      <c r="AW62" s="1136"/>
      <c r="AX62" s="1136"/>
      <c r="AY62" s="1136"/>
      <c r="AZ62" s="1136"/>
      <c r="BA62" s="963"/>
      <c r="BB62" s="1136"/>
      <c r="BC62" s="1136"/>
      <c r="BD62" s="1136"/>
      <c r="BE62" s="1136"/>
      <c r="BF62" s="963"/>
      <c r="BG62" s="1136"/>
      <c r="BH62" s="1136"/>
      <c r="BI62" s="1136"/>
      <c r="BJ62" s="1136"/>
      <c r="BK62" s="963"/>
      <c r="BL62" s="1136"/>
      <c r="BM62" s="1136"/>
      <c r="BN62" s="1136"/>
      <c r="BO62" s="1136"/>
      <c r="BP62" s="963"/>
      <c r="BU62" s="975"/>
      <c r="BZ62" s="975"/>
      <c r="CE62" s="975"/>
      <c r="CF62" s="1137">
        <f t="shared" si="69"/>
        <v>-218.13146539178209</v>
      </c>
      <c r="CG62" s="1137">
        <f t="shared" si="69"/>
        <v>-219.63204775002853</v>
      </c>
      <c r="CH62" s="1137">
        <f t="shared" si="69"/>
        <v>6.9503594820599641</v>
      </c>
      <c r="CI62" s="1138">
        <f t="shared" si="69"/>
        <v>-8.0254443481689304</v>
      </c>
      <c r="CJ62" s="975"/>
      <c r="CK62" s="1137">
        <f t="shared" si="70"/>
        <v>-30.695094751230776</v>
      </c>
      <c r="CL62" s="1137">
        <f t="shared" si="70"/>
        <v>-29.588846275115653</v>
      </c>
      <c r="CM62" s="1137">
        <f t="shared" si="70"/>
        <v>-64.426900278624629</v>
      </c>
      <c r="CN62" s="1138">
        <f t="shared" si="70"/>
        <v>98.860223222003157</v>
      </c>
      <c r="CO62" s="1012"/>
      <c r="CP62" s="2178">
        <f t="shared" si="71"/>
        <v>-55.946074014553425</v>
      </c>
      <c r="CQ62" s="1137">
        <f t="shared" si="71"/>
        <v>-13.575734740365331</v>
      </c>
      <c r="CR62" s="1137">
        <f t="shared" si="71"/>
        <v>-77.056920694088817</v>
      </c>
      <c r="CS62" s="1138">
        <f t="shared" si="71"/>
        <v>-58.765148384473939</v>
      </c>
      <c r="CT62" s="1012"/>
      <c r="CU62" s="1139" t="s">
        <v>802</v>
      </c>
      <c r="CV62" s="1012"/>
      <c r="CW62" s="1012"/>
      <c r="CX62" s="1012"/>
      <c r="CZ62" s="1140">
        <f>+yrSales!D140</f>
        <v>261</v>
      </c>
      <c r="DA62" s="1140">
        <f>+yrSales!E140</f>
        <v>302.88854737978443</v>
      </c>
      <c r="DB62" s="1140">
        <f>+yrSales!F140</f>
        <v>389.35902201707324</v>
      </c>
      <c r="DC62" s="1140">
        <f>+yrSales!G140</f>
        <v>454.16644265923793</v>
      </c>
      <c r="DD62" s="1140">
        <f>+yrSales!H140</f>
        <v>426.53383709731287</v>
      </c>
      <c r="DE62" s="1140">
        <f>+yrSales!I140</f>
        <v>384.76182174211709</v>
      </c>
      <c r="DF62" s="1140">
        <f>+yrSales!J140</f>
        <v>372.35380382052136</v>
      </c>
      <c r="DG62" s="1140">
        <f>+yrSales!K140</f>
        <v>340.76273202489847</v>
      </c>
      <c r="DH62" s="1140">
        <f>+yrSales!L140</f>
        <v>396.81102676939543</v>
      </c>
      <c r="DI62" s="1140">
        <f>+yrSales!M140</f>
        <v>480.70851217866584</v>
      </c>
      <c r="DJ62" s="1140">
        <f>+yrSales!N140</f>
        <v>561.94145885517469</v>
      </c>
      <c r="DK62" s="1140">
        <f>+yrSales!O140</f>
        <v>561.50323297893033</v>
      </c>
      <c r="DL62" s="1140">
        <f>+yrSales!P140</f>
        <v>496.56777203776113</v>
      </c>
      <c r="DM62" s="1140">
        <f>+yrSales!Q140</f>
        <v>468.81075347099477</v>
      </c>
      <c r="DO62" s="1140">
        <f>+yrSales!R140</f>
        <v>471.1045779756202</v>
      </c>
      <c r="DP62" s="1140">
        <f>+yrSales!S140</f>
        <v>496.08668107355049</v>
      </c>
      <c r="DQ62" s="1140">
        <f>+yrSales!T140</f>
        <v>556.41489592799871</v>
      </c>
      <c r="DR62" s="1140">
        <f>+yrSales!U140</f>
        <v>520.32161768330627</v>
      </c>
      <c r="DS62" s="1140">
        <f>+yrSales!V140</f>
        <v>500.56691537956959</v>
      </c>
      <c r="DT62" s="1140">
        <f>+yrSales!W140</f>
        <v>533.03902416653818</v>
      </c>
      <c r="DU62" s="1140">
        <f>+yrSales!X140</f>
        <v>546.10612903003766</v>
      </c>
      <c r="DV62" s="1140">
        <f>+yrSales!Y140</f>
        <v>575.07974005307096</v>
      </c>
      <c r="DW62" s="1140">
        <f>+yrSales!Z140</f>
        <v>580.90608017481816</v>
      </c>
      <c r="DX62" s="1140">
        <f>+yrSales!AA140</f>
        <v>587.44217694132897</v>
      </c>
      <c r="DY62" s="1141">
        <f>+yrSales!AB140</f>
        <v>596.74427072007586</v>
      </c>
      <c r="DZ62" s="1141">
        <f>+yrSales!AC140</f>
        <v>598.01485587255775</v>
      </c>
      <c r="EA62" s="1140"/>
      <c r="EH62" s="1012"/>
      <c r="EI62" s="1012"/>
      <c r="EJ62" s="1012"/>
    </row>
    <row r="63" spans="2:140" ht="12.75">
      <c r="B63" s="1096" t="s">
        <v>6</v>
      </c>
      <c r="C63" s="975"/>
      <c r="D63" s="975"/>
      <c r="E63" s="975"/>
      <c r="F63" s="975"/>
      <c r="G63" s="975"/>
      <c r="H63" s="975"/>
      <c r="I63" s="975"/>
      <c r="J63" s="975"/>
      <c r="K63" s="975"/>
      <c r="L63" s="975"/>
      <c r="M63" s="963"/>
      <c r="N63" s="975"/>
      <c r="O63" s="975"/>
      <c r="P63" s="975"/>
      <c r="Q63" s="975"/>
      <c r="R63" s="963"/>
      <c r="S63" s="975"/>
      <c r="T63" s="975"/>
      <c r="U63" s="975"/>
      <c r="V63" s="975"/>
      <c r="W63" s="963"/>
      <c r="X63" s="963"/>
      <c r="Y63" s="963"/>
      <c r="Z63" s="963"/>
      <c r="AA63" s="963"/>
      <c r="AB63" s="963"/>
      <c r="AC63" s="963"/>
      <c r="AD63" s="963"/>
      <c r="AE63" s="963"/>
      <c r="AF63" s="963"/>
      <c r="AG63" s="963"/>
      <c r="AH63" s="963"/>
      <c r="AI63" s="963"/>
      <c r="AJ63" s="963"/>
      <c r="AK63" s="963"/>
      <c r="AL63" s="963"/>
      <c r="AM63" s="963"/>
      <c r="AN63" s="1033"/>
      <c r="AO63" s="963"/>
      <c r="AP63" s="963"/>
      <c r="AQ63" s="963"/>
      <c r="AR63" s="963"/>
      <c r="AS63" s="963"/>
      <c r="AT63" s="963"/>
      <c r="AU63" s="963"/>
      <c r="AV63" s="963"/>
      <c r="AW63" s="963"/>
      <c r="AX63" s="963"/>
      <c r="AY63" s="963"/>
      <c r="AZ63" s="963"/>
      <c r="BA63" s="963"/>
      <c r="BB63" s="963"/>
      <c r="BC63" s="963"/>
      <c r="BD63" s="1142"/>
      <c r="BE63" s="1142"/>
      <c r="BF63" s="963"/>
      <c r="BG63" s="1142"/>
      <c r="BH63" s="1033"/>
      <c r="BI63" s="1142"/>
      <c r="BJ63" s="1142"/>
      <c r="BK63" s="963"/>
      <c r="BL63" s="1142"/>
      <c r="BM63" s="1033"/>
      <c r="BN63" s="1142"/>
      <c r="BO63" s="1142"/>
      <c r="BP63" s="963"/>
      <c r="BU63" s="975"/>
      <c r="BZ63" s="963"/>
      <c r="CE63" s="963"/>
      <c r="CF63" s="1137">
        <f>(CF38-CA38)*10000</f>
        <v>469.93401914427608</v>
      </c>
      <c r="CG63" s="1137">
        <f>(CG38-CB38)*10000</f>
        <v>496.84592932976392</v>
      </c>
      <c r="CH63" s="1137">
        <f>(CH38-CC38)*10000</f>
        <v>317.42344526939399</v>
      </c>
      <c r="CI63" s="1138">
        <f>(CI38-CD38)*10000</f>
        <v>-1.1825541113688609</v>
      </c>
      <c r="CJ63" s="963"/>
      <c r="CK63" s="1137">
        <f>(CK38-CF38)*10000</f>
        <v>182.63039087534156</v>
      </c>
      <c r="CL63" s="1137">
        <f>(CL38-CG38)*10000</f>
        <v>168.28457677703136</v>
      </c>
      <c r="CM63" s="1137">
        <f>(CM38-CH38)*10000</f>
        <v>70.168966408891833</v>
      </c>
      <c r="CN63" s="1138">
        <f>(CN38-CI38)*10000</f>
        <v>-70.16278599177916</v>
      </c>
      <c r="CO63" s="1012"/>
      <c r="CP63" s="2178">
        <f>(CP38-CK38)*10000</f>
        <v>-226.44547855702982</v>
      </c>
      <c r="CQ63" s="1137">
        <f>(CQ38-CL38)*10000</f>
        <v>-238.74260251725661</v>
      </c>
      <c r="CR63" s="1137">
        <f>(CR38-CM38)*10000</f>
        <v>-63.956379622648328</v>
      </c>
      <c r="CS63" s="1138">
        <f>(CS38-CN38)*10000</f>
        <v>-17.351502601535284</v>
      </c>
      <c r="CT63" s="1012"/>
      <c r="CU63" s="1139" t="s">
        <v>801</v>
      </c>
      <c r="CV63" s="1012"/>
      <c r="CW63" s="1012"/>
      <c r="CX63" s="1012"/>
      <c r="CZ63" s="1140"/>
      <c r="DA63" s="1140"/>
      <c r="DB63" s="1140"/>
      <c r="DC63" s="1140"/>
      <c r="DD63" s="1140"/>
      <c r="DE63" s="1140"/>
      <c r="DF63" s="1140"/>
      <c r="DG63" s="1140"/>
      <c r="DH63" s="1140"/>
      <c r="DI63" s="1140">
        <f>yrSales!M40</f>
        <v>476.12187468523774</v>
      </c>
      <c r="DJ63" s="1140">
        <f>yrSales!N40</f>
        <v>530.69130803398343</v>
      </c>
      <c r="DK63" s="1140">
        <f>yrSales!O40</f>
        <v>516.75453002513916</v>
      </c>
      <c r="DL63" s="1140">
        <f>yrSales!P40</f>
        <v>445.56304114129654</v>
      </c>
      <c r="DM63" s="1140">
        <f>yrSales!Q40</f>
        <v>415.55617313861279</v>
      </c>
      <c r="DO63" s="1140">
        <f>yrSales!R40</f>
        <v>417.68073334623614</v>
      </c>
      <c r="DP63" s="1140">
        <f>yrSales!S40</f>
        <v>434.80756141190642</v>
      </c>
      <c r="DQ63" s="1140">
        <f>yrSales!T40</f>
        <v>480.00595382485795</v>
      </c>
      <c r="DR63" s="1140">
        <f>yrSales!U40</f>
        <v>435.09869120805263</v>
      </c>
      <c r="DS63" s="1140">
        <f>yrSales!V40</f>
        <v>412.63197166177571</v>
      </c>
      <c r="DT63" s="1140">
        <f>yrSales!W40</f>
        <v>432.63164810002036</v>
      </c>
      <c r="DU63" s="1140">
        <f>yrSales!X40</f>
        <v>424.8965633721055</v>
      </c>
      <c r="DV63" s="1140">
        <f>yrSales!Y40</f>
        <v>422.27147777197644</v>
      </c>
      <c r="DW63" s="1140">
        <f>yrSales!Z40</f>
        <v>405.73982757390598</v>
      </c>
      <c r="DX63" s="1140">
        <f>yrSales!AA40</f>
        <v>399.40426811724103</v>
      </c>
      <c r="DY63" s="2130">
        <f>yrSales!AB40</f>
        <v>399.28964578741846</v>
      </c>
      <c r="DZ63" s="2130">
        <f>yrSales!AC40</f>
        <v>390.25863550968722</v>
      </c>
      <c r="EA63" s="1142"/>
      <c r="EH63" s="1012"/>
      <c r="EI63" s="1012"/>
      <c r="EJ63" s="1012"/>
    </row>
    <row r="64" spans="2:140" ht="13.5" customHeight="1">
      <c r="B64" s="1143" t="s">
        <v>10</v>
      </c>
      <c r="C64" s="974"/>
      <c r="D64" s="974"/>
      <c r="E64" s="974"/>
      <c r="F64" s="974"/>
      <c r="G64" s="974"/>
      <c r="H64" s="974"/>
      <c r="I64" s="974"/>
      <c r="J64" s="974"/>
      <c r="K64" s="974"/>
      <c r="L64" s="974"/>
      <c r="M64" s="974"/>
      <c r="N64" s="974"/>
      <c r="O64" s="974"/>
      <c r="P64" s="974"/>
      <c r="Q64" s="974"/>
      <c r="R64" s="974"/>
      <c r="S64" s="974"/>
      <c r="T64" s="974"/>
      <c r="U64" s="974"/>
      <c r="V64" s="974"/>
      <c r="W64" s="974"/>
      <c r="X64" s="974"/>
      <c r="Y64" s="974"/>
      <c r="Z64" s="974"/>
      <c r="AA64" s="974"/>
      <c r="AB64" s="974"/>
      <c r="AC64" s="974"/>
      <c r="AD64" s="974"/>
      <c r="AE64" s="974"/>
      <c r="AF64" s="974"/>
      <c r="AG64" s="974"/>
      <c r="AH64" s="974"/>
      <c r="AI64" s="974"/>
      <c r="AJ64" s="974"/>
      <c r="AK64" s="974"/>
      <c r="AL64" s="974"/>
      <c r="AM64" s="974"/>
      <c r="AN64" s="974"/>
      <c r="AO64" s="974"/>
      <c r="AP64" s="974"/>
      <c r="AQ64" s="974"/>
      <c r="AR64" s="974"/>
      <c r="AS64" s="974"/>
      <c r="AT64" s="974"/>
      <c r="AU64" s="974"/>
      <c r="AV64" s="974"/>
      <c r="AW64" s="974"/>
      <c r="AX64" s="974"/>
      <c r="AY64" s="974"/>
      <c r="AZ64" s="974"/>
      <c r="BA64" s="974"/>
      <c r="BB64" s="974"/>
      <c r="BC64" s="974"/>
      <c r="BD64" s="974"/>
      <c r="BE64" s="974"/>
      <c r="BF64" s="974"/>
      <c r="BG64" s="974"/>
      <c r="BH64" s="974"/>
      <c r="BI64" s="974"/>
      <c r="BJ64" s="974"/>
      <c r="BK64" s="974"/>
      <c r="BL64" s="974"/>
      <c r="BM64" s="974"/>
      <c r="BN64" s="974"/>
      <c r="BO64" s="974"/>
      <c r="BP64" s="974"/>
      <c r="BU64" s="977"/>
      <c r="BZ64" s="975"/>
      <c r="CE64" s="977"/>
      <c r="CF64" s="1146">
        <f>(CF42-CA42)*10000</f>
        <v>471.23290676025886</v>
      </c>
      <c r="CG64" s="1146">
        <f>(CG42-CB42)*10000</f>
        <v>451.18057510165011</v>
      </c>
      <c r="CH64" s="1146">
        <f>(CH42-CC42)*10000</f>
        <v>299.19887643841292</v>
      </c>
      <c r="CI64" s="1147">
        <f>(CI42-CD42)*10000</f>
        <v>10.094335043105417</v>
      </c>
      <c r="CJ64" s="975"/>
      <c r="CK64" s="1146">
        <f>(CK42-CF42)*10000</f>
        <v>197.98140198800425</v>
      </c>
      <c r="CL64" s="1146">
        <f>(CL42-CG42)*10000</f>
        <v>188.36054911412546</v>
      </c>
      <c r="CM64" s="1146">
        <f>(CM42-CH42)*10000</f>
        <v>82.196965789760043</v>
      </c>
      <c r="CN64" s="1147">
        <f>(CN42-CI42)*10000</f>
        <v>-66.399211285138591</v>
      </c>
      <c r="CO64" s="963"/>
      <c r="CP64" s="2179">
        <f>(CP42-CK42)*10000</f>
        <v>-213.05344885033759</v>
      </c>
      <c r="CQ64" s="1146">
        <f>(CQ42-CL42)*10000</f>
        <v>-234.66493474831429</v>
      </c>
      <c r="CR64" s="1146">
        <f>(CR42-CM42)*10000</f>
        <v>-36.076837123608371</v>
      </c>
      <c r="CS64" s="1147">
        <f>(CS42-CN42)*10000</f>
        <v>-22.083622449259323</v>
      </c>
      <c r="CT64" s="963"/>
      <c r="CU64" s="1143" t="s">
        <v>806</v>
      </c>
      <c r="CV64" s="974"/>
      <c r="CW64" s="974"/>
      <c r="CX64" s="974"/>
      <c r="CY64" s="974"/>
      <c r="CZ64" s="974"/>
      <c r="DA64" s="974"/>
      <c r="DB64" s="974"/>
      <c r="DC64" s="974"/>
      <c r="DD64" s="974"/>
      <c r="DE64" s="974"/>
      <c r="DF64" s="974"/>
      <c r="DG64" s="974"/>
      <c r="DH64" s="974"/>
      <c r="DI64" s="974"/>
      <c r="DJ64" s="1144">
        <f>yrSales!N55</f>
        <v>133.85018750090495</v>
      </c>
      <c r="DK64" s="1144">
        <f>yrSales!O55</f>
        <v>131.43070791988643</v>
      </c>
      <c r="DL64" s="1144">
        <f>yrSales!P55</f>
        <v>121.95297613020129</v>
      </c>
      <c r="DM64" s="1144">
        <f>yrSales!Q55</f>
        <v>115.64184285721348</v>
      </c>
      <c r="DN64" s="974"/>
      <c r="DO64" s="1144">
        <f>yrSales!R55</f>
        <v>112.43384000678195</v>
      </c>
      <c r="DP64" s="1144">
        <f>'yrP&amp;L'!R19/yrSales!S31</f>
        <v>113.30049848517841</v>
      </c>
      <c r="DQ64" s="1144">
        <f>'yrP&amp;L'!S19/yrSales!T31</f>
        <v>132.63711341889524</v>
      </c>
      <c r="DR64" s="1144">
        <f>'yrP&amp;L'!T19/yrSales!U31</f>
        <v>124.13309950511396</v>
      </c>
      <c r="DS64" s="1144">
        <f>'yrP&amp;L'!U19/yrSales!V31</f>
        <v>122.97367396236035</v>
      </c>
      <c r="DT64" s="1144">
        <f>'yrP&amp;L'!V19/yrSales!W31</f>
        <v>126.333582105704</v>
      </c>
      <c r="DU64" s="1144">
        <f>'yrP&amp;L'!W19/yrSales!X31</f>
        <v>129.72396630989172</v>
      </c>
      <c r="DV64" s="1144">
        <f>'yrP&amp;L'!X19/yrSales!Y31</f>
        <v>133.28480837122262</v>
      </c>
      <c r="DW64" s="1144">
        <f>'yrP&amp;L'!Y19/yrSales!Z31</f>
        <v>135.27348335169242</v>
      </c>
      <c r="DX64" s="1144">
        <f>'yrP&amp;L'!Z19/yrSales!AA31</f>
        <v>137.1090040981062</v>
      </c>
      <c r="DY64" s="1145">
        <f>'yrP&amp;L'!AA19/yrSales!AB31</f>
        <v>140.11555476507382</v>
      </c>
      <c r="DZ64" s="2131">
        <f>'yrP&amp;L'!AB19/yrSales!AC31</f>
        <v>141.37071192827264</v>
      </c>
      <c r="EA64" s="974"/>
      <c r="EH64" s="1161"/>
      <c r="EI64" s="1161"/>
      <c r="EJ64" s="1161"/>
    </row>
    <row r="65" spans="2:142" ht="10.5" customHeight="1">
      <c r="B65" s="962"/>
      <c r="C65" s="962"/>
      <c r="D65" s="962"/>
      <c r="E65" s="962"/>
      <c r="F65" s="962"/>
      <c r="G65" s="962"/>
      <c r="H65" s="962"/>
      <c r="I65" s="962"/>
      <c r="J65" s="962"/>
      <c r="K65" s="962"/>
      <c r="L65" s="962"/>
      <c r="M65" s="962"/>
      <c r="N65" s="962"/>
      <c r="O65" s="962"/>
      <c r="P65" s="962"/>
      <c r="Q65" s="962"/>
      <c r="R65" s="962"/>
      <c r="S65" s="962"/>
      <c r="T65" s="962"/>
      <c r="U65" s="962"/>
      <c r="V65" s="962"/>
      <c r="W65" s="962"/>
      <c r="X65" s="962"/>
      <c r="Y65" s="962"/>
      <c r="Z65" s="962"/>
      <c r="AA65" s="962"/>
      <c r="AB65" s="962"/>
      <c r="AC65" s="962"/>
      <c r="AD65" s="962"/>
      <c r="AE65" s="962"/>
      <c r="AF65" s="962"/>
      <c r="AG65" s="962"/>
      <c r="AH65" s="962"/>
      <c r="AI65" s="962"/>
      <c r="AJ65" s="962"/>
      <c r="AK65" s="962"/>
      <c r="AL65" s="962"/>
      <c r="AM65" s="962"/>
      <c r="AN65" s="962"/>
      <c r="AO65" s="962"/>
      <c r="AP65" s="962"/>
      <c r="AQ65" s="962"/>
      <c r="AR65" s="962"/>
      <c r="AS65" s="962"/>
      <c r="AT65" s="962"/>
      <c r="AU65" s="962"/>
      <c r="AV65" s="962"/>
      <c r="AW65" s="962"/>
      <c r="AX65" s="962"/>
      <c r="AY65" s="963"/>
      <c r="AZ65" s="963"/>
      <c r="BA65" s="963"/>
      <c r="BB65" s="963"/>
      <c r="BC65" s="963"/>
      <c r="BD65" s="963"/>
      <c r="BE65" s="963"/>
      <c r="BF65" s="963"/>
      <c r="BG65" s="963"/>
      <c r="BH65" s="963"/>
      <c r="BI65" s="963"/>
      <c r="BJ65" s="963"/>
      <c r="BK65" s="963"/>
      <c r="BL65" s="963"/>
      <c r="BM65" s="962"/>
      <c r="BN65" s="962"/>
      <c r="BO65" s="962"/>
      <c r="BP65" s="963"/>
      <c r="BQ65" s="963"/>
      <c r="BR65" s="976"/>
      <c r="BS65" s="976"/>
      <c r="BT65" s="976"/>
      <c r="BU65" s="976"/>
      <c r="BV65" s="962"/>
      <c r="BW65" s="963"/>
      <c r="BX65" s="963"/>
      <c r="BY65" s="963"/>
      <c r="BZ65" s="975"/>
      <c r="CA65" s="963"/>
      <c r="CB65" s="962"/>
      <c r="CC65" s="962"/>
      <c r="CD65" s="962"/>
      <c r="CE65" s="975"/>
      <c r="CF65" s="963"/>
      <c r="CG65" s="962"/>
      <c r="CH65" s="962"/>
      <c r="CI65" s="1075"/>
      <c r="CJ65" s="975"/>
      <c r="CK65" s="963"/>
      <c r="CL65" s="962"/>
      <c r="CM65" s="962"/>
      <c r="CN65" s="962"/>
      <c r="CO65" s="962"/>
      <c r="CP65" s="963"/>
      <c r="CQ65" s="963"/>
      <c r="CR65" s="963"/>
      <c r="CS65" s="963"/>
      <c r="CT65" s="963"/>
      <c r="CU65" s="962"/>
      <c r="CV65" s="962"/>
      <c r="CW65" s="962"/>
      <c r="CX65" s="962"/>
      <c r="CY65" s="962"/>
      <c r="CZ65" s="962"/>
      <c r="DA65" s="962"/>
      <c r="DB65" s="962"/>
      <c r="DC65" s="962"/>
      <c r="DD65" s="962"/>
      <c r="DE65" s="962"/>
      <c r="DF65" s="963"/>
      <c r="DG65" s="963"/>
      <c r="DH65" s="962"/>
      <c r="DI65" s="962"/>
      <c r="DJ65" s="962"/>
      <c r="DK65" s="963"/>
      <c r="DL65" s="962"/>
      <c r="DM65" s="962"/>
      <c r="DN65" s="962"/>
      <c r="DO65" s="962"/>
      <c r="DP65" s="962"/>
      <c r="DQ65" s="962"/>
      <c r="DR65" s="962"/>
      <c r="DS65" s="963"/>
      <c r="DT65" s="962"/>
      <c r="DU65" s="962"/>
      <c r="DV65" s="962"/>
      <c r="DW65" s="962"/>
      <c r="DX65" s="962"/>
      <c r="DY65" s="963"/>
      <c r="DZ65" s="962"/>
      <c r="EA65" s="962"/>
    </row>
    <row r="66" spans="2:142" ht="10.5" customHeight="1">
      <c r="B66" s="1148" t="s">
        <v>572</v>
      </c>
      <c r="C66" s="962"/>
      <c r="D66" s="962"/>
      <c r="E66" s="962"/>
      <c r="F66" s="962"/>
      <c r="G66" s="962"/>
      <c r="H66" s="962"/>
      <c r="I66" s="962"/>
      <c r="J66" s="962"/>
      <c r="K66" s="962"/>
      <c r="L66" s="962"/>
      <c r="M66" s="962"/>
      <c r="N66" s="962"/>
      <c r="O66" s="962"/>
      <c r="P66" s="962"/>
      <c r="Q66" s="962"/>
      <c r="R66" s="962"/>
      <c r="S66" s="962"/>
      <c r="T66" s="962"/>
      <c r="U66" s="962"/>
      <c r="V66" s="962"/>
      <c r="W66" s="962"/>
      <c r="X66" s="962"/>
      <c r="Y66" s="962"/>
      <c r="Z66" s="962"/>
      <c r="AA66" s="962"/>
      <c r="AB66" s="962"/>
      <c r="AC66" s="962"/>
      <c r="AD66" s="962"/>
      <c r="AE66" s="962"/>
      <c r="AF66" s="962"/>
      <c r="AG66" s="962"/>
      <c r="AH66" s="962"/>
      <c r="AI66" s="962"/>
      <c r="AJ66" s="962"/>
      <c r="AK66" s="962"/>
      <c r="AL66" s="962"/>
      <c r="AM66" s="962"/>
      <c r="AN66" s="962"/>
      <c r="AO66" s="962"/>
      <c r="AP66" s="962"/>
      <c r="AQ66" s="962"/>
      <c r="AR66" s="962"/>
      <c r="AS66" s="962"/>
      <c r="AT66" s="962"/>
      <c r="AU66" s="962"/>
      <c r="AV66" s="962"/>
      <c r="AW66" s="962"/>
      <c r="AX66" s="962"/>
      <c r="AY66" s="962"/>
      <c r="AZ66" s="962"/>
      <c r="BA66" s="962"/>
      <c r="BB66" s="962"/>
      <c r="BC66" s="962"/>
      <c r="BD66" s="962"/>
      <c r="BE66" s="962"/>
      <c r="BF66" s="962"/>
      <c r="BG66" s="962"/>
      <c r="BH66" s="963"/>
      <c r="BI66" s="963"/>
      <c r="BJ66" s="963"/>
      <c r="BK66" s="963"/>
      <c r="BL66" s="962"/>
      <c r="BM66" s="962"/>
      <c r="BN66" s="962"/>
      <c r="BO66" s="962"/>
      <c r="BP66" s="963"/>
      <c r="BQ66" s="962"/>
      <c r="BR66" s="976"/>
      <c r="BS66" s="976"/>
      <c r="BT66" s="976"/>
      <c r="BU66" s="976"/>
      <c r="BV66" s="962"/>
      <c r="BW66" s="962"/>
      <c r="BX66" s="962"/>
      <c r="BY66" s="962"/>
      <c r="BZ66" s="976"/>
      <c r="CA66" s="962"/>
      <c r="CB66" s="962"/>
      <c r="CC66" s="962"/>
      <c r="CD66" s="962"/>
      <c r="CE66" s="976"/>
      <c r="CF66" s="962"/>
      <c r="CG66" s="962"/>
      <c r="CH66" s="962"/>
      <c r="CI66" s="962"/>
      <c r="CJ66" s="976"/>
      <c r="CK66" s="963"/>
      <c r="CL66" s="962"/>
      <c r="CM66" s="962"/>
      <c r="CN66" s="962"/>
      <c r="CO66" s="962"/>
      <c r="CP66" s="963"/>
      <c r="CQ66" s="963"/>
      <c r="CR66" s="963"/>
      <c r="CS66" s="963"/>
      <c r="CT66" s="962"/>
      <c r="CU66" s="962"/>
      <c r="CV66" s="962"/>
      <c r="CW66" s="962"/>
      <c r="CX66" s="962"/>
      <c r="CY66" s="962"/>
      <c r="CZ66" s="962"/>
      <c r="DA66" s="962"/>
      <c r="DB66" s="962"/>
      <c r="DC66" s="962"/>
      <c r="DD66" s="962"/>
      <c r="DE66" s="962"/>
      <c r="DF66" s="963"/>
      <c r="DG66" s="963"/>
      <c r="DH66" s="962"/>
      <c r="DI66" s="962"/>
      <c r="DJ66" s="962"/>
      <c r="DK66" s="963"/>
      <c r="DL66" s="962"/>
      <c r="DM66" s="962"/>
      <c r="DN66" s="962"/>
      <c r="DO66" s="962"/>
      <c r="DP66" s="962"/>
      <c r="DQ66" s="962"/>
      <c r="DR66" s="962"/>
      <c r="DS66" s="963"/>
      <c r="DT66" s="962"/>
      <c r="DU66" s="962"/>
      <c r="DV66" s="962"/>
      <c r="DW66" s="962"/>
      <c r="DX66" s="962"/>
      <c r="DY66" s="963"/>
      <c r="DZ66" s="962"/>
      <c r="EA66" s="962"/>
    </row>
    <row r="67" spans="2:142" ht="10.5" customHeight="1">
      <c r="B67" s="962"/>
      <c r="C67" s="962"/>
      <c r="D67" s="962"/>
      <c r="E67" s="962"/>
      <c r="F67" s="962"/>
      <c r="G67" s="962"/>
      <c r="H67" s="962"/>
      <c r="I67" s="962"/>
      <c r="J67" s="962"/>
      <c r="K67" s="962"/>
      <c r="L67" s="962"/>
      <c r="M67" s="962"/>
      <c r="N67" s="962"/>
      <c r="O67" s="962"/>
      <c r="P67" s="962"/>
      <c r="Q67" s="962"/>
      <c r="R67" s="962"/>
      <c r="S67" s="962"/>
      <c r="T67" s="962"/>
      <c r="U67" s="962"/>
      <c r="V67" s="962"/>
      <c r="W67" s="962"/>
      <c r="X67" s="962"/>
      <c r="Y67" s="962"/>
      <c r="Z67" s="962"/>
      <c r="AA67" s="962"/>
      <c r="AB67" s="962"/>
      <c r="AC67" s="962"/>
      <c r="AD67" s="962"/>
      <c r="AE67" s="962"/>
      <c r="AF67" s="962"/>
      <c r="AG67" s="962"/>
      <c r="AH67" s="962"/>
      <c r="AI67" s="962"/>
      <c r="AJ67" s="962"/>
      <c r="AK67" s="962"/>
      <c r="AL67" s="962"/>
      <c r="AM67" s="962"/>
      <c r="AN67" s="962"/>
      <c r="AO67" s="962"/>
      <c r="AP67" s="962"/>
      <c r="AQ67" s="962"/>
      <c r="AR67" s="962"/>
      <c r="AS67" s="962"/>
      <c r="AT67" s="962"/>
      <c r="AU67" s="962"/>
      <c r="AV67" s="962"/>
      <c r="AW67" s="962"/>
      <c r="AX67" s="962"/>
      <c r="AY67" s="1014"/>
      <c r="AZ67" s="1014"/>
      <c r="BA67" s="1014"/>
      <c r="BB67" s="1014"/>
      <c r="BC67" s="1014"/>
      <c r="BD67" s="1014"/>
      <c r="BE67" s="1014"/>
      <c r="BF67" s="1014"/>
      <c r="BG67" s="1014"/>
      <c r="BH67" s="1014"/>
      <c r="BI67" s="1014"/>
      <c r="BJ67" s="1014"/>
      <c r="BK67" s="1014"/>
      <c r="BL67" s="1014"/>
      <c r="BM67" s="1014"/>
      <c r="BN67" s="1014"/>
      <c r="BO67" s="1014"/>
      <c r="BP67" s="1014"/>
      <c r="BQ67" s="1014"/>
      <c r="BR67" s="976"/>
      <c r="BS67" s="976"/>
      <c r="BT67" s="976"/>
      <c r="BU67" s="976"/>
      <c r="BV67" s="1014"/>
      <c r="BW67" s="1014"/>
      <c r="BX67" s="1014"/>
      <c r="BY67" s="1014"/>
      <c r="BZ67" s="976"/>
      <c r="CA67" s="1014"/>
      <c r="CB67" s="1014"/>
      <c r="CC67" s="1014"/>
      <c r="CD67" s="1014"/>
      <c r="CE67" s="976"/>
      <c r="CF67" s="1014"/>
      <c r="CG67" s="1014"/>
      <c r="CH67" s="1014"/>
      <c r="CI67" s="1014"/>
      <c r="CJ67" s="976"/>
      <c r="CK67" s="962"/>
      <c r="CL67" s="962"/>
      <c r="CM67" s="962"/>
      <c r="CN67" s="962"/>
      <c r="CO67" s="962"/>
      <c r="CP67" s="962"/>
      <c r="CQ67" s="962"/>
      <c r="CR67" s="962"/>
      <c r="CS67" s="962"/>
      <c r="CT67" s="962"/>
      <c r="CU67" s="962"/>
      <c r="CV67" s="962"/>
      <c r="CW67" s="962"/>
      <c r="CX67" s="962"/>
      <c r="CY67" s="962"/>
      <c r="CZ67" s="962"/>
      <c r="DA67" s="962"/>
      <c r="DB67" s="962"/>
      <c r="DC67" s="962"/>
      <c r="DD67" s="962"/>
      <c r="DE67" s="962"/>
      <c r="DF67" s="963"/>
      <c r="DG67" s="963"/>
      <c r="DH67" s="962"/>
      <c r="DI67" s="962"/>
      <c r="DJ67" s="962"/>
      <c r="DK67" s="963"/>
      <c r="DL67" s="962"/>
      <c r="DM67" s="962"/>
      <c r="DN67" s="962"/>
      <c r="DO67" s="962"/>
      <c r="DP67" s="962"/>
      <c r="DQ67" s="962"/>
      <c r="DR67" s="962"/>
      <c r="DS67" s="963"/>
      <c r="DT67" s="963"/>
      <c r="DU67" s="963"/>
      <c r="DV67" s="963"/>
      <c r="DW67" s="963"/>
      <c r="DX67" s="963"/>
      <c r="DY67" s="963"/>
      <c r="DZ67" s="963"/>
      <c r="EA67" s="963"/>
      <c r="EH67" s="1012"/>
      <c r="EI67" s="1012"/>
      <c r="EJ67" s="1012"/>
      <c r="EK67" s="1164"/>
      <c r="EL67" s="1012"/>
    </row>
    <row r="68" spans="2:142" ht="10.5" hidden="1" customHeight="1" outlineLevel="1">
      <c r="B68" s="963" t="s">
        <v>181</v>
      </c>
      <c r="C68" s="963"/>
      <c r="D68" s="1149">
        <f>qtrSales!X79</f>
        <v>1.6913149999999999</v>
      </c>
      <c r="E68" s="1149">
        <f>qtrSales!X80</f>
        <v>1.8179380000000001</v>
      </c>
      <c r="F68" s="1149">
        <f>qtrSales!X81</f>
        <v>1.9903999999999999</v>
      </c>
      <c r="G68" s="1149">
        <f>qtrSales!X82</f>
        <v>2.03938</v>
      </c>
      <c r="H68" s="1149"/>
      <c r="I68" s="1149">
        <f>qtrSales!X86</f>
        <v>2.1938219999999999</v>
      </c>
      <c r="J68" s="1149">
        <f>qtrSales!X87</f>
        <v>2.3449749999999998</v>
      </c>
      <c r="K68" s="1149">
        <f>qtrSales!X88</f>
        <v>2.5186959999999998</v>
      </c>
      <c r="L68" s="1149">
        <f>qtrSales!X89</f>
        <v>2.5968629999999999</v>
      </c>
      <c r="M68" s="1149"/>
      <c r="N68" s="1149">
        <f>qtrSales!X93</f>
        <v>2.7111529999999999</v>
      </c>
      <c r="O68" s="1149">
        <f>qtrSales!X94</f>
        <v>2.9796529999999999</v>
      </c>
      <c r="P68" s="1149">
        <f>qtrSales!X95</f>
        <v>3.3120039999999999</v>
      </c>
      <c r="Q68" s="1149">
        <f>qtrSales!X96</f>
        <v>3.3346939999999998</v>
      </c>
      <c r="R68" s="1149"/>
      <c r="S68" s="1149">
        <f>qtrSales!X100</f>
        <v>3.4139330000000001</v>
      </c>
      <c r="T68" s="1149">
        <f>qtrSales!X101</f>
        <v>3.5521950000000002</v>
      </c>
      <c r="U68" s="1149">
        <f>qtrSales!X102</f>
        <v>3.7436769999999999</v>
      </c>
      <c r="V68" s="1149">
        <f>qtrSales!X103</f>
        <v>3.8174419999999998</v>
      </c>
      <c r="W68" s="1149"/>
      <c r="X68" s="1149">
        <f>qtrSales!X107</f>
        <v>3.8834680000000001</v>
      </c>
      <c r="Y68" s="1149">
        <f>qtrSales!X108</f>
        <v>4.0097269999999998</v>
      </c>
      <c r="Z68" s="1149">
        <f>qtrSales!X109</f>
        <v>4.1570460000000002</v>
      </c>
      <c r="AA68" s="1149">
        <f>qtrSales!X110</f>
        <v>4.2394970000000001</v>
      </c>
      <c r="AB68" s="1149"/>
      <c r="AC68" s="1149">
        <f>qtrSales!X114</f>
        <v>4.2851819999999998</v>
      </c>
      <c r="AD68" s="1149">
        <f>qtrSales!X115</f>
        <v>4.3907229999999995</v>
      </c>
      <c r="AE68" s="1149">
        <f>qtrSales!X116</f>
        <v>4.4896060000000002</v>
      </c>
      <c r="AF68" s="1149">
        <f>qtrSales!X117</f>
        <v>4.540095</v>
      </c>
      <c r="AG68" s="1149"/>
      <c r="AH68" s="1149">
        <f>qtrSales!X121</f>
        <v>4.5497290000000001</v>
      </c>
      <c r="AI68" s="1149">
        <f>qtrSales!X122</f>
        <v>4.6314609999999998</v>
      </c>
      <c r="AJ68" s="1149">
        <f>qtrSales!X123</f>
        <v>4.7296120000000004</v>
      </c>
      <c r="AK68" s="1149">
        <f>qtrSales!X124</f>
        <v>4.7724869999999999</v>
      </c>
      <c r="AL68" s="1149"/>
      <c r="AM68" s="1149">
        <f>qtrSales!X128</f>
        <v>4.8470769999999996</v>
      </c>
      <c r="AN68" s="1149">
        <f>qtrSales!X129</f>
        <v>4.9111919999999998</v>
      </c>
      <c r="AO68" s="1149">
        <f>qtrSales!X130</f>
        <v>5.0647710000000004</v>
      </c>
      <c r="AP68" s="1149">
        <f>qtrSales!X131</f>
        <v>5.1730650000000002</v>
      </c>
      <c r="AQ68" s="1149"/>
      <c r="AR68" s="1149">
        <f>qtrSales!X135</f>
        <v>5.2570319999999997</v>
      </c>
      <c r="AS68" s="1149">
        <f>qtrSales!X136</f>
        <v>5.3504680000000002</v>
      </c>
      <c r="AT68" s="1149">
        <f>qtrSales!X137</f>
        <v>5.618474</v>
      </c>
      <c r="AU68" s="1149">
        <f>qtrSales!X138</f>
        <v>5.7099320000000002</v>
      </c>
      <c r="AV68" s="1149"/>
      <c r="AW68" s="1149">
        <f>qtrSales!X142</f>
        <v>5.8886289999999999</v>
      </c>
      <c r="AX68" s="1149">
        <f>qtrSales!X143</f>
        <v>6.0928550000000001</v>
      </c>
      <c r="AY68" s="1149">
        <f>qtrSales!X144</f>
        <v>6.3104019999999998</v>
      </c>
      <c r="AZ68" s="1149">
        <f>qtrSales!X145</f>
        <v>6.3281669999999997</v>
      </c>
      <c r="BA68" s="1149"/>
      <c r="BB68" s="1149">
        <f>qtrSales!X149</f>
        <v>6.2181990000000003</v>
      </c>
      <c r="BC68" s="1149">
        <f>qtrSales!X150</f>
        <v>6.2424559999999998</v>
      </c>
      <c r="BD68" s="1149">
        <f>qtrSales!X151</f>
        <v>6.2744169999999997</v>
      </c>
      <c r="BE68" s="1149">
        <f>qtrSales!X152</f>
        <v>6.2153549999999997</v>
      </c>
      <c r="BF68" s="1149"/>
      <c r="BG68" s="1149">
        <f>qtrSales!X156</f>
        <v>6.2417189999999998</v>
      </c>
      <c r="BH68" s="1149">
        <f>qtrSales!X157</f>
        <v>6.2795100000000001</v>
      </c>
      <c r="BI68" s="1149">
        <f>qtrSales!X158</f>
        <v>6.323099</v>
      </c>
      <c r="BJ68" s="1149">
        <f>qtrSales!X159</f>
        <v>6.2884250000000002</v>
      </c>
      <c r="BK68" s="1149"/>
      <c r="BL68" s="1149">
        <f>qtrSales!X163</f>
        <v>6.3972049999999996</v>
      </c>
      <c r="BM68" s="1149">
        <f>qtrSales!X164</f>
        <v>6.4587839999999996</v>
      </c>
      <c r="BN68" s="1149">
        <f>qtrSales!X165</f>
        <v>6.5365640000000003</v>
      </c>
      <c r="BO68" s="1149">
        <f>qtrSales!X166</f>
        <v>6.2902839999999998</v>
      </c>
      <c r="BP68" s="1149"/>
      <c r="BQ68" s="1149">
        <f>qtrSales!X170</f>
        <v>6.4144199999999998</v>
      </c>
      <c r="BR68" s="976"/>
      <c r="BS68" s="976"/>
      <c r="BT68" s="976"/>
      <c r="BU68" s="976"/>
      <c r="BW68" s="1150"/>
      <c r="BX68" s="963"/>
      <c r="BY68" s="963"/>
      <c r="BZ68" s="975"/>
      <c r="CA68" s="1012"/>
      <c r="CB68" s="1149"/>
      <c r="CE68" s="975"/>
      <c r="CF68" s="1012"/>
      <c r="CG68" s="1149"/>
      <c r="CJ68" s="975"/>
      <c r="CK68" s="1014"/>
      <c r="CL68" s="1014"/>
      <c r="CM68" s="1014"/>
      <c r="CN68" s="1014"/>
      <c r="CO68" s="1014"/>
      <c r="CP68" s="1014"/>
      <c r="CQ68" s="1014"/>
      <c r="CR68" s="1014"/>
      <c r="CS68" s="1014"/>
      <c r="CT68" s="1014"/>
      <c r="CU68" s="1014"/>
      <c r="CV68" s="1014"/>
      <c r="CW68" s="1014"/>
      <c r="CX68" s="1014"/>
      <c r="CY68" s="1014"/>
      <c r="CZ68" s="1014"/>
      <c r="DA68" s="1014"/>
      <c r="DB68" s="1014">
        <f t="shared" ref="DB68:DW68" si="72">DB54+DB55+DB56+DB57+DB58</f>
        <v>386</v>
      </c>
      <c r="DC68" s="1014">
        <f t="shared" si="72"/>
        <v>466</v>
      </c>
      <c r="DD68" s="1014">
        <f t="shared" si="72"/>
        <v>663</v>
      </c>
      <c r="DE68" s="1014">
        <f t="shared" si="72"/>
        <v>790</v>
      </c>
      <c r="DF68" s="1014">
        <f t="shared" si="72"/>
        <v>864</v>
      </c>
      <c r="DG68" s="1014">
        <f t="shared" si="72"/>
        <v>915</v>
      </c>
      <c r="DH68" s="1014">
        <f t="shared" si="72"/>
        <v>846</v>
      </c>
      <c r="DI68" s="1014">
        <f t="shared" si="72"/>
        <v>869</v>
      </c>
      <c r="DJ68" s="1014">
        <f t="shared" si="72"/>
        <v>911</v>
      </c>
      <c r="DK68" s="1014">
        <f t="shared" si="72"/>
        <v>987</v>
      </c>
      <c r="DL68" s="1014">
        <f t="shared" si="72"/>
        <v>1098</v>
      </c>
      <c r="DM68" s="1014">
        <f t="shared" si="72"/>
        <v>1103</v>
      </c>
      <c r="DN68" s="1014"/>
      <c r="DO68" s="1014">
        <f t="shared" si="72"/>
        <v>1077</v>
      </c>
      <c r="DP68" s="1014">
        <f t="shared" si="72"/>
        <v>1069</v>
      </c>
      <c r="DQ68" s="1014">
        <f t="shared" si="72"/>
        <v>1044</v>
      </c>
      <c r="DR68" s="1014">
        <f t="shared" si="72"/>
        <v>1066</v>
      </c>
      <c r="DS68" s="1013">
        <f t="shared" si="72"/>
        <v>1056</v>
      </c>
      <c r="DT68" s="1013">
        <f t="shared" si="72"/>
        <v>1047</v>
      </c>
      <c r="DU68" s="1013">
        <f t="shared" si="72"/>
        <v>1050</v>
      </c>
      <c r="DV68" s="1013">
        <f t="shared" si="72"/>
        <v>1047</v>
      </c>
      <c r="DW68" s="1013">
        <f t="shared" si="72"/>
        <v>1055</v>
      </c>
      <c r="DX68" s="1013">
        <f>DX54+DX55+DX56+DX57+DX58</f>
        <v>1060</v>
      </c>
      <c r="DY68" s="1013">
        <f>DY54+DY55+DY56+DY57+DY58</f>
        <v>1055</v>
      </c>
      <c r="DZ68" s="1013">
        <f>DZ54+DZ55+DZ56+DZ57+DZ58</f>
        <v>1045</v>
      </c>
      <c r="EA68" s="1151"/>
      <c r="EH68" s="1012"/>
      <c r="EI68" s="1012"/>
      <c r="EJ68" s="1012"/>
      <c r="EK68" s="1164"/>
      <c r="EL68" s="1012"/>
    </row>
    <row r="69" spans="2:142" ht="10.5" hidden="1" customHeight="1" outlineLevel="1">
      <c r="B69" s="963" t="s">
        <v>696</v>
      </c>
      <c r="C69" s="963"/>
      <c r="D69" s="1152">
        <f>qtrSales!I79</f>
        <v>401</v>
      </c>
      <c r="E69" s="1152">
        <f>qtrSales!I80</f>
        <v>426</v>
      </c>
      <c r="F69" s="1152">
        <f>qtrSales!I81</f>
        <v>457</v>
      </c>
      <c r="G69" s="1152">
        <f>qtrSales!I82</f>
        <v>466</v>
      </c>
      <c r="H69" s="1152"/>
      <c r="I69" s="1152">
        <f>qtrSales!I86</f>
        <v>491</v>
      </c>
      <c r="J69" s="1152">
        <f>qtrSales!I87</f>
        <v>513</v>
      </c>
      <c r="K69" s="1152">
        <f>qtrSales!I88</f>
        <v>541</v>
      </c>
      <c r="L69" s="1152">
        <f>qtrSales!I89</f>
        <v>554</v>
      </c>
      <c r="M69" s="1152"/>
      <c r="N69" s="1152">
        <f>qtrSales!I93</f>
        <v>572</v>
      </c>
      <c r="O69" s="1152">
        <f>qtrSales!I94</f>
        <v>623</v>
      </c>
      <c r="P69" s="1152">
        <f>qtrSales!I95</f>
        <v>676</v>
      </c>
      <c r="Q69" s="1152">
        <f>qtrSales!I96</f>
        <v>678</v>
      </c>
      <c r="R69" s="1152"/>
      <c r="S69" s="1152">
        <f>qtrSales!I100</f>
        <v>689</v>
      </c>
      <c r="T69" s="1152">
        <f>qtrSales!I101</f>
        <v>711</v>
      </c>
      <c r="U69" s="1152">
        <f>qtrSales!I102</f>
        <v>743</v>
      </c>
      <c r="V69" s="1152">
        <f>qtrSales!I103</f>
        <v>753</v>
      </c>
      <c r="W69" s="1152"/>
      <c r="X69" s="1152">
        <f>qtrSales!I107</f>
        <v>761</v>
      </c>
      <c r="Y69" s="1152">
        <f>qtrSales!I108</f>
        <v>776</v>
      </c>
      <c r="Z69" s="1152">
        <f>qtrSales!I109</f>
        <v>798</v>
      </c>
      <c r="AA69" s="1152">
        <f>qtrSales!I110</f>
        <v>805</v>
      </c>
      <c r="AB69" s="1152"/>
      <c r="AC69" s="1152">
        <f>qtrSales!I114</f>
        <v>809</v>
      </c>
      <c r="AD69" s="1152">
        <f>qtrSales!I115</f>
        <v>825</v>
      </c>
      <c r="AE69" s="1152">
        <f>qtrSales!I116</f>
        <v>839</v>
      </c>
      <c r="AF69" s="1152">
        <f>qtrSales!I117</f>
        <v>846</v>
      </c>
      <c r="AG69" s="1152"/>
      <c r="AH69" s="1152">
        <f>qtrSales!I121</f>
        <v>845</v>
      </c>
      <c r="AI69" s="1152">
        <f>qtrSales!I122</f>
        <v>854</v>
      </c>
      <c r="AJ69" s="1152">
        <f>qtrSales!I123</f>
        <v>866</v>
      </c>
      <c r="AK69" s="1152">
        <f>qtrSales!I124</f>
        <v>869</v>
      </c>
      <c r="AL69" s="1152"/>
      <c r="AM69" s="1152">
        <f>qtrSales!I128</f>
        <v>876</v>
      </c>
      <c r="AN69" s="1152">
        <f>qtrSales!I129</f>
        <v>883</v>
      </c>
      <c r="AO69" s="1152">
        <f>qtrSales!I130</f>
        <v>906</v>
      </c>
      <c r="AP69" s="1152">
        <f>qtrSales!I131</f>
        <v>911</v>
      </c>
      <c r="AQ69" s="1152"/>
      <c r="AR69" s="1152">
        <f>qtrSales!I135</f>
        <v>922</v>
      </c>
      <c r="AS69" s="1152">
        <f>qtrSales!I136</f>
        <v>928</v>
      </c>
      <c r="AT69" s="1152">
        <f>qtrSales!I137</f>
        <v>974</v>
      </c>
      <c r="AU69" s="1152">
        <f>qtrSales!I138</f>
        <v>987</v>
      </c>
      <c r="AV69" s="1152"/>
      <c r="AW69" s="1152">
        <f>qtrSales!I142</f>
        <v>1018</v>
      </c>
      <c r="AX69" s="1152">
        <f>qtrSales!I143</f>
        <v>1054</v>
      </c>
      <c r="AY69" s="1152">
        <f>qtrSales!I144</f>
        <v>1101</v>
      </c>
      <c r="AZ69" s="1152">
        <f>qtrSales!I145</f>
        <v>1098</v>
      </c>
      <c r="BA69" s="1152"/>
      <c r="BB69" s="1152">
        <f>qtrSales!I149</f>
        <v>1082</v>
      </c>
      <c r="BC69" s="1152">
        <f>qtrSales!I150</f>
        <v>1086</v>
      </c>
      <c r="BD69" s="1152">
        <f>qtrSales!I151</f>
        <v>1089</v>
      </c>
      <c r="BE69" s="1152">
        <f>qtrSales!I152</f>
        <v>1075</v>
      </c>
      <c r="BF69" s="1152"/>
      <c r="BG69" s="1152">
        <f>qtrSales!I156</f>
        <v>1077</v>
      </c>
      <c r="BH69" s="1152">
        <f>qtrSales!I157</f>
        <v>1083</v>
      </c>
      <c r="BI69" s="1152">
        <f>qtrSales!I158</f>
        <v>1089</v>
      </c>
      <c r="BJ69" s="1152">
        <f>qtrSales!I159</f>
        <v>1077</v>
      </c>
      <c r="BK69" s="1152"/>
      <c r="BL69" s="1152">
        <f>qtrSales!I163</f>
        <v>1087</v>
      </c>
      <c r="BM69" s="1152">
        <f>qtrSales!I164</f>
        <v>1082</v>
      </c>
      <c r="BN69" s="1152">
        <f>qtrSales!I165</f>
        <v>1116</v>
      </c>
      <c r="BO69" s="1152">
        <f>qtrSales!I166</f>
        <v>1069</v>
      </c>
      <c r="BP69" s="1152"/>
      <c r="BQ69" s="1152">
        <f>qtrSales!I170</f>
        <v>1068</v>
      </c>
      <c r="BR69" s="976"/>
      <c r="BS69" s="976"/>
      <c r="BT69" s="976"/>
      <c r="BU69" s="976"/>
      <c r="BW69" s="1153"/>
      <c r="BX69" s="963"/>
      <c r="BY69" s="963"/>
      <c r="BZ69" s="975"/>
      <c r="CA69" s="1012"/>
      <c r="CB69" s="1152"/>
      <c r="CE69" s="975"/>
      <c r="CF69" s="1012"/>
      <c r="CG69" s="1152"/>
      <c r="CJ69" s="975"/>
      <c r="CK69" s="1012"/>
      <c r="CL69" s="1149"/>
      <c r="CP69" s="1012"/>
      <c r="CQ69" s="1149"/>
      <c r="CZ69" s="1151">
        <f t="shared" ref="CZ69:DW69" si="73">CZ59</f>
        <v>1.285598</v>
      </c>
      <c r="DA69" s="1151">
        <f t="shared" si="73"/>
        <v>1.3933610000000001</v>
      </c>
      <c r="DB69" s="1151">
        <f t="shared" si="73"/>
        <v>1.624933</v>
      </c>
      <c r="DC69" s="1151">
        <f t="shared" si="73"/>
        <v>2.03938</v>
      </c>
      <c r="DD69" s="1151">
        <f t="shared" si="73"/>
        <v>2.919556</v>
      </c>
      <c r="DE69" s="1151">
        <f t="shared" si="73"/>
        <v>3.6881629999999999</v>
      </c>
      <c r="DF69" s="1151">
        <f t="shared" si="73"/>
        <v>4.170712</v>
      </c>
      <c r="DG69" s="1151">
        <f t="shared" si="73"/>
        <v>4.5937029999999996</v>
      </c>
      <c r="DH69" s="1151">
        <f t="shared" si="73"/>
        <v>4.8880949999999999</v>
      </c>
      <c r="DI69" s="1151">
        <f t="shared" si="73"/>
        <v>4.7724869999999999</v>
      </c>
      <c r="DJ69" s="1151">
        <f t="shared" si="73"/>
        <v>5.1730650000000002</v>
      </c>
      <c r="DK69" s="1151">
        <f t="shared" si="73"/>
        <v>5.7099320000000002</v>
      </c>
      <c r="DL69" s="1151">
        <f t="shared" si="73"/>
        <v>6.3281669999999997</v>
      </c>
      <c r="DM69" s="1151">
        <f t="shared" si="73"/>
        <v>6.2153549999999997</v>
      </c>
      <c r="DO69" s="1151">
        <f t="shared" si="73"/>
        <v>6.2884250000000002</v>
      </c>
      <c r="DP69" s="1151">
        <f t="shared" si="73"/>
        <v>6.2902839999999998</v>
      </c>
      <c r="DQ69" s="1151">
        <f t="shared" si="73"/>
        <v>6.2032780000000001</v>
      </c>
      <c r="DR69" s="1151">
        <f t="shared" si="73"/>
        <v>6.5034859999999997</v>
      </c>
      <c r="DS69" s="1151">
        <f t="shared" si="73"/>
        <v>6.6131099999999998</v>
      </c>
      <c r="DT69" s="1151">
        <f t="shared" si="73"/>
        <v>6.6011119999999996</v>
      </c>
      <c r="DU69" s="1151">
        <f t="shared" si="73"/>
        <v>6.6192669999999998</v>
      </c>
      <c r="DV69" s="1151">
        <f t="shared" si="73"/>
        <v>6.5808119999999999</v>
      </c>
      <c r="DW69" s="1151">
        <f t="shared" si="73"/>
        <v>6.6617119999999996</v>
      </c>
      <c r="DX69" s="1151">
        <f>DX59</f>
        <v>6.6612119999999999</v>
      </c>
      <c r="DY69" s="1151">
        <f>DY59</f>
        <v>6.6607120000000002</v>
      </c>
      <c r="DZ69" s="1151">
        <f>DZ59</f>
        <v>6.6337120000000001</v>
      </c>
      <c r="EA69" s="1132"/>
      <c r="EH69" s="1012"/>
      <c r="EI69" s="1012"/>
      <c r="EJ69" s="1012"/>
      <c r="EK69" s="1164"/>
      <c r="EL69" s="1012"/>
    </row>
    <row r="70" spans="2:142" ht="10.5" hidden="1" customHeight="1" outlineLevel="1">
      <c r="B70" s="1154" t="s">
        <v>182</v>
      </c>
      <c r="C70" s="1154"/>
      <c r="D70" s="1154">
        <f>SUM(D71:D73)</f>
        <v>0.38999999999999996</v>
      </c>
      <c r="E70" s="1154">
        <f t="shared" ref="E70:L70" si="74">SUM(E71:E73)</f>
        <v>0.38999999999999996</v>
      </c>
      <c r="F70" s="1154">
        <f t="shared" si="74"/>
        <v>0.38999999999999996</v>
      </c>
      <c r="G70" s="1154">
        <f t="shared" si="74"/>
        <v>0.38999999999999996</v>
      </c>
      <c r="H70" s="1154"/>
      <c r="I70" s="1154">
        <f t="shared" si="74"/>
        <v>0.38999999999999996</v>
      </c>
      <c r="J70" s="1154">
        <f t="shared" si="74"/>
        <v>0.38999999999999996</v>
      </c>
      <c r="K70" s="1154">
        <f t="shared" si="74"/>
        <v>0.38999999999999996</v>
      </c>
      <c r="L70" s="1154">
        <f t="shared" si="74"/>
        <v>0.38999999999999996</v>
      </c>
      <c r="M70" s="1154"/>
      <c r="N70" s="1154">
        <f>SUM(N71:N73)</f>
        <v>0.38</v>
      </c>
      <c r="O70" s="1154">
        <f>SUM(O71:O73)</f>
        <v>0.38</v>
      </c>
      <c r="P70" s="1154">
        <f>SUM(P71:P73)</f>
        <v>0.38</v>
      </c>
      <c r="Q70" s="1154">
        <f>SUM(Q71:Q73)</f>
        <v>0.38</v>
      </c>
      <c r="R70" s="1154"/>
      <c r="S70" s="1154">
        <f>SUM(S71:S73)</f>
        <v>0.38</v>
      </c>
      <c r="T70" s="1154">
        <f>SUM(T71:T73)</f>
        <v>0.38</v>
      </c>
      <c r="U70" s="1154">
        <f>SUM(U71:U73)</f>
        <v>0.38</v>
      </c>
      <c r="V70" s="1154">
        <f>SUM(V71:V73)</f>
        <v>0.38</v>
      </c>
      <c r="W70" s="1154"/>
      <c r="X70" s="1154">
        <f>SUM(X71:X73)</f>
        <v>0.38999999999999996</v>
      </c>
      <c r="Y70" s="1154">
        <f>SUM(Y71:Y73)</f>
        <v>0.38999999999999996</v>
      </c>
      <c r="Z70" s="1154">
        <f>SUM(Z71:Z73)</f>
        <v>0.38999999999999996</v>
      </c>
      <c r="AA70" s="1154">
        <f>SUM(AA71:AA73)</f>
        <v>0.38999999999999996</v>
      </c>
      <c r="AB70" s="1154"/>
      <c r="AC70" s="1154">
        <f>SUM(AC71:AC73)</f>
        <v>0.38999999999999996</v>
      </c>
      <c r="AD70" s="1154">
        <f>SUM(AD71:AD73)</f>
        <v>0.38999999999999996</v>
      </c>
      <c r="AE70" s="1154">
        <f>SUM(AE71:AE73)</f>
        <v>0.38999999999999996</v>
      </c>
      <c r="AF70" s="1154">
        <f>SUM(AF71:AF73)</f>
        <v>0.38999999999999996</v>
      </c>
      <c r="AG70" s="1154"/>
      <c r="AH70" s="1154">
        <f>SUM(AH71:AH73)</f>
        <v>0.38999999999999996</v>
      </c>
      <c r="AI70" s="1154">
        <f>SUM(AI71:AI73)</f>
        <v>0.38999999999999996</v>
      </c>
      <c r="AJ70" s="1154">
        <f>SUM(AJ71:AJ73)</f>
        <v>0.38999999999999996</v>
      </c>
      <c r="AK70" s="1154">
        <f>SUM(AK71:AK73)</f>
        <v>0.38999999999999996</v>
      </c>
      <c r="AL70" s="1154"/>
      <c r="AM70" s="1154">
        <f>SUM(AM71:AM73)</f>
        <v>0.38999999999999996</v>
      </c>
      <c r="AN70" s="1154">
        <f>SUM(AN71:AN73)</f>
        <v>0.38999999999999996</v>
      </c>
      <c r="AO70" s="1154">
        <f>SUM(AO71:AO73)</f>
        <v>0.38999999999999996</v>
      </c>
      <c r="AP70" s="1154">
        <f>SUM(AP71:AP73)</f>
        <v>0.38999999999999996</v>
      </c>
      <c r="AQ70" s="1154"/>
      <c r="AR70" s="1154">
        <f>SUM(AR71:AR73)</f>
        <v>0.38</v>
      </c>
      <c r="AS70" s="1154">
        <f>SUM(AS71:AS73)</f>
        <v>0.38</v>
      </c>
      <c r="AT70" s="1154">
        <f>SUM(AT71:AT73)</f>
        <v>0.38</v>
      </c>
      <c r="AU70" s="1154">
        <f>SUM(AU71:AU73)</f>
        <v>0.38</v>
      </c>
      <c r="AV70" s="1154"/>
      <c r="AW70" s="1154">
        <f>SUM(AW71:AW73)</f>
        <v>0.38</v>
      </c>
      <c r="AX70" s="1154">
        <f>SUM(AX71:AX73)</f>
        <v>0.38</v>
      </c>
      <c r="AY70" s="1154">
        <f>SUM(AY71:AY73)</f>
        <v>0.38</v>
      </c>
      <c r="AZ70" s="1154">
        <f>SUM(AZ71:AZ73)</f>
        <v>0.38</v>
      </c>
      <c r="BA70" s="1154"/>
      <c r="BB70" s="1154">
        <f>SUM(BB71:BB73)</f>
        <v>0.38</v>
      </c>
      <c r="BC70" s="1154">
        <f>SUM(BC71:BC73)</f>
        <v>0.38</v>
      </c>
      <c r="BD70" s="1154">
        <f>SUM(BD71:BD73)</f>
        <v>0.38</v>
      </c>
      <c r="BE70" s="1154">
        <f>SUM(BE71:BE73)</f>
        <v>0.38</v>
      </c>
      <c r="BF70" s="1154"/>
      <c r="BG70" s="1154">
        <f>SUM(BG71:BG73)</f>
        <v>0</v>
      </c>
      <c r="BH70" s="1154">
        <f>SUM(BH71:BH73)</f>
        <v>0</v>
      </c>
      <c r="BI70" s="1154">
        <f>SUM(BI71:BI73)</f>
        <v>0</v>
      </c>
      <c r="BJ70" s="1154">
        <f>SUM(BJ71:BJ73)</f>
        <v>0</v>
      </c>
      <c r="BK70" s="1154"/>
      <c r="BL70" s="1154">
        <f>SUM(BL71:BL73)</f>
        <v>0</v>
      </c>
      <c r="BM70" s="1154">
        <f>SUM(BM71:BM73)</f>
        <v>0</v>
      </c>
      <c r="BN70" s="1154">
        <f>SUM(BN71:BN73)</f>
        <v>0</v>
      </c>
      <c r="BO70" s="1154">
        <f>SUM(BO71:BO73)</f>
        <v>0</v>
      </c>
      <c r="BP70" s="1154"/>
      <c r="BQ70" s="1154">
        <f>SUM(BQ71:BQ73)</f>
        <v>0</v>
      </c>
      <c r="BR70" s="976"/>
      <c r="BS70" s="976"/>
      <c r="BT70" s="976"/>
      <c r="BU70" s="976"/>
      <c r="BW70" s="1155">
        <f>SUM(BW71:BW73)</f>
        <v>0</v>
      </c>
      <c r="BX70" s="1154"/>
      <c r="BY70" s="1154"/>
      <c r="BZ70" s="975"/>
      <c r="CA70" s="1012"/>
      <c r="CB70" s="1154">
        <f>SUM(CB71:CB73)</f>
        <v>0</v>
      </c>
      <c r="CE70" s="975"/>
      <c r="CF70" s="1012"/>
      <c r="CG70" s="1154">
        <f>SUM(CG71:CG73)</f>
        <v>0</v>
      </c>
      <c r="CJ70" s="975"/>
      <c r="CK70" s="1012"/>
      <c r="CL70" s="1152"/>
      <c r="CP70" s="1012"/>
      <c r="CQ70" s="1152"/>
      <c r="CZ70" s="1132">
        <f t="shared" ref="CZ70:DW70" si="75">CZ53</f>
        <v>303</v>
      </c>
      <c r="DA70" s="1132">
        <f t="shared" si="75"/>
        <v>332</v>
      </c>
      <c r="DB70" s="1132">
        <f t="shared" si="75"/>
        <v>386</v>
      </c>
      <c r="DC70" s="1132">
        <f t="shared" si="75"/>
        <v>466</v>
      </c>
      <c r="DD70" s="1132">
        <f t="shared" si="75"/>
        <v>663</v>
      </c>
      <c r="DE70" s="1132">
        <f t="shared" si="75"/>
        <v>790</v>
      </c>
      <c r="DF70" s="1132">
        <f t="shared" si="75"/>
        <v>864</v>
      </c>
      <c r="DG70" s="1132">
        <f t="shared" si="75"/>
        <v>915</v>
      </c>
      <c r="DH70" s="1132">
        <f t="shared" si="75"/>
        <v>846</v>
      </c>
      <c r="DI70" s="1132">
        <f t="shared" si="75"/>
        <v>869</v>
      </c>
      <c r="DJ70" s="1132">
        <f t="shared" si="75"/>
        <v>911</v>
      </c>
      <c r="DK70" s="1132">
        <f t="shared" si="75"/>
        <v>987</v>
      </c>
      <c r="DL70" s="1132">
        <f t="shared" si="75"/>
        <v>1098</v>
      </c>
      <c r="DM70" s="1132">
        <f t="shared" si="75"/>
        <v>1103</v>
      </c>
      <c r="DO70" s="1132">
        <f t="shared" si="75"/>
        <v>1077</v>
      </c>
      <c r="DP70" s="1132">
        <f t="shared" si="75"/>
        <v>1069</v>
      </c>
      <c r="DQ70" s="1132">
        <f t="shared" si="75"/>
        <v>1044</v>
      </c>
      <c r="DR70" s="1132">
        <f t="shared" si="75"/>
        <v>1066</v>
      </c>
      <c r="DS70" s="1132">
        <f t="shared" si="75"/>
        <v>1056</v>
      </c>
      <c r="DT70" s="1132">
        <f t="shared" si="75"/>
        <v>1047</v>
      </c>
      <c r="DU70" s="1132">
        <f t="shared" si="75"/>
        <v>1050</v>
      </c>
      <c r="DV70" s="1132">
        <f t="shared" si="75"/>
        <v>1047</v>
      </c>
      <c r="DW70" s="1132">
        <f t="shared" si="75"/>
        <v>1055</v>
      </c>
      <c r="DX70" s="1132">
        <f>DX53</f>
        <v>1060</v>
      </c>
      <c r="DY70" s="1132">
        <f>DY53</f>
        <v>1055</v>
      </c>
      <c r="DZ70" s="1132">
        <f>DZ53</f>
        <v>1045</v>
      </c>
      <c r="EA70" s="809"/>
      <c r="EH70" s="1012"/>
      <c r="EI70" s="1012"/>
      <c r="EJ70" s="1012"/>
      <c r="EK70" s="1164"/>
      <c r="EL70" s="1012"/>
    </row>
    <row r="71" spans="2:142" ht="10.5" hidden="1" customHeight="1" outlineLevel="1">
      <c r="B71" s="1120" t="s">
        <v>183</v>
      </c>
      <c r="C71" s="963"/>
      <c r="D71" s="1136">
        <f t="shared" ref="D71:G73" si="76">$DC72</f>
        <v>0.35</v>
      </c>
      <c r="E71" s="1136">
        <f t="shared" si="76"/>
        <v>0.35</v>
      </c>
      <c r="F71" s="1136">
        <f t="shared" si="76"/>
        <v>0.35</v>
      </c>
      <c r="G71" s="1136">
        <f t="shared" si="76"/>
        <v>0.35</v>
      </c>
      <c r="H71" s="963"/>
      <c r="I71" s="1136">
        <f t="shared" ref="I71:L73" si="77">$DD72</f>
        <v>0.35</v>
      </c>
      <c r="J71" s="1136">
        <f t="shared" si="77"/>
        <v>0.35</v>
      </c>
      <c r="K71" s="1136">
        <f t="shared" si="77"/>
        <v>0.35</v>
      </c>
      <c r="L71" s="1136">
        <f t="shared" si="77"/>
        <v>0.35</v>
      </c>
      <c r="M71" s="963"/>
      <c r="N71" s="1136">
        <f t="shared" ref="N71:Q73" si="78">$DE72</f>
        <v>0.35</v>
      </c>
      <c r="O71" s="1136">
        <f t="shared" si="78"/>
        <v>0.35</v>
      </c>
      <c r="P71" s="1136">
        <f t="shared" si="78"/>
        <v>0.35</v>
      </c>
      <c r="Q71" s="1136">
        <f t="shared" si="78"/>
        <v>0.35</v>
      </c>
      <c r="R71" s="963"/>
      <c r="S71" s="1136">
        <f t="shared" ref="S71:V73" si="79">$DF72</f>
        <v>0.35</v>
      </c>
      <c r="T71" s="1136">
        <f t="shared" si="79"/>
        <v>0.35</v>
      </c>
      <c r="U71" s="1136">
        <f t="shared" si="79"/>
        <v>0.35</v>
      </c>
      <c r="V71" s="1136">
        <f t="shared" si="79"/>
        <v>0.35</v>
      </c>
      <c r="W71" s="963"/>
      <c r="X71" s="1136">
        <f t="shared" ref="X71:AA73" si="80">$DG72</f>
        <v>0.35</v>
      </c>
      <c r="Y71" s="1136">
        <f t="shared" si="80"/>
        <v>0.35</v>
      </c>
      <c r="Z71" s="1136">
        <f t="shared" si="80"/>
        <v>0.35</v>
      </c>
      <c r="AA71" s="1136">
        <f t="shared" si="80"/>
        <v>0.35</v>
      </c>
      <c r="AB71" s="963"/>
      <c r="AC71" s="1136">
        <f t="shared" ref="AC71:AF73" si="81">$DH72</f>
        <v>0.35</v>
      </c>
      <c r="AD71" s="1136">
        <f t="shared" si="81"/>
        <v>0.35</v>
      </c>
      <c r="AE71" s="1136">
        <f t="shared" si="81"/>
        <v>0.35</v>
      </c>
      <c r="AF71" s="1136">
        <f t="shared" si="81"/>
        <v>0.35</v>
      </c>
      <c r="AG71" s="963"/>
      <c r="AH71" s="1136">
        <f t="shared" ref="AH71:AK73" si="82">$DI72</f>
        <v>0.35</v>
      </c>
      <c r="AI71" s="1136">
        <f t="shared" si="82"/>
        <v>0.35</v>
      </c>
      <c r="AJ71" s="1136">
        <f t="shared" si="82"/>
        <v>0.35</v>
      </c>
      <c r="AK71" s="1136">
        <f t="shared" si="82"/>
        <v>0.35</v>
      </c>
      <c r="AL71" s="963"/>
      <c r="AM71" s="1136">
        <f t="shared" ref="AM71:AP73" si="83">$DJ72</f>
        <v>0.35</v>
      </c>
      <c r="AN71" s="1136">
        <f t="shared" si="83"/>
        <v>0.35</v>
      </c>
      <c r="AO71" s="1136">
        <f t="shared" si="83"/>
        <v>0.35</v>
      </c>
      <c r="AP71" s="1136">
        <f t="shared" si="83"/>
        <v>0.35</v>
      </c>
      <c r="AQ71" s="963"/>
      <c r="AR71" s="1136">
        <f t="shared" ref="AR71:AU73" si="84">$DK72</f>
        <v>0.35</v>
      </c>
      <c r="AS71" s="1136">
        <f t="shared" si="84"/>
        <v>0.35</v>
      </c>
      <c r="AT71" s="1136">
        <f t="shared" si="84"/>
        <v>0.35</v>
      </c>
      <c r="AU71" s="1136">
        <f t="shared" si="84"/>
        <v>0.35</v>
      </c>
      <c r="AV71" s="963"/>
      <c r="AW71" s="1136">
        <f t="shared" ref="AW71:AZ73" si="85">$DL72</f>
        <v>0.35</v>
      </c>
      <c r="AX71" s="1136">
        <f t="shared" si="85"/>
        <v>0.35</v>
      </c>
      <c r="AY71" s="1136">
        <f t="shared" si="85"/>
        <v>0.35</v>
      </c>
      <c r="AZ71" s="1136">
        <f t="shared" si="85"/>
        <v>0.35</v>
      </c>
      <c r="BA71" s="963"/>
      <c r="BB71" s="1136">
        <f t="shared" ref="BB71:BE73" si="86">$DM72</f>
        <v>0.35</v>
      </c>
      <c r="BC71" s="1136">
        <f t="shared" si="86"/>
        <v>0.35</v>
      </c>
      <c r="BD71" s="1136">
        <f t="shared" si="86"/>
        <v>0.35</v>
      </c>
      <c r="BE71" s="1136">
        <f t="shared" si="86"/>
        <v>0.35</v>
      </c>
      <c r="BF71" s="963"/>
      <c r="BG71" s="1136">
        <f t="shared" ref="BG71:BJ73" si="87">$DO72</f>
        <v>0</v>
      </c>
      <c r="BH71" s="1136">
        <f t="shared" si="87"/>
        <v>0</v>
      </c>
      <c r="BI71" s="1136">
        <f t="shared" si="87"/>
        <v>0</v>
      </c>
      <c r="BJ71" s="1136">
        <f t="shared" si="87"/>
        <v>0</v>
      </c>
      <c r="BK71" s="963"/>
      <c r="BL71" s="1136">
        <f t="shared" ref="BL71:BO73" si="88">$DP72</f>
        <v>0</v>
      </c>
      <c r="BM71" s="1136">
        <f t="shared" si="88"/>
        <v>0</v>
      </c>
      <c r="BN71" s="1136">
        <f t="shared" si="88"/>
        <v>0</v>
      </c>
      <c r="BO71" s="1136">
        <f t="shared" si="88"/>
        <v>0</v>
      </c>
      <c r="BP71" s="963"/>
      <c r="BQ71" s="1136">
        <f>$DQ72</f>
        <v>0</v>
      </c>
      <c r="BR71" s="976"/>
      <c r="BS71" s="976"/>
      <c r="BT71" s="976"/>
      <c r="BU71" s="976"/>
      <c r="BW71" s="1139">
        <f>$DQ72</f>
        <v>0</v>
      </c>
      <c r="BX71" s="963"/>
      <c r="BY71" s="963"/>
      <c r="BZ71" s="975"/>
      <c r="CA71" s="1012"/>
      <c r="CB71" s="1136">
        <f>$DQ72</f>
        <v>0</v>
      </c>
      <c r="CE71" s="975"/>
      <c r="CF71" s="1012"/>
      <c r="CG71" s="1136">
        <f>$DQ72</f>
        <v>0</v>
      </c>
      <c r="CJ71" s="975"/>
      <c r="CK71" s="1012"/>
      <c r="CL71" s="1154">
        <f>SUM(CL72:CL74)</f>
        <v>0</v>
      </c>
      <c r="CP71" s="1012"/>
      <c r="CQ71" s="1154">
        <f>SUM(CQ72:CQ74)</f>
        <v>0</v>
      </c>
      <c r="CZ71" s="1156">
        <f>SUM(CZ72:CZ74)</f>
        <v>0.38999999999999996</v>
      </c>
      <c r="DA71" s="1156">
        <f>SUM(DA72:DA74)</f>
        <v>0.38999999999999996</v>
      </c>
      <c r="DB71" s="1156">
        <f>SUM(DB72:DB74)</f>
        <v>0.38999999999999996</v>
      </c>
      <c r="DC71" s="1156">
        <f t="shared" ref="DC71:DM71" si="89">SUM(DC72:DC74)</f>
        <v>0.38999999999999996</v>
      </c>
      <c r="DD71" s="1156">
        <f t="shared" si="89"/>
        <v>0.38999999999999996</v>
      </c>
      <c r="DE71" s="1156">
        <f t="shared" si="89"/>
        <v>0.38</v>
      </c>
      <c r="DF71" s="1156">
        <f t="shared" si="89"/>
        <v>0.38</v>
      </c>
      <c r="DG71" s="1156">
        <f t="shared" si="89"/>
        <v>0.38999999999999996</v>
      </c>
      <c r="DH71" s="1156">
        <f t="shared" si="89"/>
        <v>0.38999999999999996</v>
      </c>
      <c r="DI71" s="1156">
        <f t="shared" si="89"/>
        <v>0.38999999999999996</v>
      </c>
      <c r="DJ71" s="1156">
        <f t="shared" si="89"/>
        <v>0.38999999999999996</v>
      </c>
      <c r="DK71" s="1156">
        <f t="shared" si="89"/>
        <v>0.38</v>
      </c>
      <c r="DL71" s="1156">
        <f t="shared" si="89"/>
        <v>0.38</v>
      </c>
      <c r="DM71" s="1156">
        <f t="shared" si="89"/>
        <v>0.38</v>
      </c>
      <c r="DO71" s="809">
        <f t="shared" ref="DO71:DW71" si="90">DO40</f>
        <v>0.35612614015755223</v>
      </c>
      <c r="DP71" s="809">
        <f t="shared" si="90"/>
        <v>0.36477042440893148</v>
      </c>
      <c r="DQ71" s="809">
        <f t="shared" si="90"/>
        <v>0.37310934955326197</v>
      </c>
      <c r="DR71" s="809">
        <f t="shared" si="90"/>
        <v>0.38797434866346436</v>
      </c>
      <c r="DS71" s="809">
        <f t="shared" si="90"/>
        <v>0.41661931783107686</v>
      </c>
      <c r="DT71" s="809">
        <f t="shared" si="90"/>
        <v>0.33734217328627536</v>
      </c>
      <c r="DU71" s="809">
        <f t="shared" si="90"/>
        <v>0.35323081584728411</v>
      </c>
      <c r="DV71" s="809">
        <f t="shared" si="90"/>
        <v>0.34392190960441327</v>
      </c>
      <c r="DW71" s="809">
        <f t="shared" si="90"/>
        <v>0.25000000000000044</v>
      </c>
      <c r="DX71" s="809">
        <f>DX40</f>
        <v>0.25000000000000044</v>
      </c>
      <c r="DY71" s="809">
        <f>DY40</f>
        <v>0.25000000000000044</v>
      </c>
      <c r="DZ71" s="809">
        <f>DZ40</f>
        <v>0.25000000000000044</v>
      </c>
      <c r="EA71" s="1157"/>
      <c r="EH71" s="1012"/>
      <c r="EI71" s="1012"/>
      <c r="EJ71" s="1012"/>
      <c r="EK71" s="1164"/>
      <c r="EL71" s="1012"/>
    </row>
    <row r="72" spans="2:142" ht="10.5" hidden="1" customHeight="1" outlineLevel="1">
      <c r="B72" s="1120" t="s">
        <v>184</v>
      </c>
      <c r="C72" s="963"/>
      <c r="D72" s="1136">
        <f t="shared" si="76"/>
        <v>0.04</v>
      </c>
      <c r="E72" s="1136">
        <f t="shared" si="76"/>
        <v>0.04</v>
      </c>
      <c r="F72" s="1136">
        <f t="shared" si="76"/>
        <v>0.04</v>
      </c>
      <c r="G72" s="1136">
        <f t="shared" si="76"/>
        <v>0.04</v>
      </c>
      <c r="H72" s="963"/>
      <c r="I72" s="1136">
        <f t="shared" si="77"/>
        <v>0.04</v>
      </c>
      <c r="J72" s="1136">
        <f t="shared" si="77"/>
        <v>0.04</v>
      </c>
      <c r="K72" s="1136">
        <f t="shared" si="77"/>
        <v>0.04</v>
      </c>
      <c r="L72" s="1136">
        <f t="shared" si="77"/>
        <v>0.04</v>
      </c>
      <c r="M72" s="963"/>
      <c r="N72" s="1136">
        <f t="shared" si="78"/>
        <v>0.03</v>
      </c>
      <c r="O72" s="1136">
        <f t="shared" si="78"/>
        <v>0.03</v>
      </c>
      <c r="P72" s="1136">
        <f t="shared" si="78"/>
        <v>0.03</v>
      </c>
      <c r="Q72" s="1136">
        <f t="shared" si="78"/>
        <v>0.03</v>
      </c>
      <c r="R72" s="963"/>
      <c r="S72" s="1136">
        <f t="shared" si="79"/>
        <v>0.03</v>
      </c>
      <c r="T72" s="1136">
        <f t="shared" si="79"/>
        <v>0.03</v>
      </c>
      <c r="U72" s="1136">
        <f t="shared" si="79"/>
        <v>0.03</v>
      </c>
      <c r="V72" s="1136">
        <f t="shared" si="79"/>
        <v>0.03</v>
      </c>
      <c r="W72" s="963"/>
      <c r="X72" s="1136">
        <f t="shared" si="80"/>
        <v>0.04</v>
      </c>
      <c r="Y72" s="1136">
        <f t="shared" si="80"/>
        <v>0.04</v>
      </c>
      <c r="Z72" s="1136">
        <f t="shared" si="80"/>
        <v>0.04</v>
      </c>
      <c r="AA72" s="1136">
        <f t="shared" si="80"/>
        <v>0.04</v>
      </c>
      <c r="AB72" s="963"/>
      <c r="AC72" s="1136">
        <f t="shared" si="81"/>
        <v>0.04</v>
      </c>
      <c r="AD72" s="1136">
        <f t="shared" si="81"/>
        <v>0.04</v>
      </c>
      <c r="AE72" s="1136">
        <f t="shared" si="81"/>
        <v>0.04</v>
      </c>
      <c r="AF72" s="1136">
        <f t="shared" si="81"/>
        <v>0.04</v>
      </c>
      <c r="AG72" s="963"/>
      <c r="AH72" s="1136">
        <f t="shared" si="82"/>
        <v>0.04</v>
      </c>
      <c r="AI72" s="1136">
        <f t="shared" si="82"/>
        <v>0.04</v>
      </c>
      <c r="AJ72" s="1136">
        <f t="shared" si="82"/>
        <v>0.04</v>
      </c>
      <c r="AK72" s="1136">
        <f t="shared" si="82"/>
        <v>0.04</v>
      </c>
      <c r="AL72" s="963"/>
      <c r="AM72" s="1136">
        <f t="shared" si="83"/>
        <v>0.04</v>
      </c>
      <c r="AN72" s="1136">
        <f t="shared" si="83"/>
        <v>0.04</v>
      </c>
      <c r="AO72" s="1136">
        <f t="shared" si="83"/>
        <v>0.04</v>
      </c>
      <c r="AP72" s="1136">
        <f t="shared" si="83"/>
        <v>0.04</v>
      </c>
      <c r="AQ72" s="963"/>
      <c r="AR72" s="1136">
        <f t="shared" si="84"/>
        <v>0.03</v>
      </c>
      <c r="AS72" s="1136">
        <f t="shared" si="84"/>
        <v>0.03</v>
      </c>
      <c r="AT72" s="1136">
        <f t="shared" si="84"/>
        <v>0.03</v>
      </c>
      <c r="AU72" s="1136">
        <f t="shared" si="84"/>
        <v>0.03</v>
      </c>
      <c r="AV72" s="963"/>
      <c r="AW72" s="1136">
        <f t="shared" si="85"/>
        <v>0.03</v>
      </c>
      <c r="AX72" s="1136">
        <f t="shared" si="85"/>
        <v>0.03</v>
      </c>
      <c r="AY72" s="1136">
        <f t="shared" si="85"/>
        <v>0.03</v>
      </c>
      <c r="AZ72" s="1136">
        <f t="shared" si="85"/>
        <v>0.03</v>
      </c>
      <c r="BA72" s="963"/>
      <c r="BB72" s="1136">
        <f t="shared" si="86"/>
        <v>0.03</v>
      </c>
      <c r="BC72" s="1136">
        <f t="shared" si="86"/>
        <v>0.03</v>
      </c>
      <c r="BD72" s="1136">
        <f t="shared" si="86"/>
        <v>0.03</v>
      </c>
      <c r="BE72" s="1136">
        <f t="shared" si="86"/>
        <v>0.03</v>
      </c>
      <c r="BF72" s="963"/>
      <c r="BG72" s="1136">
        <f t="shared" si="87"/>
        <v>0</v>
      </c>
      <c r="BH72" s="1136">
        <f t="shared" si="87"/>
        <v>0</v>
      </c>
      <c r="BI72" s="1136">
        <f t="shared" si="87"/>
        <v>0</v>
      </c>
      <c r="BJ72" s="1136">
        <f t="shared" si="87"/>
        <v>0</v>
      </c>
      <c r="BK72" s="963"/>
      <c r="BL72" s="1136">
        <f t="shared" si="88"/>
        <v>0</v>
      </c>
      <c r="BM72" s="1136">
        <f t="shared" si="88"/>
        <v>0</v>
      </c>
      <c r="BN72" s="1136">
        <f t="shared" si="88"/>
        <v>0</v>
      </c>
      <c r="BO72" s="1136">
        <f t="shared" si="88"/>
        <v>0</v>
      </c>
      <c r="BP72" s="963"/>
      <c r="BQ72" s="1136">
        <f>$DQ73</f>
        <v>0</v>
      </c>
      <c r="BR72" s="976"/>
      <c r="BS72" s="976"/>
      <c r="BT72" s="976"/>
      <c r="BU72" s="976"/>
      <c r="BW72" s="1139">
        <f>$DQ73</f>
        <v>0</v>
      </c>
      <c r="BX72" s="963"/>
      <c r="BY72" s="963"/>
      <c r="BZ72" s="975"/>
      <c r="CA72" s="1012"/>
      <c r="CB72" s="1136">
        <f>$DQ73</f>
        <v>0</v>
      </c>
      <c r="CE72" s="975"/>
      <c r="CF72" s="1012"/>
      <c r="CG72" s="1136">
        <f>$DQ73</f>
        <v>0</v>
      </c>
      <c r="CJ72" s="975"/>
      <c r="CK72" s="1012"/>
      <c r="CL72" s="1136">
        <f>$DQ72</f>
        <v>0</v>
      </c>
      <c r="CP72" s="1012"/>
      <c r="CQ72" s="1136">
        <f>$DQ72</f>
        <v>0</v>
      </c>
      <c r="CZ72" s="1157">
        <v>0.35</v>
      </c>
      <c r="DA72" s="1157">
        <v>0.35</v>
      </c>
      <c r="DB72" s="1157">
        <v>0.35</v>
      </c>
      <c r="DC72" s="1157">
        <v>0.35</v>
      </c>
      <c r="DD72" s="1157">
        <v>0.35</v>
      </c>
      <c r="DE72" s="1157">
        <v>0.35</v>
      </c>
      <c r="DF72" s="1157">
        <v>0.35</v>
      </c>
      <c r="DG72" s="1157">
        <v>0.35</v>
      </c>
      <c r="DH72" s="1157">
        <v>0.35</v>
      </c>
      <c r="DI72" s="1157">
        <v>0.35</v>
      </c>
      <c r="DJ72" s="1157">
        <v>0.35</v>
      </c>
      <c r="DK72" s="1157">
        <v>0.35</v>
      </c>
      <c r="DL72" s="1157">
        <v>0.35</v>
      </c>
      <c r="DM72" s="1157">
        <v>0.35</v>
      </c>
      <c r="DO72" s="1157"/>
      <c r="DP72" s="1157"/>
      <c r="DQ72" s="1157"/>
      <c r="DR72" s="1157"/>
      <c r="DS72" s="1157"/>
      <c r="DT72" s="1157"/>
      <c r="DU72" s="1157"/>
      <c r="DV72" s="1157"/>
      <c r="DW72" s="1157"/>
      <c r="DX72" s="1157"/>
      <c r="DY72" s="1157"/>
      <c r="DZ72" s="1157"/>
      <c r="EA72" s="1157"/>
      <c r="EH72" s="1012"/>
      <c r="EI72" s="1012"/>
      <c r="EJ72" s="1012"/>
      <c r="EK72" s="1164"/>
      <c r="EL72" s="1012"/>
    </row>
    <row r="73" spans="2:142" ht="10.5" hidden="1" customHeight="1" outlineLevel="1">
      <c r="B73" s="1120" t="s">
        <v>185</v>
      </c>
      <c r="C73" s="963"/>
      <c r="D73" s="1136">
        <f t="shared" si="76"/>
        <v>0</v>
      </c>
      <c r="E73" s="1136">
        <f t="shared" si="76"/>
        <v>0</v>
      </c>
      <c r="F73" s="1136">
        <f t="shared" si="76"/>
        <v>0</v>
      </c>
      <c r="G73" s="1136">
        <f t="shared" si="76"/>
        <v>0</v>
      </c>
      <c r="H73" s="963"/>
      <c r="I73" s="1136">
        <f t="shared" si="77"/>
        <v>0</v>
      </c>
      <c r="J73" s="1136">
        <f t="shared" si="77"/>
        <v>0</v>
      </c>
      <c r="K73" s="1136">
        <f t="shared" si="77"/>
        <v>0</v>
      </c>
      <c r="L73" s="1136">
        <f t="shared" si="77"/>
        <v>0</v>
      </c>
      <c r="M73" s="963"/>
      <c r="N73" s="1136">
        <f t="shared" si="78"/>
        <v>0</v>
      </c>
      <c r="O73" s="1136">
        <f t="shared" si="78"/>
        <v>0</v>
      </c>
      <c r="P73" s="1136">
        <f t="shared" si="78"/>
        <v>0</v>
      </c>
      <c r="Q73" s="1136">
        <f t="shared" si="78"/>
        <v>0</v>
      </c>
      <c r="R73" s="963"/>
      <c r="S73" s="1136">
        <f t="shared" si="79"/>
        <v>0</v>
      </c>
      <c r="T73" s="1136">
        <f t="shared" si="79"/>
        <v>0</v>
      </c>
      <c r="U73" s="1136">
        <f t="shared" si="79"/>
        <v>0</v>
      </c>
      <c r="V73" s="1136">
        <f t="shared" si="79"/>
        <v>0</v>
      </c>
      <c r="W73" s="963"/>
      <c r="X73" s="1136">
        <f t="shared" si="80"/>
        <v>0</v>
      </c>
      <c r="Y73" s="1136">
        <f t="shared" si="80"/>
        <v>0</v>
      </c>
      <c r="Z73" s="1136">
        <f t="shared" si="80"/>
        <v>0</v>
      </c>
      <c r="AA73" s="1136">
        <f t="shared" si="80"/>
        <v>0</v>
      </c>
      <c r="AB73" s="963"/>
      <c r="AC73" s="1136">
        <f t="shared" si="81"/>
        <v>0</v>
      </c>
      <c r="AD73" s="1136">
        <f t="shared" si="81"/>
        <v>0</v>
      </c>
      <c r="AE73" s="1136">
        <f t="shared" si="81"/>
        <v>0</v>
      </c>
      <c r="AF73" s="1136">
        <f t="shared" si="81"/>
        <v>0</v>
      </c>
      <c r="AG73" s="963"/>
      <c r="AH73" s="1136">
        <f t="shared" si="82"/>
        <v>0</v>
      </c>
      <c r="AI73" s="1136">
        <f t="shared" si="82"/>
        <v>0</v>
      </c>
      <c r="AJ73" s="1136">
        <f t="shared" si="82"/>
        <v>0</v>
      </c>
      <c r="AK73" s="1136">
        <f t="shared" si="82"/>
        <v>0</v>
      </c>
      <c r="AL73" s="963"/>
      <c r="AM73" s="1136">
        <f t="shared" si="83"/>
        <v>0</v>
      </c>
      <c r="AN73" s="1136">
        <f t="shared" si="83"/>
        <v>0</v>
      </c>
      <c r="AO73" s="1136">
        <f t="shared" si="83"/>
        <v>0</v>
      </c>
      <c r="AP73" s="1136">
        <f t="shared" si="83"/>
        <v>0</v>
      </c>
      <c r="AQ73" s="963"/>
      <c r="AR73" s="1136">
        <f t="shared" si="84"/>
        <v>0</v>
      </c>
      <c r="AS73" s="1136">
        <f t="shared" si="84"/>
        <v>0</v>
      </c>
      <c r="AT73" s="1136">
        <f t="shared" si="84"/>
        <v>0</v>
      </c>
      <c r="AU73" s="1136">
        <f t="shared" si="84"/>
        <v>0</v>
      </c>
      <c r="AV73" s="963"/>
      <c r="AW73" s="1136">
        <f t="shared" si="85"/>
        <v>0</v>
      </c>
      <c r="AX73" s="1136">
        <f t="shared" si="85"/>
        <v>0</v>
      </c>
      <c r="AY73" s="1136">
        <f t="shared" si="85"/>
        <v>0</v>
      </c>
      <c r="AZ73" s="1136">
        <f t="shared" si="85"/>
        <v>0</v>
      </c>
      <c r="BA73" s="963"/>
      <c r="BB73" s="1136">
        <f t="shared" si="86"/>
        <v>0</v>
      </c>
      <c r="BC73" s="1136">
        <f t="shared" si="86"/>
        <v>0</v>
      </c>
      <c r="BD73" s="1136">
        <f t="shared" si="86"/>
        <v>0</v>
      </c>
      <c r="BE73" s="1136">
        <f t="shared" si="86"/>
        <v>0</v>
      </c>
      <c r="BF73" s="963"/>
      <c r="BG73" s="1136">
        <f t="shared" si="87"/>
        <v>0</v>
      </c>
      <c r="BH73" s="1136">
        <f t="shared" si="87"/>
        <v>0</v>
      </c>
      <c r="BI73" s="1136">
        <f t="shared" si="87"/>
        <v>0</v>
      </c>
      <c r="BJ73" s="1136">
        <f t="shared" si="87"/>
        <v>0</v>
      </c>
      <c r="BK73" s="963"/>
      <c r="BL73" s="1136">
        <f t="shared" si="88"/>
        <v>0</v>
      </c>
      <c r="BM73" s="1136">
        <f t="shared" si="88"/>
        <v>0</v>
      </c>
      <c r="BN73" s="1136">
        <f t="shared" si="88"/>
        <v>0</v>
      </c>
      <c r="BO73" s="1136">
        <f t="shared" si="88"/>
        <v>0</v>
      </c>
      <c r="BP73" s="963"/>
      <c r="BQ73" s="1136">
        <f>$DQ74</f>
        <v>0</v>
      </c>
      <c r="BR73" s="976"/>
      <c r="BS73" s="976"/>
      <c r="BT73" s="976"/>
      <c r="BU73" s="976"/>
      <c r="BW73" s="1139">
        <f>$DQ74</f>
        <v>0</v>
      </c>
      <c r="BX73" s="963"/>
      <c r="BY73" s="963"/>
      <c r="BZ73" s="975"/>
      <c r="CA73" s="1012"/>
      <c r="CB73" s="1136">
        <f>$DQ74</f>
        <v>0</v>
      </c>
      <c r="CE73" s="975"/>
      <c r="CF73" s="1012"/>
      <c r="CG73" s="1136">
        <f>$DQ74</f>
        <v>0</v>
      </c>
      <c r="CJ73" s="975"/>
      <c r="CK73" s="1012"/>
      <c r="CL73" s="1136">
        <f>$DQ73</f>
        <v>0</v>
      </c>
      <c r="CP73" s="1012"/>
      <c r="CQ73" s="1136">
        <f>$DQ73</f>
        <v>0</v>
      </c>
      <c r="CZ73" s="1157">
        <v>0.04</v>
      </c>
      <c r="DA73" s="1157">
        <v>0.04</v>
      </c>
      <c r="DB73" s="1157">
        <v>0.04</v>
      </c>
      <c r="DC73" s="1157">
        <v>0.04</v>
      </c>
      <c r="DD73" s="1157">
        <v>0.04</v>
      </c>
      <c r="DE73" s="1157">
        <v>0.03</v>
      </c>
      <c r="DF73" s="1157">
        <v>0.03</v>
      </c>
      <c r="DG73" s="1157">
        <v>0.04</v>
      </c>
      <c r="DH73" s="1157">
        <v>0.04</v>
      </c>
      <c r="DI73" s="1157">
        <v>0.04</v>
      </c>
      <c r="DJ73" s="1157">
        <v>0.04</v>
      </c>
      <c r="DK73" s="1157">
        <v>0.03</v>
      </c>
      <c r="DL73" s="1157">
        <v>0.03</v>
      </c>
      <c r="DM73" s="1157">
        <v>0.03</v>
      </c>
      <c r="DO73" s="1157"/>
      <c r="DP73" s="1157"/>
      <c r="DQ73" s="1157"/>
      <c r="DR73" s="1157"/>
      <c r="DS73" s="1157"/>
      <c r="DT73" s="1157"/>
      <c r="DU73" s="1157"/>
      <c r="DV73" s="1157"/>
      <c r="DW73" s="1157"/>
      <c r="DX73" s="1157"/>
      <c r="DY73" s="1157"/>
      <c r="DZ73" s="1157"/>
      <c r="EA73" s="1157"/>
      <c r="EH73" s="1012"/>
      <c r="EI73" s="1012"/>
      <c r="EJ73" s="1012"/>
      <c r="EK73" s="1164"/>
      <c r="EL73" s="1012"/>
    </row>
    <row r="74" spans="2:142" ht="12" customHeight="1" collapsed="1">
      <c r="B74" s="962"/>
      <c r="C74" s="962"/>
      <c r="D74" s="962"/>
      <c r="E74" s="962"/>
      <c r="F74" s="962"/>
      <c r="G74" s="962"/>
      <c r="H74" s="962"/>
      <c r="I74" s="962"/>
      <c r="J74" s="962"/>
      <c r="K74" s="962"/>
      <c r="L74" s="962"/>
      <c r="M74" s="962"/>
      <c r="N74" s="962"/>
      <c r="O74" s="962"/>
      <c r="P74" s="962"/>
      <c r="Q74" s="962"/>
      <c r="R74" s="962"/>
      <c r="S74" s="962"/>
      <c r="T74" s="962"/>
      <c r="U74" s="962"/>
      <c r="V74" s="962"/>
      <c r="W74" s="962"/>
      <c r="X74" s="962"/>
      <c r="Y74" s="962"/>
      <c r="Z74" s="962"/>
      <c r="AA74" s="962"/>
      <c r="AB74" s="962"/>
      <c r="AC74" s="962"/>
      <c r="AD74" s="962"/>
      <c r="AE74" s="962"/>
      <c r="AF74" s="962"/>
      <c r="AG74" s="962"/>
      <c r="AH74" s="962"/>
      <c r="AI74" s="962"/>
      <c r="AJ74" s="962"/>
      <c r="AK74" s="962"/>
      <c r="AL74" s="962"/>
      <c r="AM74" s="962"/>
      <c r="AN74" s="962"/>
      <c r="AO74" s="962"/>
      <c r="AP74" s="962"/>
      <c r="AQ74" s="962"/>
      <c r="AR74" s="962"/>
      <c r="AS74" s="962"/>
      <c r="AT74" s="962"/>
      <c r="AU74" s="962"/>
      <c r="AV74" s="962"/>
      <c r="AW74" s="962"/>
      <c r="AX74" s="962"/>
      <c r="AY74" s="1014"/>
      <c r="AZ74" s="1014"/>
      <c r="BA74" s="1014"/>
      <c r="BB74" s="1014"/>
      <c r="BC74" s="1014"/>
      <c r="BD74" s="1014"/>
      <c r="BE74" s="1014"/>
      <c r="BF74" s="1014"/>
      <c r="BG74" s="1014"/>
      <c r="BH74" s="1014"/>
      <c r="BI74" s="1014"/>
      <c r="BJ74" s="1014"/>
      <c r="BK74" s="1014"/>
      <c r="BL74" s="1014"/>
      <c r="BM74" s="1014"/>
      <c r="BN74" s="1014"/>
      <c r="BO74" s="1014"/>
      <c r="BP74" s="1014"/>
      <c r="BQ74" s="1014"/>
      <c r="BR74" s="976"/>
      <c r="BS74" s="976"/>
      <c r="BT74" s="976"/>
      <c r="BU74" s="976"/>
      <c r="BV74" s="1014"/>
      <c r="BW74" s="1014"/>
      <c r="BX74" s="1014"/>
      <c r="BY74" s="1014"/>
      <c r="BZ74" s="976"/>
      <c r="CA74" s="1014"/>
      <c r="CB74" s="1014"/>
      <c r="CC74" s="1014"/>
      <c r="CD74" s="1014"/>
      <c r="CE74" s="976"/>
      <c r="CF74" s="1014"/>
      <c r="CG74" s="1014"/>
      <c r="CH74" s="1014"/>
      <c r="CI74" s="1014"/>
      <c r="CJ74" s="976"/>
      <c r="CK74" s="1012"/>
      <c r="CL74" s="1136">
        <f>$DQ74</f>
        <v>0</v>
      </c>
      <c r="CP74" s="1012"/>
      <c r="CQ74" s="1136">
        <f>$DQ74</f>
        <v>0</v>
      </c>
      <c r="CZ74" s="1157">
        <v>0</v>
      </c>
      <c r="DA74" s="1157">
        <v>0</v>
      </c>
      <c r="DB74" s="1157">
        <v>0</v>
      </c>
      <c r="DC74" s="1157">
        <v>0</v>
      </c>
      <c r="DD74" s="1157">
        <v>0</v>
      </c>
      <c r="DE74" s="1157">
        <v>0</v>
      </c>
      <c r="DF74" s="1157">
        <v>0</v>
      </c>
      <c r="DG74" s="1157">
        <v>0</v>
      </c>
      <c r="DH74" s="1157">
        <v>0</v>
      </c>
      <c r="DI74" s="1157">
        <v>0</v>
      </c>
      <c r="DJ74" s="1157">
        <v>0</v>
      </c>
      <c r="DK74" s="1157">
        <v>0</v>
      </c>
      <c r="DL74" s="1157">
        <v>0</v>
      </c>
      <c r="DM74" s="1157">
        <v>0</v>
      </c>
      <c r="DO74" s="1157"/>
      <c r="DP74" s="1157"/>
      <c r="DQ74" s="1157"/>
      <c r="DR74" s="1157"/>
      <c r="DS74" s="1157"/>
      <c r="DT74" s="1157"/>
      <c r="DU74" s="1157"/>
      <c r="DV74" s="1157"/>
      <c r="DW74" s="1157"/>
      <c r="DX74" s="963"/>
      <c r="DY74" s="963"/>
      <c r="DZ74" s="963"/>
      <c r="EA74" s="963"/>
      <c r="EH74" s="1012"/>
      <c r="EI74" s="1012"/>
      <c r="EJ74" s="1012"/>
      <c r="EK74" s="1164"/>
      <c r="EL74" s="1012"/>
    </row>
    <row r="75" spans="2:142" ht="12" customHeight="1">
      <c r="B75" s="1148"/>
      <c r="C75" s="962"/>
      <c r="D75" s="962"/>
      <c r="E75" s="962"/>
      <c r="F75" s="962"/>
      <c r="G75" s="962"/>
      <c r="H75" s="962"/>
      <c r="I75" s="962"/>
      <c r="J75" s="962"/>
      <c r="K75" s="962"/>
      <c r="L75" s="962"/>
      <c r="M75" s="962"/>
      <c r="N75" s="962"/>
      <c r="O75" s="962"/>
      <c r="P75" s="962"/>
      <c r="Q75" s="962"/>
      <c r="R75" s="962"/>
      <c r="S75" s="962"/>
      <c r="T75" s="962"/>
      <c r="U75" s="962"/>
      <c r="V75" s="962"/>
      <c r="W75" s="962"/>
      <c r="X75" s="962"/>
      <c r="Y75" s="962"/>
      <c r="Z75" s="962"/>
      <c r="AA75" s="962"/>
      <c r="AB75" s="962"/>
      <c r="AC75" s="962"/>
      <c r="AD75" s="962"/>
      <c r="AE75" s="962"/>
      <c r="AF75" s="962"/>
      <c r="AG75" s="962"/>
      <c r="AH75" s="962"/>
      <c r="AI75" s="962"/>
      <c r="AJ75" s="962"/>
      <c r="AK75" s="962"/>
      <c r="AL75" s="962"/>
      <c r="AM75" s="962"/>
      <c r="AN75" s="962"/>
      <c r="AO75" s="962"/>
      <c r="AP75" s="962"/>
      <c r="AQ75" s="962"/>
      <c r="AR75" s="962"/>
      <c r="AS75" s="962"/>
      <c r="AT75" s="962"/>
      <c r="AU75" s="962"/>
      <c r="AV75" s="962"/>
      <c r="AW75" s="962"/>
      <c r="AX75" s="962"/>
      <c r="AY75" s="962"/>
      <c r="AZ75" s="962"/>
      <c r="BA75" s="962"/>
      <c r="BB75" s="962"/>
      <c r="BC75" s="962"/>
      <c r="BD75" s="962"/>
      <c r="BE75" s="962"/>
      <c r="BF75" s="962"/>
      <c r="BG75" s="962"/>
      <c r="BH75" s="962"/>
      <c r="BI75" s="962"/>
      <c r="BJ75" s="962"/>
      <c r="BK75" s="962"/>
      <c r="BL75" s="962"/>
      <c r="BM75" s="962"/>
      <c r="BN75" s="962"/>
      <c r="BO75" s="962"/>
      <c r="BP75" s="962"/>
      <c r="BQ75" s="962"/>
      <c r="BR75" s="976"/>
      <c r="BS75" s="976"/>
      <c r="BT75" s="976"/>
      <c r="BU75" s="976"/>
      <c r="BV75" s="962"/>
      <c r="BW75" s="962"/>
      <c r="BX75" s="962"/>
      <c r="BY75" s="962"/>
      <c r="BZ75" s="976"/>
      <c r="CA75" s="962"/>
      <c r="CB75" s="962"/>
      <c r="CC75" s="962"/>
      <c r="CD75" s="962"/>
      <c r="CE75" s="976"/>
      <c r="CF75" s="962"/>
      <c r="CG75" s="962"/>
      <c r="CH75" s="962"/>
      <c r="CI75" s="962"/>
      <c r="CJ75" s="976"/>
      <c r="CK75" s="1014"/>
      <c r="CL75" s="1014"/>
      <c r="CM75" s="1014"/>
      <c r="CN75" s="1014"/>
      <c r="CO75" s="1014"/>
      <c r="CP75" s="1014"/>
      <c r="CQ75" s="1014"/>
      <c r="CR75" s="1014"/>
      <c r="CS75" s="1014"/>
      <c r="CT75" s="1014"/>
      <c r="CU75" s="1014"/>
      <c r="CV75" s="1014"/>
      <c r="CW75" s="1014"/>
      <c r="CX75" s="1014"/>
      <c r="CY75" s="1014"/>
      <c r="CZ75" s="1014"/>
      <c r="DA75" s="1014"/>
      <c r="DB75" s="1014"/>
      <c r="DC75" s="1014"/>
      <c r="DD75" s="1014"/>
      <c r="DE75" s="1014"/>
      <c r="DF75" s="1014"/>
      <c r="DG75" s="1014"/>
      <c r="DH75" s="1014"/>
      <c r="DI75" s="1014"/>
      <c r="DJ75" s="1014"/>
      <c r="DK75" s="1014"/>
      <c r="DL75" s="1014"/>
      <c r="DM75" s="1014"/>
      <c r="DN75" s="1014"/>
      <c r="DO75" s="1014"/>
      <c r="DP75" s="1014"/>
      <c r="DQ75" s="1014"/>
      <c r="DR75" s="1014"/>
      <c r="DS75" s="1013"/>
      <c r="DT75" s="1014"/>
      <c r="DU75" s="1014"/>
      <c r="DV75" s="962"/>
      <c r="DW75" s="962"/>
      <c r="DX75" s="962"/>
      <c r="DY75" s="963"/>
      <c r="DZ75" s="962"/>
      <c r="EA75" s="962"/>
    </row>
    <row r="76" spans="2:142" ht="10.5" customHeight="1">
      <c r="B76" s="962"/>
      <c r="C76" s="962"/>
      <c r="D76" s="962"/>
      <c r="E76" s="962"/>
      <c r="F76" s="962"/>
      <c r="G76" s="962"/>
      <c r="H76" s="962"/>
      <c r="I76" s="962"/>
      <c r="J76" s="962"/>
      <c r="K76" s="962"/>
      <c r="L76" s="962"/>
      <c r="M76" s="962"/>
      <c r="N76" s="962"/>
      <c r="O76" s="962"/>
      <c r="P76" s="962"/>
      <c r="Q76" s="962"/>
      <c r="R76" s="962"/>
      <c r="S76" s="962"/>
      <c r="T76" s="962"/>
      <c r="U76" s="962"/>
      <c r="V76" s="962"/>
      <c r="W76" s="962"/>
      <c r="X76" s="962"/>
      <c r="Y76" s="962"/>
      <c r="Z76" s="962"/>
      <c r="AA76" s="962"/>
      <c r="AB76" s="962"/>
      <c r="AC76" s="962"/>
      <c r="AD76" s="962"/>
      <c r="AE76" s="962"/>
      <c r="AF76" s="962"/>
      <c r="AG76" s="962"/>
      <c r="AH76" s="962"/>
      <c r="AI76" s="962"/>
      <c r="AJ76" s="962"/>
      <c r="AK76" s="962"/>
      <c r="AL76" s="962"/>
      <c r="AM76" s="962"/>
      <c r="AN76" s="962"/>
      <c r="AO76" s="962"/>
      <c r="AP76" s="962"/>
      <c r="AQ76" s="962"/>
      <c r="AR76" s="962"/>
      <c r="AS76" s="962"/>
      <c r="AT76" s="962"/>
      <c r="AU76" s="962"/>
      <c r="AV76" s="962"/>
      <c r="AW76" s="962"/>
      <c r="AX76" s="962"/>
      <c r="AY76" s="962"/>
      <c r="AZ76" s="962"/>
      <c r="BA76" s="962"/>
      <c r="BB76" s="962"/>
      <c r="BC76" s="962"/>
      <c r="BD76" s="962"/>
      <c r="BE76" s="962"/>
      <c r="BF76" s="962"/>
      <c r="BG76" s="962"/>
      <c r="BH76" s="962"/>
      <c r="BI76" s="962"/>
      <c r="BJ76" s="962"/>
      <c r="BK76" s="962"/>
      <c r="BL76" s="962"/>
      <c r="BM76" s="962"/>
      <c r="BN76" s="962"/>
      <c r="BO76" s="962"/>
      <c r="BP76" s="962"/>
      <c r="BQ76" s="962"/>
      <c r="BR76" s="976"/>
      <c r="BS76" s="976"/>
      <c r="BT76" s="976"/>
      <c r="BU76" s="976"/>
      <c r="BV76" s="962"/>
      <c r="BW76" s="962"/>
      <c r="BX76" s="962"/>
      <c r="BY76" s="962"/>
      <c r="BZ76" s="976"/>
      <c r="CA76" s="962"/>
      <c r="CB76" s="962"/>
      <c r="CC76" s="962"/>
      <c r="CD76" s="962"/>
      <c r="CE76" s="976"/>
      <c r="CF76" s="962"/>
      <c r="CG76" s="962"/>
      <c r="CH76" s="962"/>
      <c r="CI76" s="962"/>
      <c r="CJ76" s="976"/>
      <c r="CK76" s="962"/>
      <c r="CL76" s="962"/>
      <c r="CM76" s="962"/>
      <c r="CN76" s="962"/>
      <c r="CO76" s="962"/>
      <c r="CP76" s="962"/>
      <c r="CQ76" s="962"/>
      <c r="CR76" s="962"/>
      <c r="CS76" s="962"/>
      <c r="CT76" s="962"/>
      <c r="CU76" s="962"/>
      <c r="CV76" s="962"/>
      <c r="CW76" s="962"/>
      <c r="CX76" s="962"/>
      <c r="CY76" s="962"/>
      <c r="CZ76" s="962"/>
      <c r="DA76" s="962"/>
      <c r="DB76" s="962"/>
      <c r="DC76" s="962"/>
      <c r="DD76" s="962"/>
      <c r="DE76" s="962"/>
      <c r="DF76" s="963"/>
      <c r="DG76" s="963"/>
      <c r="DH76" s="962"/>
      <c r="DI76" s="962"/>
      <c r="DJ76" s="962"/>
      <c r="DK76" s="963"/>
      <c r="DL76" s="962"/>
      <c r="DM76" s="962"/>
      <c r="DN76" s="962"/>
      <c r="DO76" s="962"/>
      <c r="DP76" s="962"/>
      <c r="DQ76" s="962"/>
      <c r="DR76" s="962"/>
      <c r="DS76" s="963"/>
      <c r="DT76" s="962"/>
      <c r="DU76" s="962"/>
      <c r="DV76" s="962"/>
      <c r="DW76" s="962"/>
      <c r="DX76" s="962"/>
      <c r="DY76" s="963"/>
      <c r="DZ76" s="962"/>
      <c r="EA76" s="962"/>
    </row>
    <row r="77" spans="2:142" customFormat="1" ht="10.5" customHeight="1" outlineLevel="1"/>
    <row r="78" spans="2:142" ht="10.5" customHeight="1">
      <c r="BR78" s="976"/>
      <c r="BS78" s="976"/>
      <c r="BT78" s="976"/>
      <c r="BU78" s="976"/>
      <c r="BZ78" s="976"/>
      <c r="CE78" s="976"/>
      <c r="CJ78" s="976"/>
    </row>
    <row r="79" spans="2:142" ht="10.5" customHeight="1">
      <c r="BR79" s="976"/>
      <c r="BS79" s="976"/>
      <c r="BT79" s="976"/>
      <c r="BU79" s="976"/>
      <c r="BZ79" s="976"/>
      <c r="CE79" s="976"/>
      <c r="CJ79" s="976"/>
    </row>
    <row r="80" spans="2:142" ht="10.5" customHeight="1">
      <c r="BR80" s="976"/>
      <c r="BS80" s="976"/>
      <c r="BT80" s="976"/>
      <c r="BU80" s="976"/>
      <c r="BZ80" s="976"/>
      <c r="CE80" s="976"/>
      <c r="CJ80" s="976"/>
    </row>
    <row r="81" spans="70:88" ht="10.5" customHeight="1">
      <c r="BR81" s="976"/>
      <c r="BS81" s="976"/>
      <c r="BT81" s="976"/>
      <c r="BU81" s="976"/>
      <c r="BZ81" s="976"/>
      <c r="CE81" s="976"/>
      <c r="CJ81" s="976"/>
    </row>
    <row r="82" spans="70:88" ht="10.5" customHeight="1">
      <c r="BR82" s="976"/>
      <c r="BS82" s="976"/>
      <c r="BT82" s="976"/>
      <c r="BU82" s="976"/>
      <c r="BZ82" s="976"/>
      <c r="CE82" s="976"/>
      <c r="CJ82" s="976"/>
    </row>
    <row r="83" spans="70:88" ht="10.5" customHeight="1">
      <c r="BR83" s="976"/>
      <c r="BS83" s="976"/>
      <c r="BT83" s="976"/>
      <c r="BU83" s="976"/>
      <c r="BZ83" s="976"/>
      <c r="CE83" s="976"/>
      <c r="CJ83" s="976"/>
    </row>
  </sheetData>
  <mergeCells count="10">
    <mergeCell ref="CU5:CX5"/>
    <mergeCell ref="CP5:CS5"/>
    <mergeCell ref="CK5:CN5"/>
    <mergeCell ref="CF5:CI5"/>
    <mergeCell ref="BB5:BE5"/>
    <mergeCell ref="BQ5:BT5"/>
    <mergeCell ref="CA5:CD5"/>
    <mergeCell ref="BV5:BY5"/>
    <mergeCell ref="BL5:BO5"/>
    <mergeCell ref="BG5:BJ5"/>
  </mergeCells>
  <phoneticPr fontId="0" type="noConversion"/>
  <dataValidations count="1">
    <dataValidation type="custom" allowBlank="1" showInputMessage="1" showErrorMessage="1" sqref="CG58:CI59 BU1:BU10 AM1:AP51 X1:AK51 AQ1:BT3 BR4:BT4 CF59 N1:Q51 S1:V51 BV1:BY4 BZ1:BZ10 DE37:DG51 BR65:BT67 B78:B65536 X61:AA61 AB52:AB61 BR78:BU65536 CA7:CD10 CB6:CD6 BW6:BY6 BK6:BK51 BG59:BJ59 BL59:BO59 BC57:BC61 AV6:AV51 N61:Q61 R59:R61 BC6:BE27 BF6:BF51 BB4:BB27 AX6:AZ27 AW4:AW27 S61:V61 BD61:BE61 AR57:AR61 AT57:AV61 AO57:AP61 AN61 AM57:AM61 AH57:AH61 AC57:AC61 CZ55:DD55 CB52 BE28:BE51 BD59:BE59 BN11 AI57 AE57:AG60 AN59 AJ57:AK60 AI59:AI60 BB53:BB56 AD59:AD60 AD57 C57:M57 BH6:BJ27 R57 BG61:BJ63 BG5:BG27 BL61:BO63 BN6:BO10 BG28:BJ51 CB54:CB56 BC54:BD56 AR5:AU51 AR4:AV4 AX4:BA4 BC4:BK4 BM4:BP4 BV7:BY10 BV5:BV6 CA5:CA6 CG68:CG73 BK70 BW68:BZ73 BW12:CN36 BV78:BY65536 CF1:CI4 AM78:AM65536 BQ68:BU73 BL68:BO73 AQ78:AQ65536 BG68:BJ73 AD78:AG65536 AN78:AP65536 AW62:AZ62 AW71:AZ73 C59:M61 AI78:AL65536 W78:AC65536 AT63:AU63 AH78:AH65536 AH62:AK62 AH71:AK73 AM62:AP62 AM71:AP73 BB62:BE62 BB71:BE73 AC62:AF62 AC71:AF73 AV62:AV63 AV68:AV73 AR78:AR65536 BZ78:BZ65536 AN63:AP63 BR74:BU76 AR62:AU62 AR71:AU73 BC63:BE63 CO64 AS78:BQ65536 CB68:CB73 AR63:AR67 AH63:AH67 AC63:AC67 W62:AB73 AM63:AM67 AC70:AU70 AW70:BF70 AR68:AU69 AW68:AZ69 AH68:AK69 AC68:AF69 AM68:AP69 BB68:BE69 BP70 BR6:BT51 BV12:BV51 DO63:DX63 BZ58:BZ67 BQ4:BQ51 BP6:BP51 BM6:BM51 BL4:BL51 BN12:BO51 CA78:CD65536 CA1:CD4 CE1:CE10 CF7:CI10 CK79:DW65536 CG6:CI6 CF5:CF6 BW37:CD51 CK59:CL59 CF78:CI65536 CF37:CI51 CL69:CL74 CK1:CN4 CK37:CN51 CJ1:CJ10 CK7:CN10 CL6:CN6 CK5:CK6 DO69:DW74 DX78:DZ65536 B59:B76 DO76:DU76 DO65:DT67 CV6:CY6 EK1:JC76 DV75:DW76 DJ76:DM76 EK78:JC1048576 CZ69:DM74 CZ61:DM63 DJ65:DM67 CZ1:DM36 CQ69:CQ74 CP5:CP6 CN53 CK61:CN63 CO1:CO10 CU5:CU6 CP7:CY10 DN6:DN10 CP1:CY4 DN1:DN4 DN12:DN51 CZ59:DM59 AL1:AL60 CF61:CI63 EH78:EJ65536 DH37:DM53 C62:V76 CJ78:CJ65536 CO12:CY51 CE78:CE65536 BU12:BU67 EA78:EA65536 AQ4:AQ60 AW28:AZ56 BB28:BD52 BA6:BA56 B1:B56 W1:W61 CZ37:DD52 R1:R53 C1:M53 DU64:DX67 CQ6:CT6 CT64 CP61:CS63 EA37:EA53 DO1:DZ53 DO61:EA62 DO59:EA59 EH37:EJ76 DY63:DZ67 DX69:DZ76 CU61:CU64 CV64:DT64 CU52:CU53 CQ52:CQ53 CU59 CQ59 EA1:EA36 AM74:AM76 EA63:EA76 CE37:CE76 CJ37:CJ76 C78:V65536 BZ74:BZ76 AR74:AR76 AH74:AH76 W74:AC76 AI76:AL76 AD76:AG76 AQ76 EH1:EJ36">
      <formula1>-1</formula1>
    </dataValidation>
  </dataValidations>
  <printOptions horizontalCentered="1"/>
  <pageMargins left="0" right="0" top="0" bottom="0" header="0" footer="0"/>
  <pageSetup scale="73" orientation="landscape" horizontalDpi="1200" verticalDpi="1200" r:id="rId1"/>
  <headerFooter alignWithMargins="0"/>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syncVertical="1" syncRef="C183" transitionEvaluation="1" codeName="Sheet6"/>
  <dimension ref="A1:BM278"/>
  <sheetViews>
    <sheetView showGridLines="0" zoomScaleNormal="100" zoomScaleSheetLayoutView="100" workbookViewId="0">
      <pane xSplit="2" ySplit="77" topLeftCell="C183" activePane="bottomRight" state="frozen"/>
      <selection pane="topRight"/>
      <selection pane="bottomLeft"/>
      <selection pane="bottomRight" activeCell="G216" sqref="G216"/>
    </sheetView>
  </sheetViews>
  <sheetFormatPr defaultColWidth="9.75" defaultRowHeight="10.5" customHeight="1" outlineLevelRow="2"/>
  <cols>
    <col min="1" max="1" width="5.125" style="960" customWidth="1"/>
    <col min="2" max="2" width="1.75" style="960" customWidth="1"/>
    <col min="3" max="3" width="5.875" style="960" customWidth="1"/>
    <col min="4" max="4" width="1.625" style="960" customWidth="1"/>
    <col min="5" max="5" width="5.75" style="960" customWidth="1"/>
    <col min="6" max="6" width="1.625" style="960" customWidth="1"/>
    <col min="7" max="7" width="7.5" style="960" customWidth="1"/>
    <col min="8" max="8" width="1.625" style="960" customWidth="1"/>
    <col min="9" max="9" width="5" style="960" customWidth="1"/>
    <col min="10" max="10" width="4.875" style="960" customWidth="1"/>
    <col min="11" max="11" width="5.75" style="960" customWidth="1"/>
    <col min="12" max="12" width="0.875" style="960" customWidth="1"/>
    <col min="13" max="13" width="7.375" style="960" customWidth="1"/>
    <col min="14" max="14" width="1.625" style="960" customWidth="1"/>
    <col min="15" max="15" width="8.375" style="960" customWidth="1"/>
    <col min="16" max="16" width="3.625" style="960" customWidth="1"/>
    <col min="17" max="17" width="1.75" style="960" customWidth="1"/>
    <col min="18" max="18" width="7.875" style="960" customWidth="1"/>
    <col min="19" max="19" width="1.25" style="960" customWidth="1"/>
    <col min="20" max="20" width="7.125" style="960" customWidth="1"/>
    <col min="21" max="21" width="0.875" style="960" customWidth="1"/>
    <col min="22" max="22" width="7.125" style="960" customWidth="1"/>
    <col min="23" max="23" width="0.875" style="960" customWidth="1"/>
    <col min="24" max="24" width="5.875" style="960" customWidth="1"/>
    <col min="25" max="25" width="1.25" style="960" customWidth="1"/>
    <col min="26" max="26" width="6" style="960" customWidth="1"/>
    <col min="27" max="27" width="0.875" style="960" customWidth="1"/>
    <col min="28" max="28" width="7.875" style="960" customWidth="1"/>
    <col min="29" max="29" width="1.625" style="960" customWidth="1"/>
    <col min="30" max="30" width="8.625" style="960" customWidth="1"/>
    <col min="31" max="31" width="3.625" style="960" customWidth="1"/>
    <col min="32" max="32" width="0.875" style="960" customWidth="1"/>
    <col min="33" max="33" width="7.75" style="960" customWidth="1"/>
    <col min="34" max="34" width="0.875" style="960" customWidth="1"/>
    <col min="35" max="35" width="7.125" style="960" customWidth="1"/>
    <col min="36" max="36" width="0.75" style="960" customWidth="1"/>
    <col min="37" max="37" width="7.125" style="960" customWidth="1"/>
    <col min="38" max="38" width="1.375" style="960" customWidth="1"/>
    <col min="39" max="39" width="7.875" style="960" bestFit="1" customWidth="1"/>
    <col min="40" max="40" width="0.875" style="960" customWidth="1"/>
    <col min="41" max="41" width="6" style="960" bestFit="1" customWidth="1"/>
    <col min="42" max="42" width="0.875" style="960" customWidth="1"/>
    <col min="43" max="43" width="6.75" style="960" bestFit="1" customWidth="1"/>
    <col min="44" max="44" width="0.875" style="960" customWidth="1"/>
    <col min="45" max="45" width="7.5" style="960" bestFit="1" customWidth="1"/>
    <col min="46" max="46" width="0.875" style="960" customWidth="1"/>
    <col min="47" max="47" width="7.5" style="960" customWidth="1"/>
    <col min="48" max="48" width="1.125" style="960" customWidth="1"/>
    <col min="49" max="51" width="7.75" style="960" customWidth="1"/>
    <col min="52" max="55" width="5" style="960" customWidth="1"/>
    <col min="56" max="56" width="9.75" style="960"/>
    <col min="57" max="57" width="6" style="960" customWidth="1"/>
    <col min="58" max="58" width="0.75" style="960" customWidth="1"/>
    <col min="59" max="59" width="7.25" style="960" customWidth="1"/>
    <col min="60" max="60" width="0.75" style="960" customWidth="1"/>
    <col min="61" max="61" width="6.25" style="960" customWidth="1"/>
    <col min="62" max="62" width="0.75" style="960" customWidth="1"/>
    <col min="63" max="63" width="7.25" style="960" customWidth="1"/>
    <col min="64" max="64" width="0.75" style="960" customWidth="1"/>
    <col min="65" max="65" width="6.25" style="960" customWidth="1"/>
    <col min="66" max="16384" width="9.75" style="960"/>
  </cols>
  <sheetData>
    <row r="1" spans="1:65" ht="12" customHeight="1">
      <c r="A1" s="10" t="s">
        <v>560</v>
      </c>
      <c r="B1" s="1470"/>
      <c r="C1" s="1470"/>
      <c r="D1" s="1470"/>
      <c r="E1" s="1470"/>
      <c r="F1" s="1470"/>
      <c r="G1" s="1470"/>
      <c r="H1" s="1470"/>
      <c r="I1" s="1470"/>
      <c r="J1" s="1470"/>
      <c r="K1" s="1470"/>
      <c r="L1" s="1470"/>
      <c r="M1" s="1470"/>
      <c r="N1" s="1470"/>
      <c r="O1" s="1471"/>
      <c r="P1" s="1470"/>
      <c r="Q1" s="1470"/>
      <c r="R1" s="1470"/>
      <c r="S1" s="1472"/>
      <c r="T1" s="1470"/>
      <c r="U1" s="63"/>
      <c r="V1" s="63"/>
      <c r="W1" s="63"/>
      <c r="X1" s="1470"/>
      <c r="Y1" s="1470"/>
      <c r="Z1" s="1470"/>
      <c r="AA1" s="1470"/>
      <c r="AB1" s="1470"/>
      <c r="AC1" s="1470"/>
      <c r="AD1" s="1471"/>
      <c r="AE1" s="1470"/>
      <c r="AF1" s="1470"/>
      <c r="AG1" s="1470"/>
      <c r="AH1" s="1472"/>
      <c r="AI1" s="63"/>
      <c r="AJ1" s="63"/>
      <c r="AK1" s="63"/>
      <c r="AL1" s="1470"/>
      <c r="AM1" s="1470"/>
      <c r="AN1" s="1472"/>
      <c r="AO1" s="1470"/>
      <c r="AP1" s="1470"/>
      <c r="AQ1" s="1470"/>
      <c r="AR1" s="1470"/>
      <c r="AS1" s="1470"/>
      <c r="AT1" s="1470"/>
      <c r="AU1" s="1470"/>
      <c r="AV1" s="1473"/>
      <c r="AW1" s="1470"/>
      <c r="AX1" s="1470"/>
      <c r="AY1" s="1470"/>
      <c r="AZ1" s="1470"/>
      <c r="BA1" s="1470"/>
      <c r="BB1" s="1470"/>
      <c r="BC1" s="1470"/>
      <c r="BD1" s="1470"/>
      <c r="BE1" s="1470"/>
      <c r="BF1" s="1470"/>
      <c r="BG1" s="1470"/>
      <c r="BH1" s="1470"/>
      <c r="BI1" s="1470"/>
      <c r="BJ1" s="1470"/>
      <c r="BK1" s="1470"/>
      <c r="BL1" s="1470"/>
      <c r="BM1" s="1470"/>
    </row>
    <row r="2" spans="1:65" ht="12" customHeight="1">
      <c r="A2" s="31" t="s">
        <v>587</v>
      </c>
      <c r="B2" s="1474"/>
      <c r="C2" s="1474"/>
      <c r="D2" s="1474"/>
      <c r="E2" s="1474"/>
      <c r="F2" s="1474"/>
      <c r="G2" s="1474"/>
      <c r="H2" s="1474"/>
      <c r="I2" s="1474"/>
      <c r="J2" s="1474"/>
      <c r="K2" s="1474"/>
      <c r="L2" s="1474"/>
      <c r="M2" s="1474"/>
      <c r="N2" s="1474"/>
      <c r="O2" s="1475"/>
      <c r="P2" s="1474"/>
      <c r="Q2" s="1474"/>
      <c r="R2" s="1474"/>
      <c r="S2" s="1474"/>
      <c r="T2" s="1474"/>
      <c r="U2" s="64"/>
      <c r="V2" s="134"/>
      <c r="W2" s="134"/>
      <c r="X2" s="1474"/>
      <c r="Y2" s="1474"/>
      <c r="Z2" s="1474"/>
      <c r="AA2" s="1474"/>
      <c r="AB2" s="1474"/>
      <c r="AC2" s="1474"/>
      <c r="AD2" s="1475"/>
      <c r="AE2" s="1474"/>
      <c r="AF2" s="1474"/>
      <c r="AG2" s="1474"/>
      <c r="AH2" s="1474"/>
      <c r="AI2" s="64"/>
      <c r="AJ2" s="64"/>
      <c r="AK2" s="134"/>
      <c r="AL2" s="134"/>
      <c r="AM2" s="134"/>
      <c r="AN2" s="134"/>
      <c r="AO2" s="134"/>
      <c r="AP2" s="134"/>
      <c r="AQ2" s="134"/>
      <c r="AR2" s="134"/>
      <c r="AS2" s="134"/>
      <c r="AT2" s="134"/>
      <c r="AU2" s="849"/>
      <c r="AV2" s="1473"/>
      <c r="AW2" s="1470"/>
      <c r="AX2" s="1470"/>
      <c r="AY2" s="1470"/>
      <c r="AZ2" s="1470"/>
      <c r="BA2" s="1470"/>
      <c r="BB2" s="1470"/>
      <c r="BC2" s="1470"/>
      <c r="BD2" s="1470"/>
      <c r="BE2" s="1470"/>
      <c r="BF2" s="1470"/>
      <c r="BG2" s="1470"/>
      <c r="BH2" s="1470"/>
      <c r="BI2" s="1470"/>
      <c r="BJ2" s="1470"/>
      <c r="BK2" s="1470"/>
      <c r="BL2" s="1470"/>
      <c r="BM2" s="1470"/>
    </row>
    <row r="3" spans="1:65" ht="10.5" customHeight="1">
      <c r="A3" s="1470"/>
      <c r="B3" s="1470"/>
      <c r="C3" s="1470"/>
      <c r="D3" s="1470"/>
      <c r="E3" s="1470"/>
      <c r="F3" s="1470"/>
      <c r="G3" s="1470"/>
      <c r="H3" s="1470"/>
      <c r="I3" s="1470"/>
      <c r="J3" s="1470"/>
      <c r="K3" s="1470"/>
      <c r="L3" s="1470"/>
      <c r="M3" s="1470"/>
      <c r="N3" s="1470"/>
      <c r="O3" s="1476"/>
      <c r="P3" s="1470"/>
      <c r="Q3" s="1470"/>
      <c r="R3" s="1477"/>
      <c r="S3" s="1478"/>
      <c r="T3" s="1477"/>
      <c r="U3" s="1479"/>
      <c r="V3" s="1479"/>
      <c r="W3" s="1479"/>
      <c r="X3" s="1470"/>
      <c r="Y3" s="1470"/>
      <c r="Z3" s="1470"/>
      <c r="AA3" s="1470"/>
      <c r="AB3" s="1470"/>
      <c r="AC3" s="1470"/>
      <c r="AD3" s="1476"/>
      <c r="AE3" s="1470"/>
      <c r="AF3" s="1470"/>
      <c r="AG3" s="1470"/>
      <c r="AH3" s="1472"/>
      <c r="AI3" s="1479"/>
      <c r="AJ3" s="1479"/>
      <c r="AK3" s="1479"/>
      <c r="AL3" s="1479"/>
      <c r="AM3" s="1479"/>
      <c r="AN3" s="1479"/>
      <c r="AO3" s="1479"/>
      <c r="AP3" s="1479"/>
      <c r="AQ3" s="1479"/>
      <c r="AR3" s="1479"/>
      <c r="AS3" s="1479"/>
      <c r="AT3" s="1479"/>
      <c r="AU3" s="1479"/>
      <c r="AV3" s="1473"/>
      <c r="AW3" s="1470"/>
      <c r="AX3" s="1470"/>
      <c r="AY3" s="1470"/>
      <c r="AZ3" s="1470"/>
      <c r="BA3" s="1470"/>
      <c r="BB3" s="1470"/>
      <c r="BC3" s="1470"/>
      <c r="BD3" s="1470"/>
      <c r="BE3" s="1470"/>
      <c r="BF3" s="1470"/>
      <c r="BG3" s="1470"/>
      <c r="BH3" s="1470"/>
      <c r="BI3" s="1470"/>
      <c r="BJ3" s="1470"/>
      <c r="BK3" s="1470"/>
      <c r="BL3" s="1470"/>
      <c r="BM3" s="1470"/>
    </row>
    <row r="4" spans="1:65" ht="10.5" customHeight="1">
      <c r="A4" s="1470"/>
      <c r="B4" s="1470"/>
      <c r="C4" s="1470"/>
      <c r="D4" s="1470"/>
      <c r="E4" s="1470"/>
      <c r="F4" s="1470"/>
      <c r="G4" s="1470"/>
      <c r="H4" s="1470"/>
      <c r="I4" s="1470"/>
      <c r="J4" s="1470"/>
      <c r="K4" s="1470"/>
      <c r="L4" s="1470"/>
      <c r="M4" s="1470"/>
      <c r="N4" s="1470"/>
      <c r="O4" s="1476"/>
      <c r="P4" s="1470"/>
      <c r="Q4" s="1470"/>
      <c r="R4" s="1470"/>
      <c r="S4" s="1472"/>
      <c r="T4" s="1479"/>
      <c r="U4" s="1479"/>
      <c r="V4" s="1479"/>
      <c r="W4" s="1479"/>
      <c r="X4" s="1470"/>
      <c r="Y4" s="1470"/>
      <c r="Z4" s="1470"/>
      <c r="AA4" s="1470"/>
      <c r="AB4" s="1470"/>
      <c r="AC4" s="1470"/>
      <c r="AD4" s="1476"/>
      <c r="AE4" s="1470"/>
      <c r="AF4" s="1470"/>
      <c r="AG4" s="1470"/>
      <c r="AH4" s="1472"/>
      <c r="AI4" s="1479"/>
      <c r="AJ4" s="1479"/>
      <c r="AK4" s="1479"/>
      <c r="AL4" s="1470"/>
      <c r="AM4" s="1470"/>
      <c r="AN4" s="1472"/>
      <c r="AO4" s="1470"/>
      <c r="AP4" s="1470"/>
      <c r="AQ4" s="1470"/>
      <c r="AR4" s="1470"/>
      <c r="AS4" s="1470"/>
      <c r="AT4" s="1470"/>
      <c r="AU4" s="1470"/>
      <c r="AV4" s="1473"/>
      <c r="AW4" s="1470"/>
      <c r="AX4" s="1470"/>
      <c r="AY4" s="1470"/>
      <c r="AZ4" s="1470"/>
      <c r="BA4" s="1470"/>
      <c r="BB4" s="1470"/>
      <c r="BC4" s="1470"/>
      <c r="BD4" s="1470"/>
      <c r="BE4" s="1470"/>
      <c r="BF4" s="1470"/>
      <c r="BG4" s="1470"/>
      <c r="BH4" s="1470"/>
      <c r="BI4" s="1470"/>
      <c r="BJ4" s="1470"/>
      <c r="BK4" s="1470"/>
      <c r="BL4" s="1470"/>
      <c r="BM4" s="1470"/>
    </row>
    <row r="5" spans="1:65" ht="12.75">
      <c r="A5" s="1470"/>
      <c r="B5" s="1470"/>
      <c r="C5" s="1470"/>
      <c r="D5" s="1470"/>
      <c r="E5" s="1470"/>
      <c r="F5" s="1470"/>
      <c r="G5" s="1470"/>
      <c r="H5" s="1470"/>
      <c r="I5" s="1480" t="s">
        <v>237</v>
      </c>
      <c r="J5" s="1481"/>
      <c r="K5" s="1481"/>
      <c r="L5" s="1481"/>
      <c r="M5" s="1481"/>
      <c r="N5" s="1481"/>
      <c r="O5" s="1482"/>
      <c r="P5" s="1481"/>
      <c r="Q5" s="1481"/>
      <c r="R5" s="1481"/>
      <c r="S5" s="1481"/>
      <c r="T5" s="1483"/>
      <c r="U5" s="1483"/>
      <c r="V5" s="1484"/>
      <c r="W5" s="1479"/>
      <c r="X5" s="1480" t="s">
        <v>236</v>
      </c>
      <c r="Y5" s="1481"/>
      <c r="Z5" s="1481"/>
      <c r="AA5" s="1481"/>
      <c r="AB5" s="1481"/>
      <c r="AC5" s="1481"/>
      <c r="AD5" s="1482"/>
      <c r="AE5" s="1481"/>
      <c r="AF5" s="1481"/>
      <c r="AG5" s="1481"/>
      <c r="AH5" s="1481"/>
      <c r="AI5" s="1483"/>
      <c r="AJ5" s="1483"/>
      <c r="AK5" s="1484"/>
      <c r="AL5" s="1470"/>
      <c r="AM5" s="1480" t="s">
        <v>615</v>
      </c>
      <c r="AN5" s="1485"/>
      <c r="AO5" s="1485"/>
      <c r="AP5" s="1485"/>
      <c r="AQ5" s="1485"/>
      <c r="AR5" s="1485"/>
      <c r="AS5" s="1486"/>
      <c r="AT5" s="1485"/>
      <c r="AU5" s="1486"/>
      <c r="AV5" s="1473"/>
      <c r="AW5" s="1470"/>
      <c r="AX5" s="1470"/>
      <c r="AY5" s="1470"/>
      <c r="AZ5" s="1470"/>
      <c r="BA5" s="1470"/>
      <c r="BB5" s="1470"/>
      <c r="BC5" s="1470"/>
      <c r="BD5" s="1470"/>
      <c r="BE5" s="1480" t="s">
        <v>546</v>
      </c>
      <c r="BF5" s="1481"/>
      <c r="BG5" s="1485"/>
      <c r="BH5" s="1481"/>
      <c r="BI5" s="1485"/>
      <c r="BJ5" s="1481"/>
      <c r="BK5" s="1485"/>
      <c r="BL5" s="1481"/>
      <c r="BM5" s="1486"/>
    </row>
    <row r="6" spans="1:65" ht="10.5" customHeight="1">
      <c r="A6" s="1487"/>
      <c r="B6" s="1487"/>
      <c r="C6" s="1488"/>
      <c r="D6" s="1489" t="s">
        <v>738</v>
      </c>
      <c r="E6" s="1488"/>
      <c r="F6" s="1487"/>
      <c r="G6" s="1490" t="s">
        <v>739</v>
      </c>
      <c r="H6" s="1487"/>
      <c r="I6" s="1487"/>
      <c r="J6" s="1487"/>
      <c r="K6" s="1487"/>
      <c r="L6" s="1487"/>
      <c r="M6" s="1487"/>
      <c r="N6" s="1487"/>
      <c r="O6" s="1491" t="s">
        <v>740</v>
      </c>
      <c r="P6" s="1492"/>
      <c r="Q6" s="1493">
        <v>5</v>
      </c>
      <c r="R6" s="1494"/>
      <c r="S6" s="1495"/>
      <c r="T6" s="47" t="s">
        <v>252</v>
      </c>
      <c r="U6" s="134"/>
      <c r="V6" s="134"/>
      <c r="W6" s="63"/>
      <c r="X6" s="951"/>
      <c r="Y6" s="951"/>
      <c r="Z6" s="951"/>
      <c r="AA6" s="1487"/>
      <c r="AB6" s="1487"/>
      <c r="AC6" s="1487"/>
      <c r="AD6" s="1491" t="s">
        <v>740</v>
      </c>
      <c r="AE6" s="1492"/>
      <c r="AF6" s="1493">
        <v>5</v>
      </c>
      <c r="AG6" s="1494"/>
      <c r="AH6" s="1495"/>
      <c r="AI6" s="47" t="s">
        <v>253</v>
      </c>
      <c r="AJ6" s="134"/>
      <c r="AK6" s="134"/>
      <c r="AL6" s="1487"/>
      <c r="AM6" s="1487"/>
      <c r="AN6" s="1496"/>
      <c r="AO6" s="1487"/>
      <c r="AP6" s="1487"/>
      <c r="AQ6" s="1487"/>
      <c r="AR6" s="1487"/>
      <c r="AS6" s="1487"/>
      <c r="AT6" s="1487"/>
      <c r="AU6" s="1487"/>
      <c r="AV6" s="1473"/>
      <c r="AW6" s="1487"/>
      <c r="AX6" s="1487"/>
      <c r="AY6" s="1487"/>
      <c r="AZ6" s="1487"/>
      <c r="BA6" s="1487"/>
      <c r="BB6" s="1487"/>
      <c r="BC6" s="1487"/>
      <c r="BD6" s="1487"/>
      <c r="BE6" s="1487"/>
      <c r="BF6" s="1487"/>
      <c r="BG6" s="1487"/>
      <c r="BH6" s="1487"/>
      <c r="BI6" s="1487"/>
      <c r="BJ6" s="1487"/>
      <c r="BK6" s="1487"/>
      <c r="BL6" s="1487"/>
      <c r="BM6" s="1487"/>
    </row>
    <row r="7" spans="1:65" ht="10.5" customHeight="1">
      <c r="A7" s="1487"/>
      <c r="B7" s="1487"/>
      <c r="C7" s="1487"/>
      <c r="D7" s="1487"/>
      <c r="E7" s="1490" t="s">
        <v>741</v>
      </c>
      <c r="F7" s="1487"/>
      <c r="G7" s="1489" t="s">
        <v>742</v>
      </c>
      <c r="H7" s="1487"/>
      <c r="I7" s="1497" t="s">
        <v>743</v>
      </c>
      <c r="J7" s="1498"/>
      <c r="K7" s="1498"/>
      <c r="L7" s="1499"/>
      <c r="M7" s="1500"/>
      <c r="N7" s="1487"/>
      <c r="O7" s="1491" t="s">
        <v>744</v>
      </c>
      <c r="P7" s="1492"/>
      <c r="Q7" s="1493">
        <v>5</v>
      </c>
      <c r="R7" s="1487"/>
      <c r="S7" s="1501"/>
      <c r="T7" s="1502" t="s">
        <v>70</v>
      </c>
      <c r="U7" s="63"/>
      <c r="V7" s="1473" t="s">
        <v>71</v>
      </c>
      <c r="W7" s="63"/>
      <c r="X7" s="47"/>
      <c r="Y7" s="47" t="s">
        <v>208</v>
      </c>
      <c r="Z7" s="47"/>
      <c r="AA7" s="1499"/>
      <c r="AB7" s="1500"/>
      <c r="AC7" s="1487"/>
      <c r="AD7" s="1491" t="s">
        <v>744</v>
      </c>
      <c r="AE7" s="1492"/>
      <c r="AF7" s="1493">
        <v>5</v>
      </c>
      <c r="AG7" s="1487"/>
      <c r="AH7" s="1501"/>
      <c r="AI7" s="208" t="s">
        <v>233</v>
      </c>
      <c r="AJ7" s="63"/>
      <c r="AK7" s="1473" t="s">
        <v>71</v>
      </c>
      <c r="AL7" s="1487"/>
      <c r="AM7" s="1473" t="s">
        <v>497</v>
      </c>
      <c r="AN7" s="1496"/>
      <c r="AO7" s="1473" t="s">
        <v>610</v>
      </c>
      <c r="AP7" s="1473"/>
      <c r="AQ7" s="1473" t="s">
        <v>612</v>
      </c>
      <c r="AR7" s="1473"/>
      <c r="AS7" s="1473" t="s">
        <v>613</v>
      </c>
      <c r="AT7" s="1473"/>
      <c r="AU7" s="1473" t="s">
        <v>143</v>
      </c>
      <c r="AV7" s="1473"/>
      <c r="AW7" s="1473" t="s">
        <v>695</v>
      </c>
      <c r="AX7" s="1503" t="s">
        <v>552</v>
      </c>
      <c r="AY7" s="1487"/>
      <c r="AZ7" s="1487"/>
      <c r="BA7" s="1487"/>
      <c r="BB7" s="1487"/>
      <c r="BC7" s="1487"/>
      <c r="BD7" s="1487"/>
      <c r="BE7" s="1504"/>
      <c r="BF7" s="1504"/>
      <c r="BG7" s="1504" t="s">
        <v>547</v>
      </c>
      <c r="BH7" s="1504"/>
      <c r="BI7" s="1504" t="s">
        <v>549</v>
      </c>
      <c r="BJ7" s="1504"/>
      <c r="BK7" s="1504" t="s">
        <v>547</v>
      </c>
      <c r="BL7" s="1504"/>
      <c r="BM7" s="1504" t="s">
        <v>549</v>
      </c>
    </row>
    <row r="8" spans="1:65" ht="10.5" customHeight="1">
      <c r="A8" s="1487"/>
      <c r="B8" s="1487"/>
      <c r="C8" s="1489" t="s">
        <v>695</v>
      </c>
      <c r="D8" s="1505"/>
      <c r="E8" s="1489" t="s">
        <v>696</v>
      </c>
      <c r="F8" s="1505"/>
      <c r="G8" s="1501" t="s">
        <v>745</v>
      </c>
      <c r="H8" s="1505"/>
      <c r="I8" s="1506" t="s">
        <v>695</v>
      </c>
      <c r="J8" s="1505"/>
      <c r="K8" s="1506" t="s">
        <v>746</v>
      </c>
      <c r="L8" s="1505"/>
      <c r="M8" s="1489" t="s">
        <v>749</v>
      </c>
      <c r="N8" s="1505"/>
      <c r="O8" s="1507" t="s">
        <v>750</v>
      </c>
      <c r="P8" s="1498"/>
      <c r="Q8" s="1493">
        <v>5</v>
      </c>
      <c r="R8" s="1489" t="s">
        <v>695</v>
      </c>
      <c r="S8" s="1501"/>
      <c r="T8" s="1508" t="s">
        <v>46</v>
      </c>
      <c r="U8" s="1509"/>
      <c r="V8" s="1508" t="s">
        <v>72</v>
      </c>
      <c r="W8" s="1509"/>
      <c r="X8" s="47" t="s">
        <v>695</v>
      </c>
      <c r="Y8" s="208"/>
      <c r="Z8" s="47" t="s">
        <v>746</v>
      </c>
      <c r="AA8" s="1505"/>
      <c r="AB8" s="1489" t="s">
        <v>749</v>
      </c>
      <c r="AC8" s="1505"/>
      <c r="AD8" s="1507" t="s">
        <v>227</v>
      </c>
      <c r="AE8" s="1498"/>
      <c r="AF8" s="1493">
        <v>5</v>
      </c>
      <c r="AG8" s="1489" t="s">
        <v>695</v>
      </c>
      <c r="AH8" s="1501"/>
      <c r="AI8" s="47" t="s">
        <v>234</v>
      </c>
      <c r="AJ8" s="1509"/>
      <c r="AK8" s="1508" t="s">
        <v>72</v>
      </c>
      <c r="AL8" s="1487"/>
      <c r="AM8" s="1508" t="s">
        <v>498</v>
      </c>
      <c r="AN8" s="1510"/>
      <c r="AO8" s="1508" t="s">
        <v>611</v>
      </c>
      <c r="AP8" s="1473"/>
      <c r="AQ8" s="1508" t="s">
        <v>614</v>
      </c>
      <c r="AR8" s="1473"/>
      <c r="AS8" s="1508" t="s">
        <v>738</v>
      </c>
      <c r="AT8" s="1473"/>
      <c r="AU8" s="1508" t="s">
        <v>631</v>
      </c>
      <c r="AV8" s="1473"/>
      <c r="AW8" s="1508" t="s">
        <v>630</v>
      </c>
      <c r="AX8" s="1503" t="s">
        <v>551</v>
      </c>
      <c r="AY8" s="1487"/>
      <c r="AZ8" s="1487"/>
      <c r="BA8" s="1487"/>
      <c r="BB8" s="1487"/>
      <c r="BC8" s="1487"/>
      <c r="BD8" s="1487"/>
      <c r="BE8" s="1511" t="s">
        <v>33</v>
      </c>
      <c r="BF8" s="1504"/>
      <c r="BG8" s="1511" t="s">
        <v>548</v>
      </c>
      <c r="BH8" s="1504"/>
      <c r="BI8" s="1511" t="s">
        <v>72</v>
      </c>
      <c r="BJ8" s="1504"/>
      <c r="BK8" s="1511" t="s">
        <v>550</v>
      </c>
      <c r="BL8" s="1504"/>
      <c r="BM8" s="1511" t="s">
        <v>72</v>
      </c>
    </row>
    <row r="9" spans="1:65" ht="10.5" customHeight="1">
      <c r="A9" s="1512"/>
      <c r="B9" s="1512"/>
      <c r="C9" s="1513" t="s">
        <v>711</v>
      </c>
      <c r="D9" s="1514"/>
      <c r="E9" s="1513" t="s">
        <v>751</v>
      </c>
      <c r="F9" s="1514"/>
      <c r="G9" s="1513" t="s">
        <v>752</v>
      </c>
      <c r="H9" s="1514"/>
      <c r="I9" s="1515" t="s">
        <v>753</v>
      </c>
      <c r="J9" s="1512"/>
      <c r="K9" s="1516" t="s">
        <v>754</v>
      </c>
      <c r="L9" s="1512"/>
      <c r="M9" s="1516" t="s">
        <v>755</v>
      </c>
      <c r="N9" s="1512"/>
      <c r="O9" s="1517" t="s">
        <v>756</v>
      </c>
      <c r="P9" s="1518"/>
      <c r="Q9" s="1493">
        <v>5</v>
      </c>
      <c r="R9" s="1519" t="s">
        <v>81</v>
      </c>
      <c r="S9" s="1513"/>
      <c r="T9" s="1520" t="s">
        <v>757</v>
      </c>
      <c r="U9" s="1521"/>
      <c r="V9" s="1520" t="s">
        <v>82</v>
      </c>
      <c r="W9" s="1479"/>
      <c r="X9" s="1515" t="s">
        <v>224</v>
      </c>
      <c r="Y9" s="1512"/>
      <c r="Z9" s="1516" t="s">
        <v>225</v>
      </c>
      <c r="AA9" s="1512"/>
      <c r="AB9" s="1516" t="s">
        <v>226</v>
      </c>
      <c r="AC9" s="1512"/>
      <c r="AD9" s="1517" t="s">
        <v>229</v>
      </c>
      <c r="AE9" s="1518"/>
      <c r="AF9" s="1493">
        <v>5</v>
      </c>
      <c r="AG9" s="1519" t="s">
        <v>230</v>
      </c>
      <c r="AH9" s="1513"/>
      <c r="AI9" s="1520" t="s">
        <v>231</v>
      </c>
      <c r="AJ9" s="1521"/>
      <c r="AK9" s="1520" t="s">
        <v>232</v>
      </c>
      <c r="AL9" s="1487"/>
      <c r="AM9" s="951"/>
      <c r="AN9" s="1522"/>
      <c r="AO9" s="1487"/>
      <c r="AP9" s="1487"/>
      <c r="AQ9" s="1487"/>
      <c r="AR9" s="1487"/>
      <c r="AS9" s="1487"/>
      <c r="AT9" s="1487"/>
      <c r="AU9" s="1487"/>
      <c r="AV9" s="1473"/>
      <c r="AW9" s="1487"/>
      <c r="AX9" s="1470">
        <v>1220</v>
      </c>
      <c r="AY9" s="1487"/>
      <c r="AZ9" s="1487"/>
      <c r="BA9" s="1487"/>
      <c r="BB9" s="1487"/>
      <c r="BC9" s="1487"/>
      <c r="BD9" s="1487"/>
      <c r="BE9" s="1487"/>
      <c r="BF9" s="1487"/>
      <c r="BG9" s="1487"/>
      <c r="BH9" s="1487"/>
      <c r="BI9" s="1487"/>
      <c r="BJ9" s="1487"/>
      <c r="BK9" s="1487"/>
      <c r="BL9" s="1487"/>
      <c r="BM9" s="1487"/>
    </row>
    <row r="10" spans="1:65" ht="10.5" hidden="1" customHeight="1" outlineLevel="2">
      <c r="A10" s="1523" t="s">
        <v>716</v>
      </c>
      <c r="B10" s="1524"/>
      <c r="C10" s="1525"/>
      <c r="D10" s="1524"/>
      <c r="E10" s="1525"/>
      <c r="F10" s="1524"/>
      <c r="G10" s="1525"/>
      <c r="H10" s="1524"/>
      <c r="I10" s="1526"/>
      <c r="J10" s="1524"/>
      <c r="K10" s="1524"/>
      <c r="L10" s="1524"/>
      <c r="M10" s="1527"/>
      <c r="N10" s="1524"/>
      <c r="O10" s="1528"/>
      <c r="P10" s="1529"/>
      <c r="Q10" s="1529"/>
      <c r="R10" s="1524"/>
      <c r="S10" s="1529"/>
      <c r="T10" s="1530"/>
      <c r="U10" s="63"/>
      <c r="V10" s="63"/>
      <c r="W10" s="63"/>
      <c r="X10" s="1526"/>
      <c r="Y10" s="1524"/>
      <c r="Z10" s="1524"/>
      <c r="AA10" s="1524"/>
      <c r="AB10" s="1527"/>
      <c r="AC10" s="1524"/>
      <c r="AD10" s="1528"/>
      <c r="AE10" s="1529"/>
      <c r="AF10" s="1529"/>
      <c r="AG10" s="1524"/>
      <c r="AH10" s="1529"/>
      <c r="AI10" s="1530"/>
      <c r="AJ10" s="63"/>
      <c r="AK10" s="63"/>
      <c r="AL10" s="1470"/>
      <c r="AM10" s="1470"/>
      <c r="AN10" s="1472"/>
      <c r="AO10" s="1470"/>
      <c r="AP10" s="1470"/>
      <c r="AQ10" s="1470"/>
      <c r="AR10" s="1470"/>
      <c r="AS10" s="1470"/>
      <c r="AT10" s="1470"/>
      <c r="AU10" s="1470"/>
      <c r="AV10" s="1473"/>
      <c r="AW10" s="1470"/>
      <c r="AX10" s="1470"/>
      <c r="AY10" s="1470"/>
      <c r="AZ10" s="1470"/>
      <c r="BA10" s="1470"/>
      <c r="BB10" s="1470"/>
      <c r="BC10" s="1470"/>
      <c r="BD10" s="1470"/>
      <c r="BE10" s="1470"/>
      <c r="BF10" s="1470"/>
      <c r="BG10" s="1470"/>
      <c r="BH10" s="1470"/>
      <c r="BI10" s="1470"/>
      <c r="BJ10" s="1470"/>
      <c r="BK10" s="1470"/>
      <c r="BL10" s="1470"/>
      <c r="BM10" s="1470"/>
    </row>
    <row r="11" spans="1:65" ht="10.5" hidden="1" customHeight="1" outlineLevel="2">
      <c r="A11" s="1531" t="s">
        <v>758</v>
      </c>
      <c r="B11" s="1470"/>
      <c r="C11" s="1532">
        <v>18.2</v>
      </c>
      <c r="D11" s="1531" t="s">
        <v>697</v>
      </c>
      <c r="E11" s="1532">
        <v>10</v>
      </c>
      <c r="F11" s="1531" t="s">
        <v>697</v>
      </c>
      <c r="G11" s="1532">
        <f>C11-E11</f>
        <v>8.1999999999999993</v>
      </c>
      <c r="H11" s="1531" t="s">
        <v>697</v>
      </c>
      <c r="I11" s="1533">
        <v>143</v>
      </c>
      <c r="J11" s="1470"/>
      <c r="K11" s="1533">
        <v>142</v>
      </c>
      <c r="L11" s="1470"/>
      <c r="M11" s="1534">
        <v>8</v>
      </c>
      <c r="N11" s="1531" t="s">
        <v>697</v>
      </c>
      <c r="O11" s="1535">
        <f>(G11/M11)*100</f>
        <v>102.49999999999999</v>
      </c>
      <c r="P11" s="1536" t="s">
        <v>697</v>
      </c>
      <c r="Q11" s="1536"/>
      <c r="R11" s="1537">
        <v>153.9</v>
      </c>
      <c r="S11" s="1538"/>
      <c r="T11" s="1539">
        <f>R11/K11</f>
        <v>1.0838028169014085</v>
      </c>
      <c r="U11" s="1479"/>
      <c r="V11" s="1479"/>
      <c r="W11" s="1479"/>
      <c r="X11" s="1533">
        <v>143</v>
      </c>
      <c r="Y11" s="1470"/>
      <c r="Z11" s="1540"/>
      <c r="AA11" s="1472"/>
      <c r="AB11" s="1541"/>
      <c r="AC11" s="1536"/>
      <c r="AD11" s="1535"/>
      <c r="AE11" s="1536"/>
      <c r="AF11" s="1536"/>
      <c r="AG11" s="1538"/>
      <c r="AH11" s="1538"/>
      <c r="AI11" s="1542"/>
      <c r="AJ11" s="1543"/>
      <c r="AK11" s="1543"/>
      <c r="AL11" s="1470"/>
      <c r="AM11" s="1470"/>
      <c r="AN11" s="1472"/>
      <c r="AO11" s="1470"/>
      <c r="AP11" s="1470"/>
      <c r="AQ11" s="1470"/>
      <c r="AR11" s="1470"/>
      <c r="AS11" s="1470"/>
      <c r="AT11" s="1470"/>
      <c r="AU11" s="1470"/>
      <c r="AV11" s="1473"/>
      <c r="AW11" s="1470"/>
      <c r="AX11" s="1206">
        <f>+I11/$AX$9</f>
        <v>0.11721311475409836</v>
      </c>
      <c r="AY11" s="1470"/>
      <c r="AZ11" s="1470"/>
      <c r="BA11" s="1470"/>
      <c r="BB11" s="1470"/>
      <c r="BC11" s="1470"/>
      <c r="BD11" s="1470"/>
      <c r="BE11" s="1470"/>
      <c r="BF11" s="1470"/>
      <c r="BG11" s="1470"/>
      <c r="BH11" s="1470"/>
      <c r="BI11" s="1470"/>
      <c r="BJ11" s="1470"/>
      <c r="BK11" s="1470"/>
      <c r="BL11" s="1470"/>
      <c r="BM11" s="1470"/>
    </row>
    <row r="12" spans="1:65" ht="10.5" hidden="1" customHeight="1" outlineLevel="2">
      <c r="A12" s="1531" t="s">
        <v>759</v>
      </c>
      <c r="B12" s="1470"/>
      <c r="C12" s="1532">
        <v>19.899999999999999</v>
      </c>
      <c r="D12" s="1470"/>
      <c r="E12" s="1532">
        <v>12</v>
      </c>
      <c r="F12" s="1470"/>
      <c r="G12" s="1532">
        <f>C12-E12</f>
        <v>7.8999999999999986</v>
      </c>
      <c r="H12" s="1470"/>
      <c r="I12" s="1533">
        <v>146</v>
      </c>
      <c r="J12" s="1470"/>
      <c r="K12" s="1533">
        <v>145</v>
      </c>
      <c r="L12" s="1470"/>
      <c r="M12" s="1534">
        <v>8</v>
      </c>
      <c r="N12" s="1470"/>
      <c r="O12" s="1535">
        <f>(G12/M12)*100</f>
        <v>98.749999999999986</v>
      </c>
      <c r="P12" s="1472"/>
      <c r="Q12" s="1472"/>
      <c r="R12" s="1533">
        <v>173.9</v>
      </c>
      <c r="S12" s="1540"/>
      <c r="T12" s="1539">
        <f t="shared" ref="T12:T28" si="0">R12/K12</f>
        <v>1.1993103448275861</v>
      </c>
      <c r="U12" s="1479"/>
      <c r="V12" s="1479"/>
      <c r="W12" s="1479"/>
      <c r="X12" s="1533">
        <v>146</v>
      </c>
      <c r="Y12" s="1470"/>
      <c r="Z12" s="1540"/>
      <c r="AA12" s="1472"/>
      <c r="AB12" s="1541"/>
      <c r="AC12" s="1472"/>
      <c r="AD12" s="1535"/>
      <c r="AE12" s="1472"/>
      <c r="AF12" s="1472"/>
      <c r="AG12" s="1540"/>
      <c r="AH12" s="1540"/>
      <c r="AI12" s="1399"/>
      <c r="AJ12" s="1543"/>
      <c r="AK12" s="1543"/>
      <c r="AL12" s="1470"/>
      <c r="AM12" s="1470"/>
      <c r="AN12" s="1472"/>
      <c r="AO12" s="1470"/>
      <c r="AP12" s="1470"/>
      <c r="AQ12" s="1470"/>
      <c r="AR12" s="1470"/>
      <c r="AS12" s="1470"/>
      <c r="AT12" s="1470"/>
      <c r="AU12" s="1470"/>
      <c r="AV12" s="1473"/>
      <c r="AW12" s="1470"/>
      <c r="AX12" s="1206">
        <f>+I12/$AX$9</f>
        <v>0.11967213114754098</v>
      </c>
      <c r="AY12" s="1470"/>
      <c r="AZ12" s="1470"/>
      <c r="BA12" s="1470"/>
      <c r="BB12" s="1470"/>
      <c r="BC12" s="1470"/>
      <c r="BD12" s="1470"/>
      <c r="BE12" s="1470"/>
      <c r="BF12" s="1470"/>
      <c r="BG12" s="1470"/>
      <c r="BH12" s="1470"/>
      <c r="BI12" s="1470"/>
      <c r="BJ12" s="1470"/>
      <c r="BK12" s="1470"/>
      <c r="BL12" s="1470"/>
      <c r="BM12" s="1470"/>
    </row>
    <row r="13" spans="1:65" ht="10.5" hidden="1" customHeight="1" outlineLevel="2">
      <c r="A13" s="1531" t="s">
        <v>760</v>
      </c>
      <c r="B13" s="1470"/>
      <c r="C13" s="1532">
        <v>16.899999999999999</v>
      </c>
      <c r="D13" s="1470"/>
      <c r="E13" s="1532">
        <v>10</v>
      </c>
      <c r="F13" s="1470"/>
      <c r="G13" s="1532">
        <f>C13-E13</f>
        <v>6.8999999999999986</v>
      </c>
      <c r="H13" s="1470"/>
      <c r="I13" s="1533">
        <v>147</v>
      </c>
      <c r="J13" s="1470"/>
      <c r="K13" s="1534">
        <f>(I12+I13)/2</f>
        <v>146.5</v>
      </c>
      <c r="L13" s="1470"/>
      <c r="M13" s="1534">
        <v>7</v>
      </c>
      <c r="N13" s="1470"/>
      <c r="O13" s="1535">
        <f>(G13/M13)*100</f>
        <v>98.571428571428555</v>
      </c>
      <c r="P13" s="1472"/>
      <c r="Q13" s="1472"/>
      <c r="R13" s="1533">
        <v>175.3</v>
      </c>
      <c r="S13" s="1540"/>
      <c r="T13" s="1539">
        <f t="shared" si="0"/>
        <v>1.1965870307167237</v>
      </c>
      <c r="U13" s="1479"/>
      <c r="V13" s="1479"/>
      <c r="W13" s="1479"/>
      <c r="X13" s="1533">
        <v>147</v>
      </c>
      <c r="Y13" s="1470"/>
      <c r="Z13" s="1541"/>
      <c r="AA13" s="1472"/>
      <c r="AB13" s="1541"/>
      <c r="AC13" s="1472"/>
      <c r="AD13" s="1535"/>
      <c r="AE13" s="1472"/>
      <c r="AF13" s="1472"/>
      <c r="AG13" s="1540"/>
      <c r="AH13" s="1540"/>
      <c r="AI13" s="1399"/>
      <c r="AJ13" s="1543"/>
      <c r="AK13" s="1543"/>
      <c r="AL13" s="1470"/>
      <c r="AM13" s="1470"/>
      <c r="AN13" s="1472"/>
      <c r="AO13" s="1470"/>
      <c r="AP13" s="1470"/>
      <c r="AQ13" s="1470"/>
      <c r="AR13" s="1470"/>
      <c r="AS13" s="1470"/>
      <c r="AT13" s="1470"/>
      <c r="AU13" s="1470"/>
      <c r="AV13" s="1473"/>
      <c r="AW13" s="1470"/>
      <c r="AX13" s="1206">
        <f>+I13/$AX$9</f>
        <v>0.12049180327868853</v>
      </c>
      <c r="AY13" s="1470"/>
      <c r="AZ13" s="1470"/>
      <c r="BA13" s="1470"/>
      <c r="BB13" s="1470"/>
      <c r="BC13" s="1470"/>
      <c r="BD13" s="1470"/>
      <c r="BE13" s="1470"/>
      <c r="BF13" s="1470"/>
      <c r="BG13" s="1470"/>
      <c r="BH13" s="1470"/>
      <c r="BI13" s="1470"/>
      <c r="BJ13" s="1470"/>
      <c r="BK13" s="1470"/>
      <c r="BL13" s="1470"/>
      <c r="BM13" s="1470"/>
    </row>
    <row r="14" spans="1:65" ht="10.5" hidden="1" customHeight="1" outlineLevel="2">
      <c r="A14" s="1531" t="s">
        <v>761</v>
      </c>
      <c r="B14" s="1470"/>
      <c r="C14" s="1544">
        <v>14.5</v>
      </c>
      <c r="D14" s="1470"/>
      <c r="E14" s="1544">
        <v>0</v>
      </c>
      <c r="F14" s="1470"/>
      <c r="G14" s="1544">
        <f>C14-E14</f>
        <v>14.5</v>
      </c>
      <c r="H14" s="1470"/>
      <c r="I14" s="1533">
        <v>156</v>
      </c>
      <c r="J14" s="1470"/>
      <c r="K14" s="1545">
        <f>(I13+I14)/2</f>
        <v>151.5</v>
      </c>
      <c r="L14" s="1470"/>
      <c r="M14" s="1545">
        <v>9</v>
      </c>
      <c r="N14" s="1470"/>
      <c r="O14" s="1535">
        <f>(G14/M14)*100</f>
        <v>161.11111111111111</v>
      </c>
      <c r="P14" s="1472"/>
      <c r="Q14" s="1472"/>
      <c r="R14" s="1546">
        <v>230.4</v>
      </c>
      <c r="S14" s="1540"/>
      <c r="T14" s="1547">
        <f t="shared" si="0"/>
        <v>1.5207920792079208</v>
      </c>
      <c r="U14" s="1479"/>
      <c r="V14" s="1479"/>
      <c r="W14" s="1479"/>
      <c r="X14" s="1533">
        <v>156</v>
      </c>
      <c r="Y14" s="1470"/>
      <c r="Z14" s="1541"/>
      <c r="AA14" s="1472"/>
      <c r="AB14" s="1541"/>
      <c r="AC14" s="1472"/>
      <c r="AD14" s="1535"/>
      <c r="AE14" s="1472"/>
      <c r="AF14" s="1472"/>
      <c r="AG14" s="1540"/>
      <c r="AH14" s="1540"/>
      <c r="AI14" s="1399"/>
      <c r="AJ14" s="1543"/>
      <c r="AK14" s="1543"/>
      <c r="AL14" s="1470"/>
      <c r="AM14" s="1470"/>
      <c r="AN14" s="1472"/>
      <c r="AO14" s="1470"/>
      <c r="AP14" s="1470"/>
      <c r="AQ14" s="1470"/>
      <c r="AR14" s="1470"/>
      <c r="AS14" s="1470"/>
      <c r="AT14" s="1470"/>
      <c r="AU14" s="1470"/>
      <c r="AV14" s="1473"/>
      <c r="AW14" s="1470"/>
      <c r="AX14" s="1206">
        <f>+I14/$AX$9</f>
        <v>0.12786885245901639</v>
      </c>
      <c r="AY14" s="1470"/>
      <c r="AZ14" s="1470"/>
      <c r="BA14" s="1470"/>
      <c r="BB14" s="1470"/>
      <c r="BC14" s="1470"/>
      <c r="BD14" s="1470"/>
      <c r="BE14" s="1470"/>
      <c r="BF14" s="1470"/>
      <c r="BG14" s="1470"/>
      <c r="BH14" s="1470"/>
      <c r="BI14" s="1470"/>
      <c r="BJ14" s="1470"/>
      <c r="BK14" s="1470"/>
      <c r="BL14" s="1470"/>
      <c r="BM14" s="1470"/>
    </row>
    <row r="15" spans="1:65" ht="10.5" hidden="1" customHeight="1" outlineLevel="2">
      <c r="A15" s="1531" t="s">
        <v>762</v>
      </c>
      <c r="B15" s="1470"/>
      <c r="C15" s="1532">
        <v>17.100000000000001</v>
      </c>
      <c r="D15" s="1470"/>
      <c r="E15" s="1532">
        <v>7</v>
      </c>
      <c r="F15" s="1470"/>
      <c r="G15" s="1532">
        <f>C15-E15</f>
        <v>10.100000000000001</v>
      </c>
      <c r="H15" s="1470"/>
      <c r="I15" s="1470"/>
      <c r="J15" s="1470"/>
      <c r="K15" s="1534">
        <f>AVERAGEA(K11:K14)</f>
        <v>146.25</v>
      </c>
      <c r="L15" s="1470"/>
      <c r="M15" s="1534">
        <v>7</v>
      </c>
      <c r="N15" s="1470"/>
      <c r="O15" s="1535">
        <f>(G15/M15)*100</f>
        <v>144.28571428571431</v>
      </c>
      <c r="P15" s="1472"/>
      <c r="Q15" s="1472"/>
      <c r="R15" s="1537">
        <f>SUM(R11:R14)</f>
        <v>733.5</v>
      </c>
      <c r="S15" s="1538"/>
      <c r="T15" s="1539">
        <f t="shared" si="0"/>
        <v>5.0153846153846153</v>
      </c>
      <c r="U15" s="1479"/>
      <c r="V15" s="1479"/>
      <c r="W15" s="1479"/>
      <c r="X15" s="1470"/>
      <c r="Y15" s="1470"/>
      <c r="Z15" s="1541"/>
      <c r="AA15" s="1472"/>
      <c r="AB15" s="1541"/>
      <c r="AC15" s="1472"/>
      <c r="AD15" s="1535"/>
      <c r="AE15" s="1472"/>
      <c r="AF15" s="1472"/>
      <c r="AG15" s="1538"/>
      <c r="AH15" s="1538"/>
      <c r="AI15" s="1542"/>
      <c r="AJ15" s="1543"/>
      <c r="AK15" s="1543"/>
      <c r="AL15" s="1470"/>
      <c r="AM15" s="1470"/>
      <c r="AN15" s="1472"/>
      <c r="AO15" s="1470"/>
      <c r="AP15" s="1470"/>
      <c r="AQ15" s="1470"/>
      <c r="AR15" s="1470"/>
      <c r="AS15" s="1470"/>
      <c r="AT15" s="1470"/>
      <c r="AU15" s="1470"/>
      <c r="AV15" s="1473"/>
      <c r="AW15" s="1470"/>
      <c r="AX15" s="1206"/>
      <c r="AY15" s="1470"/>
      <c r="AZ15" s="1470"/>
      <c r="BA15" s="1470"/>
      <c r="BB15" s="1470"/>
      <c r="BC15" s="1470"/>
      <c r="BD15" s="1470"/>
      <c r="BE15" s="1470"/>
      <c r="BF15" s="1470"/>
      <c r="BG15" s="1470"/>
      <c r="BH15" s="1470"/>
      <c r="BI15" s="1470"/>
      <c r="BJ15" s="1470"/>
      <c r="BK15" s="1470"/>
      <c r="BL15" s="1470"/>
      <c r="BM15" s="1470"/>
    </row>
    <row r="16" spans="1:65" ht="11.25" hidden="1" customHeight="1" outlineLevel="2">
      <c r="A16" s="1487"/>
      <c r="B16" s="1548"/>
      <c r="C16" s="1549"/>
      <c r="D16" s="1548"/>
      <c r="E16" s="1549"/>
      <c r="F16" s="1548"/>
      <c r="G16" s="1549"/>
      <c r="H16" s="1548"/>
      <c r="I16" s="1526" t="s">
        <v>717</v>
      </c>
      <c r="J16" s="1548"/>
      <c r="K16" s="1550"/>
      <c r="L16" s="1548"/>
      <c r="M16" s="1550"/>
      <c r="N16" s="1548"/>
      <c r="O16" s="1551"/>
      <c r="P16" s="1499"/>
      <c r="Q16" s="1499"/>
      <c r="R16" s="1548"/>
      <c r="S16" s="1499"/>
      <c r="T16" s="1539"/>
      <c r="U16" s="1479"/>
      <c r="V16" s="1479"/>
      <c r="W16" s="1479"/>
      <c r="X16" s="1526" t="s">
        <v>717</v>
      </c>
      <c r="Y16" s="1548"/>
      <c r="Z16" s="1552"/>
      <c r="AA16" s="1499"/>
      <c r="AB16" s="1552"/>
      <c r="AC16" s="1499"/>
      <c r="AD16" s="1551"/>
      <c r="AE16" s="1499"/>
      <c r="AF16" s="1499"/>
      <c r="AG16" s="1499"/>
      <c r="AH16" s="1499"/>
      <c r="AI16" s="1553"/>
      <c r="AJ16" s="1543"/>
      <c r="AK16" s="1543"/>
      <c r="AL16" s="1487"/>
      <c r="AM16" s="1487"/>
      <c r="AN16" s="1496"/>
      <c r="AO16" s="1487"/>
      <c r="AP16" s="1487"/>
      <c r="AQ16" s="1487"/>
      <c r="AR16" s="1487"/>
      <c r="AS16" s="1487"/>
      <c r="AT16" s="1487"/>
      <c r="AU16" s="1487"/>
      <c r="AV16" s="1473"/>
      <c r="AW16" s="1487"/>
      <c r="AX16" s="1554"/>
      <c r="AY16" s="1487"/>
      <c r="AZ16" s="1487"/>
      <c r="BA16" s="1487"/>
      <c r="BB16" s="1487"/>
      <c r="BC16" s="1487"/>
      <c r="BD16" s="1487"/>
      <c r="BE16" s="1487"/>
      <c r="BF16" s="1487"/>
      <c r="BG16" s="1487"/>
      <c r="BH16" s="1487"/>
      <c r="BI16" s="1487"/>
      <c r="BJ16" s="1487"/>
      <c r="BK16" s="1487"/>
      <c r="BL16" s="1487"/>
      <c r="BM16" s="1487"/>
    </row>
    <row r="17" spans="1:65" ht="10.5" hidden="1" customHeight="1" outlineLevel="2">
      <c r="A17" s="1531" t="s">
        <v>758</v>
      </c>
      <c r="B17" s="1470"/>
      <c r="C17" s="1532">
        <v>10.199999999999999</v>
      </c>
      <c r="D17" s="1531" t="s">
        <v>697</v>
      </c>
      <c r="E17" s="1532">
        <v>-5</v>
      </c>
      <c r="F17" s="1531" t="s">
        <v>697</v>
      </c>
      <c r="G17" s="1532">
        <f>(C17-E17)</f>
        <v>15.2</v>
      </c>
      <c r="H17" s="1531" t="s">
        <v>697</v>
      </c>
      <c r="I17" s="1533">
        <v>161</v>
      </c>
      <c r="J17" s="1470"/>
      <c r="K17" s="1534">
        <f>(I14+I17)/2</f>
        <v>158.5</v>
      </c>
      <c r="L17" s="1470"/>
      <c r="M17" s="1534">
        <f>(K17/K11-1)*100</f>
        <v>11.619718309859151</v>
      </c>
      <c r="N17" s="1531" t="s">
        <v>697</v>
      </c>
      <c r="O17" s="1535">
        <f>(G17/M17)*100</f>
        <v>130.81212121212124</v>
      </c>
      <c r="P17" s="1536" t="s">
        <v>697</v>
      </c>
      <c r="Q17" s="1536"/>
      <c r="R17" s="1537">
        <v>169.7</v>
      </c>
      <c r="S17" s="1538"/>
      <c r="T17" s="1539">
        <f t="shared" si="0"/>
        <v>1.0706624605678232</v>
      </c>
      <c r="U17" s="1530"/>
      <c r="V17" s="1555">
        <f>T17/T11-1</f>
        <v>-1.212430538901299E-2</v>
      </c>
      <c r="W17" s="63"/>
      <c r="X17" s="1533">
        <v>161</v>
      </c>
      <c r="Y17" s="1470"/>
      <c r="Z17" s="1541"/>
      <c r="AA17" s="1472"/>
      <c r="AB17" s="1541"/>
      <c r="AC17" s="1536"/>
      <c r="AD17" s="1535"/>
      <c r="AE17" s="1536"/>
      <c r="AF17" s="1536"/>
      <c r="AG17" s="1538"/>
      <c r="AH17" s="1538"/>
      <c r="AI17" s="1556"/>
      <c r="AJ17" s="1556"/>
      <c r="AK17" s="849"/>
      <c r="AL17" s="1470"/>
      <c r="AM17" s="1470"/>
      <c r="AN17" s="1472"/>
      <c r="AO17" s="1470"/>
      <c r="AP17" s="1470"/>
      <c r="AQ17" s="1470"/>
      <c r="AR17" s="1470"/>
      <c r="AS17" s="1470"/>
      <c r="AT17" s="1470"/>
      <c r="AU17" s="1470"/>
      <c r="AV17" s="1473"/>
      <c r="AW17" s="1470"/>
      <c r="AX17" s="1206">
        <f>+I17/$AX$9</f>
        <v>0.13196721311475409</v>
      </c>
      <c r="AY17" s="1470"/>
      <c r="AZ17" s="1470"/>
      <c r="BA17" s="1470"/>
      <c r="BB17" s="1470"/>
      <c r="BC17" s="1470"/>
      <c r="BD17" s="1470"/>
      <c r="BE17" s="1470"/>
      <c r="BF17" s="1470"/>
      <c r="BG17" s="1470"/>
      <c r="BH17" s="1470"/>
      <c r="BI17" s="1470"/>
      <c r="BJ17" s="1470"/>
      <c r="BK17" s="1470"/>
      <c r="BL17" s="1470"/>
      <c r="BM17" s="1470"/>
    </row>
    <row r="18" spans="1:65" ht="10.5" hidden="1" customHeight="1" outlineLevel="2">
      <c r="A18" s="1531" t="s">
        <v>759</v>
      </c>
      <c r="B18" s="1470"/>
      <c r="C18" s="1532">
        <v>10.3</v>
      </c>
      <c r="D18" s="1470"/>
      <c r="E18" s="1532">
        <v>0</v>
      </c>
      <c r="F18" s="1470"/>
      <c r="G18" s="1532">
        <f>(C18-E18)</f>
        <v>10.3</v>
      </c>
      <c r="H18" s="1470"/>
      <c r="I18" s="1533">
        <v>169</v>
      </c>
      <c r="J18" s="1470"/>
      <c r="K18" s="1534">
        <f>(I18+I17)/2</f>
        <v>165</v>
      </c>
      <c r="L18" s="1470"/>
      <c r="M18" s="1534">
        <f>(K18/K12-1)*100</f>
        <v>13.793103448275868</v>
      </c>
      <c r="N18" s="1470"/>
      <c r="O18" s="1535">
        <f>(G18/M18)*100</f>
        <v>74.674999999999969</v>
      </c>
      <c r="P18" s="1472"/>
      <c r="Q18" s="1472"/>
      <c r="R18" s="1532">
        <v>191.9</v>
      </c>
      <c r="S18" s="1557"/>
      <c r="T18" s="1539">
        <f t="shared" si="0"/>
        <v>1.1630303030303031</v>
      </c>
      <c r="U18" s="1479"/>
      <c r="V18" s="1555">
        <f>T18/T12-1</f>
        <v>-3.0250753655008844E-2</v>
      </c>
      <c r="W18" s="1479"/>
      <c r="X18" s="1533">
        <v>169</v>
      </c>
      <c r="Y18" s="1470"/>
      <c r="Z18" s="1541"/>
      <c r="AA18" s="1472"/>
      <c r="AB18" s="1541"/>
      <c r="AC18" s="1472"/>
      <c r="AD18" s="1535"/>
      <c r="AE18" s="1472"/>
      <c r="AF18" s="1472"/>
      <c r="AG18" s="1557"/>
      <c r="AH18" s="1557"/>
      <c r="AI18" s="1542"/>
      <c r="AJ18" s="1543"/>
      <c r="AK18" s="1558"/>
      <c r="AL18" s="1470"/>
      <c r="AM18" s="1470"/>
      <c r="AN18" s="1472"/>
      <c r="AO18" s="1470"/>
      <c r="AP18" s="1470"/>
      <c r="AQ18" s="1470"/>
      <c r="AR18" s="1470"/>
      <c r="AS18" s="1470"/>
      <c r="AT18" s="1470"/>
      <c r="AU18" s="1470"/>
      <c r="AV18" s="1473"/>
      <c r="AW18" s="1470"/>
      <c r="AX18" s="1206">
        <f>+I18/$AX$9</f>
        <v>0.13852459016393442</v>
      </c>
      <c r="AY18" s="1470"/>
      <c r="AZ18" s="1470"/>
      <c r="BA18" s="1470"/>
      <c r="BB18" s="1470"/>
      <c r="BC18" s="1470"/>
      <c r="BD18" s="1470"/>
      <c r="BE18" s="1470"/>
      <c r="BF18" s="1470"/>
      <c r="BG18" s="1470"/>
      <c r="BH18" s="1470"/>
      <c r="BI18" s="1470"/>
      <c r="BJ18" s="1470"/>
      <c r="BK18" s="1470"/>
      <c r="BL18" s="1470"/>
      <c r="BM18" s="1470"/>
    </row>
    <row r="19" spans="1:65" ht="10.5" hidden="1" customHeight="1" outlineLevel="2">
      <c r="A19" s="1531" t="s">
        <v>760</v>
      </c>
      <c r="B19" s="1470"/>
      <c r="C19" s="1532">
        <v>5.6</v>
      </c>
      <c r="D19" s="1470"/>
      <c r="E19" s="1532">
        <v>-7</v>
      </c>
      <c r="F19" s="1470"/>
      <c r="G19" s="1532">
        <f>(C19-E19)</f>
        <v>12.6</v>
      </c>
      <c r="H19" s="1470"/>
      <c r="I19" s="1533">
        <v>175</v>
      </c>
      <c r="J19" s="1470"/>
      <c r="K19" s="1534">
        <f>(I19+I18)/2</f>
        <v>172</v>
      </c>
      <c r="L19" s="1470"/>
      <c r="M19" s="1534">
        <f>(K19/K13-1)*100</f>
        <v>17.406143344709889</v>
      </c>
      <c r="N19" s="1470"/>
      <c r="O19" s="1535">
        <f>(G19/M19)*100</f>
        <v>72.388235294117678</v>
      </c>
      <c r="P19" s="1472"/>
      <c r="Q19" s="1472"/>
      <c r="R19" s="1532">
        <v>185.1</v>
      </c>
      <c r="S19" s="1557"/>
      <c r="T19" s="1539">
        <f t="shared" si="0"/>
        <v>1.0761627906976743</v>
      </c>
      <c r="U19" s="1479"/>
      <c r="V19" s="1555">
        <f>T19/T13-1</f>
        <v>-0.10063976704387179</v>
      </c>
      <c r="W19" s="1479"/>
      <c r="X19" s="1533">
        <v>175</v>
      </c>
      <c r="Y19" s="1470"/>
      <c r="Z19" s="1541"/>
      <c r="AA19" s="1472"/>
      <c r="AB19" s="1541"/>
      <c r="AC19" s="1472"/>
      <c r="AD19" s="1535"/>
      <c r="AE19" s="1472"/>
      <c r="AF19" s="1472"/>
      <c r="AG19" s="1557"/>
      <c r="AH19" s="1557"/>
      <c r="AI19" s="1399"/>
      <c r="AJ19" s="1543"/>
      <c r="AK19" s="1558"/>
      <c r="AL19" s="1470"/>
      <c r="AM19" s="1470"/>
      <c r="AN19" s="1472"/>
      <c r="AO19" s="1470"/>
      <c r="AP19" s="1470"/>
      <c r="AQ19" s="1470"/>
      <c r="AR19" s="1470"/>
      <c r="AS19" s="1470"/>
      <c r="AT19" s="1470"/>
      <c r="AU19" s="1470"/>
      <c r="AV19" s="1473"/>
      <c r="AW19" s="1470"/>
      <c r="AX19" s="1206">
        <f>+I19/$AX$9</f>
        <v>0.14344262295081966</v>
      </c>
      <c r="AY19" s="1470"/>
      <c r="AZ19" s="1470"/>
      <c r="BA19" s="1470"/>
      <c r="BB19" s="1470"/>
      <c r="BC19" s="1470"/>
      <c r="BD19" s="1470"/>
      <c r="BE19" s="1470"/>
      <c r="BF19" s="1470"/>
      <c r="BG19" s="1470"/>
      <c r="BH19" s="1470"/>
      <c r="BI19" s="1470"/>
      <c r="BJ19" s="1470"/>
      <c r="BK19" s="1470"/>
      <c r="BL19" s="1470"/>
      <c r="BM19" s="1470"/>
    </row>
    <row r="20" spans="1:65" ht="10.5" hidden="1" customHeight="1" outlineLevel="2">
      <c r="A20" s="1531" t="s">
        <v>761</v>
      </c>
      <c r="B20" s="1470"/>
      <c r="C20" s="1544">
        <v>9.1999999999999993</v>
      </c>
      <c r="D20" s="1470"/>
      <c r="E20" s="1544">
        <v>-1</v>
      </c>
      <c r="F20" s="1470"/>
      <c r="G20" s="1544">
        <f>(C20-E20)</f>
        <v>10.199999999999999</v>
      </c>
      <c r="H20" s="1470"/>
      <c r="I20" s="1533">
        <v>185</v>
      </c>
      <c r="J20" s="1470"/>
      <c r="K20" s="1545">
        <f>(I20+I19)/2</f>
        <v>180</v>
      </c>
      <c r="L20" s="1470"/>
      <c r="M20" s="1545">
        <f>(K20/K14-1)*100</f>
        <v>18.811881188118807</v>
      </c>
      <c r="N20" s="1470"/>
      <c r="O20" s="1535">
        <f>(G20/M20)*100</f>
        <v>54.221052631578956</v>
      </c>
      <c r="P20" s="1472"/>
      <c r="Q20" s="1472"/>
      <c r="R20" s="1544">
        <v>251.7</v>
      </c>
      <c r="S20" s="1557"/>
      <c r="T20" s="1547">
        <f t="shared" si="0"/>
        <v>1.3983333333333332</v>
      </c>
      <c r="U20" s="1479"/>
      <c r="V20" s="1559">
        <f>T20/T14-1</f>
        <v>-8.0523003472222299E-2</v>
      </c>
      <c r="W20" s="1479"/>
      <c r="X20" s="1533">
        <v>185</v>
      </c>
      <c r="Y20" s="1470"/>
      <c r="Z20" s="1541"/>
      <c r="AA20" s="1472"/>
      <c r="AB20" s="1541"/>
      <c r="AC20" s="1472"/>
      <c r="AD20" s="1535"/>
      <c r="AE20" s="1472"/>
      <c r="AF20" s="1472"/>
      <c r="AG20" s="1557"/>
      <c r="AH20" s="1557"/>
      <c r="AI20" s="1399"/>
      <c r="AJ20" s="1543"/>
      <c r="AK20" s="1558"/>
      <c r="AL20" s="1470"/>
      <c r="AM20" s="1470"/>
      <c r="AN20" s="1472"/>
      <c r="AO20" s="1470"/>
      <c r="AP20" s="1470"/>
      <c r="AQ20" s="1470"/>
      <c r="AR20" s="1470"/>
      <c r="AS20" s="1470"/>
      <c r="AT20" s="1470"/>
      <c r="AU20" s="1470"/>
      <c r="AV20" s="1473"/>
      <c r="AW20" s="1470"/>
      <c r="AX20" s="1206">
        <f>+I20/$AX$9</f>
        <v>0.15163934426229508</v>
      </c>
      <c r="AY20" s="1470"/>
      <c r="AZ20" s="1470"/>
      <c r="BA20" s="1470"/>
      <c r="BB20" s="1470"/>
      <c r="BC20" s="1470"/>
      <c r="BD20" s="1470"/>
      <c r="BE20" s="1470"/>
      <c r="BF20" s="1470"/>
      <c r="BG20" s="1470"/>
      <c r="BH20" s="1470"/>
      <c r="BI20" s="1470"/>
      <c r="BJ20" s="1470"/>
      <c r="BK20" s="1470"/>
      <c r="BL20" s="1470"/>
      <c r="BM20" s="1470"/>
    </row>
    <row r="21" spans="1:65" ht="10.5" hidden="1" customHeight="1" outlineLevel="2">
      <c r="A21" s="1531" t="s">
        <v>762</v>
      </c>
      <c r="B21" s="1470"/>
      <c r="C21" s="1532">
        <v>8.8000000000000007</v>
      </c>
      <c r="D21" s="1470"/>
      <c r="E21" s="1532">
        <v>-3</v>
      </c>
      <c r="F21" s="1470"/>
      <c r="G21" s="1532">
        <f>(C21-E21)</f>
        <v>11.8</v>
      </c>
      <c r="H21" s="1470"/>
      <c r="I21" s="1470"/>
      <c r="J21" s="1470"/>
      <c r="K21" s="1534">
        <f>AVERAGEA(K17:K20)</f>
        <v>168.875</v>
      </c>
      <c r="L21" s="1470"/>
      <c r="M21" s="1534">
        <f>(K21/K15-1)*100</f>
        <v>15.47008547008546</v>
      </c>
      <c r="N21" s="1470"/>
      <c r="O21" s="1535">
        <f>(G21/M21)*100</f>
        <v>76.276243093922716</v>
      </c>
      <c r="P21" s="1472"/>
      <c r="Q21" s="1472"/>
      <c r="R21" s="1537">
        <f>SUM(R17:R20)</f>
        <v>798.40000000000009</v>
      </c>
      <c r="S21" s="1538"/>
      <c r="T21" s="1539">
        <f t="shared" si="0"/>
        <v>4.7277572168763884</v>
      </c>
      <c r="U21" s="1479"/>
      <c r="V21" s="1555">
        <f>T21/T15-1</f>
        <v>-5.7349021174953219E-2</v>
      </c>
      <c r="W21" s="1479"/>
      <c r="X21" s="1470"/>
      <c r="Y21" s="1470"/>
      <c r="Z21" s="1541"/>
      <c r="AA21" s="1472"/>
      <c r="AB21" s="1541"/>
      <c r="AC21" s="1472"/>
      <c r="AD21" s="1535"/>
      <c r="AE21" s="1472"/>
      <c r="AF21" s="1472"/>
      <c r="AG21" s="1538"/>
      <c r="AH21" s="1538"/>
      <c r="AI21" s="1399"/>
      <c r="AJ21" s="1543"/>
      <c r="AK21" s="1560"/>
      <c r="AL21" s="1470"/>
      <c r="AM21" s="1470"/>
      <c r="AN21" s="1472"/>
      <c r="AO21" s="1470"/>
      <c r="AP21" s="1470"/>
      <c r="AQ21" s="1470"/>
      <c r="AR21" s="1470"/>
      <c r="AS21" s="1470"/>
      <c r="AT21" s="1470"/>
      <c r="AU21" s="1470"/>
      <c r="AV21" s="1473"/>
      <c r="AW21" s="1470"/>
      <c r="AX21" s="1470"/>
      <c r="AY21" s="1470"/>
      <c r="AZ21" s="1470"/>
      <c r="BA21" s="1470"/>
      <c r="BB21" s="1470"/>
      <c r="BC21" s="1470"/>
      <c r="BD21" s="1470"/>
      <c r="BE21" s="1470"/>
      <c r="BF21" s="1470"/>
      <c r="BG21" s="1470"/>
      <c r="BH21" s="1470"/>
      <c r="BI21" s="1470"/>
      <c r="BJ21" s="1470"/>
      <c r="BK21" s="1470"/>
      <c r="BL21" s="1470"/>
      <c r="BM21" s="1470"/>
    </row>
    <row r="22" spans="1:65" ht="10.5" hidden="1" customHeight="1" outlineLevel="2">
      <c r="A22" s="1470"/>
      <c r="B22" s="1470"/>
      <c r="C22" s="1532"/>
      <c r="D22" s="1470"/>
      <c r="E22" s="1532"/>
      <c r="F22" s="1470"/>
      <c r="G22" s="1532"/>
      <c r="H22" s="1470"/>
      <c r="I22" s="1470"/>
      <c r="J22" s="1470"/>
      <c r="K22" s="1534"/>
      <c r="L22" s="1470"/>
      <c r="M22" s="1534"/>
      <c r="N22" s="1470"/>
      <c r="O22" s="1535"/>
      <c r="P22" s="1472"/>
      <c r="Q22" s="1472"/>
      <c r="R22" s="1470"/>
      <c r="S22" s="1472"/>
      <c r="T22" s="1539"/>
      <c r="U22" s="1479"/>
      <c r="V22" s="1555"/>
      <c r="W22" s="1479"/>
      <c r="X22" s="1470"/>
      <c r="Y22" s="1470"/>
      <c r="Z22" s="1541"/>
      <c r="AA22" s="1472"/>
      <c r="AB22" s="1541"/>
      <c r="AC22" s="1472"/>
      <c r="AD22" s="1535"/>
      <c r="AE22" s="1472"/>
      <c r="AF22" s="1472"/>
      <c r="AG22" s="1472"/>
      <c r="AH22" s="1472"/>
      <c r="AI22" s="1542"/>
      <c r="AJ22" s="1543"/>
      <c r="AK22" s="1558"/>
      <c r="AL22" s="1470"/>
      <c r="AM22" s="1470"/>
      <c r="AN22" s="1472"/>
      <c r="AO22" s="1470"/>
      <c r="AP22" s="1470"/>
      <c r="AQ22" s="1470"/>
      <c r="AR22" s="1470"/>
      <c r="AS22" s="1470"/>
      <c r="AT22" s="1470"/>
      <c r="AU22" s="1470"/>
      <c r="AV22" s="1473"/>
      <c r="AW22" s="1470"/>
      <c r="AX22" s="1470"/>
      <c r="AY22" s="1470"/>
      <c r="AZ22" s="1470"/>
      <c r="BA22" s="1470"/>
      <c r="BB22" s="1470"/>
      <c r="BC22" s="1470"/>
      <c r="BD22" s="1470"/>
      <c r="BE22" s="1470"/>
      <c r="BF22" s="1470"/>
      <c r="BG22" s="1470"/>
      <c r="BH22" s="1470"/>
      <c r="BI22" s="1470"/>
      <c r="BJ22" s="1470"/>
      <c r="BK22" s="1470"/>
      <c r="BL22" s="1470"/>
      <c r="BM22" s="1470"/>
    </row>
    <row r="23" spans="1:65" ht="10.5" hidden="1" customHeight="1" outlineLevel="2">
      <c r="A23" s="1487"/>
      <c r="B23" s="1548"/>
      <c r="C23" s="1549"/>
      <c r="D23" s="1548"/>
      <c r="E23" s="1549"/>
      <c r="F23" s="1548"/>
      <c r="G23" s="1548"/>
      <c r="H23" s="1548"/>
      <c r="I23" s="1526" t="s">
        <v>718</v>
      </c>
      <c r="J23" s="1548"/>
      <c r="K23" s="1550"/>
      <c r="L23" s="1548"/>
      <c r="M23" s="1550"/>
      <c r="N23" s="1548"/>
      <c r="O23" s="1552"/>
      <c r="P23" s="1499"/>
      <c r="Q23" s="1499"/>
      <c r="R23" s="1548"/>
      <c r="S23" s="1499"/>
      <c r="T23" s="1539"/>
      <c r="U23" s="1479"/>
      <c r="V23" s="1555"/>
      <c r="W23" s="1479"/>
      <c r="X23" s="1526" t="s">
        <v>718</v>
      </c>
      <c r="Y23" s="1548"/>
      <c r="Z23" s="1552"/>
      <c r="AA23" s="1499"/>
      <c r="AB23" s="1552"/>
      <c r="AC23" s="1499"/>
      <c r="AD23" s="1552"/>
      <c r="AE23" s="1499"/>
      <c r="AF23" s="1499"/>
      <c r="AG23" s="1499"/>
      <c r="AH23" s="1499"/>
      <c r="AI23" s="1543"/>
      <c r="AJ23" s="1543"/>
      <c r="AK23" s="1561"/>
      <c r="AL23" s="1487"/>
      <c r="AM23" s="1487"/>
      <c r="AN23" s="1496"/>
      <c r="AO23" s="1487"/>
      <c r="AP23" s="1487"/>
      <c r="AQ23" s="1487"/>
      <c r="AR23" s="1487"/>
      <c r="AS23" s="1487"/>
      <c r="AT23" s="1487"/>
      <c r="AU23" s="1487"/>
      <c r="AV23" s="1473"/>
      <c r="AW23" s="1487"/>
      <c r="AX23" s="1487"/>
      <c r="AY23" s="1487"/>
      <c r="AZ23" s="1487"/>
      <c r="BA23" s="1487"/>
      <c r="BB23" s="1487"/>
      <c r="BC23" s="1487"/>
      <c r="BD23" s="1487"/>
      <c r="BE23" s="1487"/>
      <c r="BF23" s="1487"/>
      <c r="BG23" s="1487"/>
      <c r="BH23" s="1487"/>
      <c r="BI23" s="1487"/>
      <c r="BJ23" s="1487"/>
      <c r="BK23" s="1487"/>
      <c r="BL23" s="1487"/>
      <c r="BM23" s="1487"/>
    </row>
    <row r="24" spans="1:65" ht="10.5" hidden="1" customHeight="1" outlineLevel="2">
      <c r="A24" s="1531" t="s">
        <v>758</v>
      </c>
      <c r="B24" s="1470"/>
      <c r="C24" s="1532">
        <v>17.100000000000001</v>
      </c>
      <c r="D24" s="1531" t="s">
        <v>697</v>
      </c>
      <c r="E24" s="1532">
        <v>1</v>
      </c>
      <c r="F24" s="1531" t="s">
        <v>697</v>
      </c>
      <c r="G24" s="1532">
        <f>(C24-E24)</f>
        <v>16.100000000000001</v>
      </c>
      <c r="H24" s="1531" t="s">
        <v>697</v>
      </c>
      <c r="I24" s="1533">
        <v>191</v>
      </c>
      <c r="J24" s="1470"/>
      <c r="K24" s="1534">
        <f>(I20+I24)/2</f>
        <v>188</v>
      </c>
      <c r="L24" s="1470"/>
      <c r="M24" s="1534">
        <f>(K24/K17-1)*100</f>
        <v>18.611987381703464</v>
      </c>
      <c r="N24" s="1531" t="s">
        <v>697</v>
      </c>
      <c r="O24" s="1535">
        <f>(G24/M24)*100</f>
        <v>86.50338983050851</v>
      </c>
      <c r="P24" s="1536" t="s">
        <v>697</v>
      </c>
      <c r="Q24" s="1536"/>
      <c r="R24" s="1537">
        <v>198.6</v>
      </c>
      <c r="S24" s="1538"/>
      <c r="T24" s="1539">
        <f t="shared" si="0"/>
        <v>1.0563829787234043</v>
      </c>
      <c r="U24" s="63"/>
      <c r="V24" s="1555">
        <f>T24/T17-1</f>
        <v>-1.3337052871776112E-2</v>
      </c>
      <c r="W24" s="63"/>
      <c r="X24" s="1533">
        <v>191</v>
      </c>
      <c r="Y24" s="1470"/>
      <c r="Z24" s="1541"/>
      <c r="AA24" s="1472"/>
      <c r="AB24" s="1541"/>
      <c r="AC24" s="1536"/>
      <c r="AD24" s="1535"/>
      <c r="AE24" s="1536"/>
      <c r="AF24" s="1536"/>
      <c r="AG24" s="1538"/>
      <c r="AH24" s="1538"/>
      <c r="AI24" s="1556"/>
      <c r="AJ24" s="849"/>
      <c r="AK24" s="1561"/>
      <c r="AL24" s="1470"/>
      <c r="AM24" s="1470"/>
      <c r="AN24" s="1472"/>
      <c r="AO24" s="1470"/>
      <c r="AP24" s="1470"/>
      <c r="AQ24" s="1470"/>
      <c r="AR24" s="1470"/>
      <c r="AS24" s="1470"/>
      <c r="AT24" s="1470"/>
      <c r="AU24" s="1470"/>
      <c r="AV24" s="1473"/>
      <c r="AW24" s="1470"/>
      <c r="AX24" s="1206">
        <f>+I24/$AX$9</f>
        <v>0.15655737704918032</v>
      </c>
      <c r="AY24" s="1470"/>
      <c r="AZ24" s="1470"/>
      <c r="BA24" s="1470"/>
      <c r="BB24" s="1470"/>
      <c r="BC24" s="1470"/>
      <c r="BD24" s="1470"/>
      <c r="BE24" s="1470"/>
      <c r="BF24" s="1470"/>
      <c r="BG24" s="1470"/>
      <c r="BH24" s="1470"/>
      <c r="BI24" s="1470"/>
      <c r="BJ24" s="1470"/>
      <c r="BK24" s="1470"/>
      <c r="BL24" s="1470"/>
      <c r="BM24" s="1470"/>
    </row>
    <row r="25" spans="1:65" ht="10.5" hidden="1" customHeight="1" outlineLevel="2">
      <c r="A25" s="1531" t="s">
        <v>759</v>
      </c>
      <c r="B25" s="1470"/>
      <c r="C25" s="1532">
        <v>20.5</v>
      </c>
      <c r="D25" s="1470"/>
      <c r="E25" s="1532">
        <v>4</v>
      </c>
      <c r="F25" s="1470"/>
      <c r="G25" s="1532">
        <f>(C25-E25)</f>
        <v>16.5</v>
      </c>
      <c r="H25" s="1470"/>
      <c r="I25" s="1533">
        <v>197</v>
      </c>
      <c r="J25" s="1470"/>
      <c r="K25" s="1534">
        <f>(I25+I24)/2</f>
        <v>194</v>
      </c>
      <c r="L25" s="1470"/>
      <c r="M25" s="1534">
        <f>(K25/K18-1)*100</f>
        <v>17.575757575757578</v>
      </c>
      <c r="N25" s="1470"/>
      <c r="O25" s="1535">
        <f>(G25/M25)*100</f>
        <v>93.879310344827573</v>
      </c>
      <c r="P25" s="1472"/>
      <c r="Q25" s="1472"/>
      <c r="R25" s="1532">
        <v>231.2</v>
      </c>
      <c r="S25" s="1557"/>
      <c r="T25" s="1539">
        <f t="shared" si="0"/>
        <v>1.1917525773195876</v>
      </c>
      <c r="U25" s="1479"/>
      <c r="V25" s="1555">
        <f>T25/T18-1</f>
        <v>2.469606700225091E-2</v>
      </c>
      <c r="W25" s="1479"/>
      <c r="X25" s="1533">
        <v>197</v>
      </c>
      <c r="Y25" s="1470"/>
      <c r="Z25" s="1541"/>
      <c r="AA25" s="1472"/>
      <c r="AB25" s="1541"/>
      <c r="AC25" s="1472"/>
      <c r="AD25" s="1535"/>
      <c r="AE25" s="1472"/>
      <c r="AF25" s="1472"/>
      <c r="AG25" s="1557"/>
      <c r="AH25" s="1557"/>
      <c r="AI25" s="1542"/>
      <c r="AJ25" s="1543"/>
      <c r="AK25" s="1558"/>
      <c r="AL25" s="1470"/>
      <c r="AM25" s="1470"/>
      <c r="AN25" s="1472"/>
      <c r="AO25" s="1470"/>
      <c r="AP25" s="1470"/>
      <c r="AQ25" s="1470"/>
      <c r="AR25" s="1470"/>
      <c r="AS25" s="1470"/>
      <c r="AT25" s="1470"/>
      <c r="AU25" s="1470"/>
      <c r="AV25" s="1473"/>
      <c r="AW25" s="1470"/>
      <c r="AX25" s="1206">
        <f>+I25/$AX$9</f>
        <v>0.16147540983606556</v>
      </c>
      <c r="AY25" s="1470"/>
      <c r="AZ25" s="1470"/>
      <c r="BA25" s="1470"/>
      <c r="BB25" s="1470"/>
      <c r="BC25" s="1470"/>
      <c r="BD25" s="1470"/>
      <c r="BE25" s="1470"/>
      <c r="BF25" s="1470"/>
      <c r="BG25" s="1470"/>
      <c r="BH25" s="1470"/>
      <c r="BI25" s="1470"/>
      <c r="BJ25" s="1470"/>
      <c r="BK25" s="1470"/>
      <c r="BL25" s="1470"/>
      <c r="BM25" s="1470"/>
    </row>
    <row r="26" spans="1:65" ht="10.5" hidden="1" customHeight="1" outlineLevel="2">
      <c r="A26" s="1531" t="s">
        <v>760</v>
      </c>
      <c r="B26" s="1470"/>
      <c r="C26" s="1532">
        <v>16.3</v>
      </c>
      <c r="D26" s="1470"/>
      <c r="E26" s="1532">
        <v>2</v>
      </c>
      <c r="F26" s="1470"/>
      <c r="G26" s="1532">
        <f>(C26-E26)</f>
        <v>14.3</v>
      </c>
      <c r="H26" s="1470"/>
      <c r="I26" s="1533">
        <v>197</v>
      </c>
      <c r="J26" s="1470"/>
      <c r="K26" s="1534">
        <f>(I26+I25)/2</f>
        <v>197</v>
      </c>
      <c r="L26" s="1470"/>
      <c r="M26" s="1534">
        <f>(K26/K19-1)*100</f>
        <v>14.534883720930235</v>
      </c>
      <c r="N26" s="1470"/>
      <c r="O26" s="1535">
        <f>(G26/M26)*100</f>
        <v>98.383999999999986</v>
      </c>
      <c r="P26" s="1472"/>
      <c r="Q26" s="1472"/>
      <c r="R26" s="1532">
        <v>215.4</v>
      </c>
      <c r="S26" s="1557"/>
      <c r="T26" s="1539">
        <f t="shared" si="0"/>
        <v>1.0934010152284264</v>
      </c>
      <c r="U26" s="1479"/>
      <c r="V26" s="1555">
        <f>T26/T19-1</f>
        <v>1.6018231330574562E-2</v>
      </c>
      <c r="W26" s="1479"/>
      <c r="X26" s="1533">
        <v>197</v>
      </c>
      <c r="Y26" s="1470"/>
      <c r="Z26" s="1541"/>
      <c r="AA26" s="1472"/>
      <c r="AB26" s="1541"/>
      <c r="AC26" s="1472"/>
      <c r="AD26" s="1535"/>
      <c r="AE26" s="1472"/>
      <c r="AF26" s="1472"/>
      <c r="AG26" s="1557"/>
      <c r="AH26" s="1557"/>
      <c r="AI26" s="1399"/>
      <c r="AJ26" s="1543"/>
      <c r="AK26" s="1558"/>
      <c r="AL26" s="1470"/>
      <c r="AM26" s="1470"/>
      <c r="AN26" s="1472"/>
      <c r="AO26" s="1470"/>
      <c r="AP26" s="1470"/>
      <c r="AQ26" s="1470"/>
      <c r="AR26" s="1470"/>
      <c r="AS26" s="1470"/>
      <c r="AT26" s="1470"/>
      <c r="AU26" s="1470"/>
      <c r="AV26" s="1473"/>
      <c r="AW26" s="1470"/>
      <c r="AX26" s="1206">
        <f>+I26/$AX$9</f>
        <v>0.16147540983606556</v>
      </c>
      <c r="AY26" s="1470"/>
      <c r="AZ26" s="1470"/>
      <c r="BA26" s="1470"/>
      <c r="BB26" s="1470"/>
      <c r="BC26" s="1470"/>
      <c r="BD26" s="1470"/>
      <c r="BE26" s="1470"/>
      <c r="BF26" s="1470"/>
      <c r="BG26" s="1470"/>
      <c r="BH26" s="1470"/>
      <c r="BI26" s="1470"/>
      <c r="BJ26" s="1470"/>
      <c r="BK26" s="1470"/>
      <c r="BL26" s="1470"/>
      <c r="BM26" s="1470"/>
    </row>
    <row r="27" spans="1:65" ht="10.5" hidden="1" customHeight="1" outlineLevel="2">
      <c r="A27" s="1531" t="s">
        <v>761</v>
      </c>
      <c r="B27" s="1470"/>
      <c r="C27" s="1544">
        <v>11.7</v>
      </c>
      <c r="D27" s="1470"/>
      <c r="E27" s="1544">
        <v>3</v>
      </c>
      <c r="F27" s="1470"/>
      <c r="G27" s="1544">
        <f>(C27-E27)</f>
        <v>8.6999999999999993</v>
      </c>
      <c r="H27" s="1470"/>
      <c r="I27" s="1533">
        <v>203</v>
      </c>
      <c r="J27" s="1470"/>
      <c r="K27" s="1545">
        <f>(I27+I26)/2</f>
        <v>200</v>
      </c>
      <c r="L27" s="1470"/>
      <c r="M27" s="1545">
        <f>(K27/K20-1)*100</f>
        <v>11.111111111111116</v>
      </c>
      <c r="N27" s="1470"/>
      <c r="O27" s="1535">
        <f>(G27/M27)*100</f>
        <v>78.299999999999955</v>
      </c>
      <c r="P27" s="1472"/>
      <c r="Q27" s="1472"/>
      <c r="R27" s="1544">
        <v>281.10000000000002</v>
      </c>
      <c r="S27" s="1557"/>
      <c r="T27" s="1547">
        <f t="shared" si="0"/>
        <v>1.4055000000000002</v>
      </c>
      <c r="U27" s="1479"/>
      <c r="V27" s="1559">
        <f>T27/T20-1</f>
        <v>5.1251489868893163E-3</v>
      </c>
      <c r="W27" s="1479"/>
      <c r="X27" s="1533">
        <v>203</v>
      </c>
      <c r="Y27" s="1470"/>
      <c r="Z27" s="1541"/>
      <c r="AA27" s="1472"/>
      <c r="AB27" s="1541"/>
      <c r="AC27" s="1472"/>
      <c r="AD27" s="1535"/>
      <c r="AE27" s="1472"/>
      <c r="AF27" s="1472"/>
      <c r="AG27" s="1557"/>
      <c r="AH27" s="1557"/>
      <c r="AI27" s="1399"/>
      <c r="AJ27" s="1543"/>
      <c r="AK27" s="1558"/>
      <c r="AL27" s="1470"/>
      <c r="AM27" s="1470"/>
      <c r="AN27" s="1472"/>
      <c r="AO27" s="1470"/>
      <c r="AP27" s="1470"/>
      <c r="AQ27" s="1470"/>
      <c r="AR27" s="1470"/>
      <c r="AS27" s="1470"/>
      <c r="AT27" s="1470"/>
      <c r="AU27" s="1470"/>
      <c r="AV27" s="1473"/>
      <c r="AW27" s="1470"/>
      <c r="AX27" s="1206">
        <f>+I27/$AX$9</f>
        <v>0.16639344262295083</v>
      </c>
      <c r="AY27" s="1470"/>
      <c r="AZ27" s="1470"/>
      <c r="BA27" s="1470"/>
      <c r="BB27" s="1470"/>
      <c r="BC27" s="1470"/>
      <c r="BD27" s="1470"/>
      <c r="BE27" s="1470"/>
      <c r="BF27" s="1470"/>
      <c r="BG27" s="1470"/>
      <c r="BH27" s="1470"/>
      <c r="BI27" s="1470"/>
      <c r="BJ27" s="1470"/>
      <c r="BK27" s="1470"/>
      <c r="BL27" s="1470"/>
      <c r="BM27" s="1470"/>
    </row>
    <row r="28" spans="1:65" ht="10.5" hidden="1" customHeight="1" outlineLevel="2">
      <c r="A28" s="1531" t="s">
        <v>762</v>
      </c>
      <c r="B28" s="1470"/>
      <c r="C28" s="1532">
        <v>16</v>
      </c>
      <c r="D28" s="1470"/>
      <c r="E28" s="1532">
        <v>2</v>
      </c>
      <c r="F28" s="1470"/>
      <c r="G28" s="1532">
        <f>(C28-E28)</f>
        <v>14</v>
      </c>
      <c r="H28" s="1470"/>
      <c r="I28" s="1470"/>
      <c r="J28" s="1470"/>
      <c r="K28" s="1534">
        <f>AVERAGEA(K24:K27)</f>
        <v>194.75</v>
      </c>
      <c r="L28" s="1470"/>
      <c r="M28" s="1534">
        <f>(K28/K21-1)*100</f>
        <v>15.321983715766097</v>
      </c>
      <c r="N28" s="1470"/>
      <c r="O28" s="1535">
        <f>(G28/M28)*100</f>
        <v>91.371980676328519</v>
      </c>
      <c r="P28" s="1472"/>
      <c r="Q28" s="1472"/>
      <c r="R28" s="1537">
        <v>926.4</v>
      </c>
      <c r="S28" s="1538"/>
      <c r="T28" s="1539">
        <f t="shared" si="0"/>
        <v>4.7568677792041081</v>
      </c>
      <c r="U28" s="1479"/>
      <c r="V28" s="1555">
        <f>T28/T21-1</f>
        <v>6.1573725113899247E-3</v>
      </c>
      <c r="W28" s="1479"/>
      <c r="X28" s="1470"/>
      <c r="Y28" s="1470"/>
      <c r="Z28" s="1541"/>
      <c r="AA28" s="1472"/>
      <c r="AB28" s="1541"/>
      <c r="AC28" s="1472"/>
      <c r="AD28" s="1535"/>
      <c r="AE28" s="1472"/>
      <c r="AF28" s="1472"/>
      <c r="AG28" s="1538"/>
      <c r="AH28" s="1538"/>
      <c r="AI28" s="1399"/>
      <c r="AJ28" s="1543"/>
      <c r="AK28" s="1560"/>
      <c r="AL28" s="1470"/>
      <c r="AM28" s="1470"/>
      <c r="AN28" s="1472"/>
      <c r="AO28" s="1470"/>
      <c r="AP28" s="1470"/>
      <c r="AQ28" s="1470"/>
      <c r="AR28" s="1470"/>
      <c r="AS28" s="1470"/>
      <c r="AT28" s="1470"/>
      <c r="AU28" s="1470"/>
      <c r="AV28" s="1473"/>
      <c r="AW28" s="1470"/>
      <c r="AX28" s="1470"/>
      <c r="AY28" s="1470"/>
      <c r="AZ28" s="1470"/>
      <c r="BA28" s="1470"/>
      <c r="BB28" s="1470"/>
      <c r="BC28" s="1470"/>
      <c r="BD28" s="1470"/>
      <c r="BE28" s="1470"/>
      <c r="BF28" s="1470"/>
      <c r="BG28" s="1470"/>
      <c r="BH28" s="1470"/>
      <c r="BI28" s="1470"/>
      <c r="BJ28" s="1470"/>
      <c r="BK28" s="1470"/>
      <c r="BL28" s="1470"/>
      <c r="BM28" s="1470"/>
    </row>
    <row r="29" spans="1:65" ht="10.5" hidden="1" customHeight="1" outlineLevel="2">
      <c r="A29" s="1470"/>
      <c r="B29" s="1470"/>
      <c r="C29" s="1532"/>
      <c r="D29" s="1470"/>
      <c r="E29" s="1532"/>
      <c r="F29" s="1470"/>
      <c r="G29" s="1532"/>
      <c r="H29" s="1470"/>
      <c r="I29" s="1470"/>
      <c r="J29" s="1470"/>
      <c r="K29" s="1534"/>
      <c r="L29" s="1470"/>
      <c r="M29" s="1534"/>
      <c r="N29" s="1470"/>
      <c r="O29" s="1535"/>
      <c r="P29" s="1472"/>
      <c r="Q29" s="1472"/>
      <c r="R29" s="1470"/>
      <c r="S29" s="1472"/>
      <c r="U29" s="1479"/>
      <c r="V29" s="1555"/>
      <c r="W29" s="1479"/>
      <c r="X29" s="1470"/>
      <c r="Y29" s="1470"/>
      <c r="Z29" s="1541"/>
      <c r="AA29" s="1472"/>
      <c r="AB29" s="1541"/>
      <c r="AC29" s="1472"/>
      <c r="AD29" s="1535"/>
      <c r="AE29" s="1472"/>
      <c r="AF29" s="1472"/>
      <c r="AG29" s="1472"/>
      <c r="AH29" s="1472"/>
      <c r="AI29" s="1542"/>
      <c r="AJ29" s="1543"/>
      <c r="AK29" s="1558"/>
      <c r="AL29" s="1470"/>
      <c r="AM29" s="1470"/>
      <c r="AN29" s="1472"/>
      <c r="AO29" s="1470"/>
      <c r="AP29" s="1470"/>
      <c r="AQ29" s="1470"/>
      <c r="AR29" s="1470"/>
      <c r="AS29" s="1470"/>
      <c r="AT29" s="1470"/>
      <c r="AU29" s="1470"/>
      <c r="AV29" s="1473"/>
      <c r="AW29" s="1470"/>
      <c r="AX29" s="1470"/>
      <c r="AY29" s="1470"/>
      <c r="AZ29" s="1470"/>
      <c r="BA29" s="1470"/>
      <c r="BB29" s="1470"/>
      <c r="BC29" s="1470"/>
      <c r="BD29" s="1470"/>
      <c r="BE29" s="1470"/>
      <c r="BF29" s="1470"/>
      <c r="BG29" s="1470"/>
      <c r="BH29" s="1470"/>
      <c r="BI29" s="1470"/>
      <c r="BJ29" s="1470"/>
      <c r="BK29" s="1470"/>
      <c r="BL29" s="1470"/>
      <c r="BM29" s="1470"/>
    </row>
    <row r="30" spans="1:65" ht="10.5" hidden="1" customHeight="1" outlineLevel="2">
      <c r="A30" s="1487"/>
      <c r="B30" s="1548"/>
      <c r="C30" s="1549"/>
      <c r="D30" s="1548"/>
      <c r="E30" s="1549"/>
      <c r="F30" s="1548"/>
      <c r="G30" s="1548"/>
      <c r="H30" s="1548"/>
      <c r="I30" s="1526" t="s">
        <v>719</v>
      </c>
      <c r="J30" s="1548"/>
      <c r="K30" s="1550"/>
      <c r="L30" s="1548"/>
      <c r="M30" s="1550"/>
      <c r="N30" s="1548"/>
      <c r="O30" s="1552"/>
      <c r="P30" s="1499"/>
      <c r="Q30" s="1499"/>
      <c r="R30" s="1548"/>
      <c r="S30" s="1499"/>
      <c r="T30" s="1479"/>
      <c r="U30" s="1479"/>
      <c r="V30" s="1303"/>
      <c r="W30" s="1479"/>
      <c r="X30" s="1526" t="s">
        <v>719</v>
      </c>
      <c r="Y30" s="1548"/>
      <c r="Z30" s="1552"/>
      <c r="AA30" s="1499"/>
      <c r="AB30" s="1552"/>
      <c r="AC30" s="1499"/>
      <c r="AD30" s="1552"/>
      <c r="AE30" s="1499"/>
      <c r="AF30" s="1499"/>
      <c r="AG30" s="1499"/>
      <c r="AH30" s="1499"/>
      <c r="AI30" s="1543"/>
      <c r="AJ30" s="1543"/>
      <c r="AK30" s="1561"/>
      <c r="AL30" s="1487"/>
      <c r="AM30" s="1487"/>
      <c r="AN30" s="1496"/>
      <c r="AO30" s="1487"/>
      <c r="AP30" s="1487"/>
      <c r="AQ30" s="1487"/>
      <c r="AR30" s="1487"/>
      <c r="AS30" s="1487"/>
      <c r="AT30" s="1487"/>
      <c r="AU30" s="1487"/>
      <c r="AV30" s="1473"/>
      <c r="AW30" s="1487"/>
      <c r="AX30" s="1487"/>
      <c r="AY30" s="1487"/>
      <c r="AZ30" s="1487"/>
      <c r="BA30" s="1487"/>
      <c r="BB30" s="1487"/>
      <c r="BC30" s="1487"/>
      <c r="BD30" s="1487"/>
      <c r="BE30" s="1487"/>
      <c r="BF30" s="1487"/>
      <c r="BG30" s="1487"/>
      <c r="BH30" s="1487"/>
      <c r="BI30" s="1487"/>
      <c r="BJ30" s="1487"/>
      <c r="BK30" s="1487"/>
      <c r="BL30" s="1487"/>
      <c r="BM30" s="1487"/>
    </row>
    <row r="31" spans="1:65" ht="10.5" hidden="1" customHeight="1" outlineLevel="2">
      <c r="A31" s="1531" t="s">
        <v>758</v>
      </c>
      <c r="B31" s="1470"/>
      <c r="C31" s="1532">
        <v>11.3</v>
      </c>
      <c r="D31" s="1531" t="s">
        <v>697</v>
      </c>
      <c r="E31" s="1532">
        <v>2</v>
      </c>
      <c r="F31" s="1531" t="s">
        <v>697</v>
      </c>
      <c r="G31" s="1532">
        <f>(C31-E31)</f>
        <v>9.3000000000000007</v>
      </c>
      <c r="H31" s="1531" t="s">
        <v>697</v>
      </c>
      <c r="I31" s="1533">
        <v>210</v>
      </c>
      <c r="J31" s="1470"/>
      <c r="K31" s="1534">
        <f>(I27+I31)/2</f>
        <v>206.5</v>
      </c>
      <c r="L31" s="1470"/>
      <c r="M31" s="1534">
        <f>(K31/K24-1)*100</f>
        <v>9.840425531914887</v>
      </c>
      <c r="N31" s="1531" t="s">
        <v>697</v>
      </c>
      <c r="O31" s="1535">
        <f>(G31/M31)*100</f>
        <v>94.508108108108175</v>
      </c>
      <c r="P31" s="1536" t="s">
        <v>697</v>
      </c>
      <c r="Q31" s="1536"/>
      <c r="R31" s="1537">
        <v>221</v>
      </c>
      <c r="S31" s="1538"/>
      <c r="T31" s="1539">
        <f xml:space="preserve"> R31/K31</f>
        <v>1.0702179176755449</v>
      </c>
      <c r="U31" s="1530"/>
      <c r="V31" s="1555"/>
      <c r="W31" s="1530"/>
      <c r="X31" s="1533">
        <v>210</v>
      </c>
      <c r="Y31" s="1470"/>
      <c r="Z31" s="1541"/>
      <c r="AA31" s="1472"/>
      <c r="AB31" s="1541"/>
      <c r="AC31" s="1536"/>
      <c r="AD31" s="1535"/>
      <c r="AE31" s="1536"/>
      <c r="AF31" s="1536"/>
      <c r="AG31" s="1538"/>
      <c r="AH31" s="1538"/>
      <c r="AI31" s="1542"/>
      <c r="AJ31" s="1556"/>
      <c r="AK31" s="1558"/>
      <c r="AL31" s="1470"/>
      <c r="AM31" s="1470"/>
      <c r="AN31" s="1472"/>
      <c r="AO31" s="1470"/>
      <c r="AP31" s="1470"/>
      <c r="AQ31" s="1470"/>
      <c r="AR31" s="1470"/>
      <c r="AS31" s="1470"/>
      <c r="AT31" s="1470"/>
      <c r="AU31" s="1470"/>
      <c r="AV31" s="1473"/>
      <c r="AW31" s="1470"/>
      <c r="AX31" s="1206">
        <f>+I31/$AX$9</f>
        <v>0.1721311475409836</v>
      </c>
      <c r="AY31" s="1470"/>
      <c r="AZ31" s="1470"/>
      <c r="BA31" s="1470"/>
      <c r="BB31" s="1470"/>
      <c r="BC31" s="1470"/>
      <c r="BD31" s="1470"/>
      <c r="BE31" s="1470"/>
      <c r="BF31" s="1470"/>
      <c r="BG31" s="1470"/>
      <c r="BH31" s="1470"/>
      <c r="BI31" s="1470"/>
      <c r="BJ31" s="1470"/>
      <c r="BK31" s="1470"/>
      <c r="BL31" s="1470"/>
      <c r="BM31" s="1470"/>
    </row>
    <row r="32" spans="1:65" ht="10.5" hidden="1" customHeight="1" outlineLevel="2">
      <c r="A32" s="1531" t="s">
        <v>759</v>
      </c>
      <c r="B32" s="1470"/>
      <c r="C32" s="1532">
        <v>9.8000000000000007</v>
      </c>
      <c r="D32" s="1470"/>
      <c r="E32" s="1532">
        <v>1</v>
      </c>
      <c r="F32" s="1470"/>
      <c r="G32" s="1532">
        <f>(C32-E32)</f>
        <v>8.8000000000000007</v>
      </c>
      <c r="H32" s="1470"/>
      <c r="I32" s="1533">
        <v>220</v>
      </c>
      <c r="J32" s="1470"/>
      <c r="K32" s="1534">
        <f>(I32+I31)/2</f>
        <v>215</v>
      </c>
      <c r="L32" s="1470"/>
      <c r="M32" s="1534">
        <f>(K32/K25-1)*100</f>
        <v>10.824742268041243</v>
      </c>
      <c r="N32" s="1470"/>
      <c r="O32" s="1535">
        <f>(G32/M32)*100</f>
        <v>81.295238095238048</v>
      </c>
      <c r="P32" s="1472"/>
      <c r="Q32" s="1472"/>
      <c r="R32" s="1532">
        <v>253.85</v>
      </c>
      <c r="S32" s="1557"/>
      <c r="T32" s="1255">
        <f xml:space="preserve"> R32/K32</f>
        <v>1.1806976744186046</v>
      </c>
      <c r="U32" s="1479"/>
      <c r="V32" s="1555"/>
      <c r="W32" s="1479"/>
      <c r="X32" s="1533">
        <v>220</v>
      </c>
      <c r="Y32" s="1470"/>
      <c r="Z32" s="1541"/>
      <c r="AA32" s="1472"/>
      <c r="AB32" s="1541"/>
      <c r="AC32" s="1472"/>
      <c r="AD32" s="1535"/>
      <c r="AE32" s="1472"/>
      <c r="AF32" s="1472"/>
      <c r="AG32" s="1557"/>
      <c r="AH32" s="1557"/>
      <c r="AI32" s="1399"/>
      <c r="AJ32" s="1543"/>
      <c r="AK32" s="1558"/>
      <c r="AL32" s="1470"/>
      <c r="AM32" s="1470"/>
      <c r="AN32" s="1472"/>
      <c r="AO32" s="1470"/>
      <c r="AP32" s="1470"/>
      <c r="AQ32" s="1470"/>
      <c r="AR32" s="1470"/>
      <c r="AS32" s="1470"/>
      <c r="AT32" s="1470"/>
      <c r="AU32" s="1470"/>
      <c r="AV32" s="1473"/>
      <c r="AW32" s="1470"/>
      <c r="AX32" s="1206">
        <f>+I32/$AX$9</f>
        <v>0.18032786885245902</v>
      </c>
      <c r="AY32" s="1470"/>
      <c r="AZ32" s="1470"/>
      <c r="BA32" s="1470"/>
      <c r="BB32" s="1470"/>
      <c r="BC32" s="1470"/>
      <c r="BD32" s="1470"/>
      <c r="BE32" s="1470"/>
      <c r="BF32" s="1470"/>
      <c r="BG32" s="1470"/>
      <c r="BH32" s="1470"/>
      <c r="BI32" s="1470"/>
      <c r="BJ32" s="1470"/>
      <c r="BK32" s="1470"/>
      <c r="BL32" s="1470"/>
      <c r="BM32" s="1470"/>
    </row>
    <row r="33" spans="1:65" ht="10.5" hidden="1" customHeight="1" outlineLevel="2">
      <c r="A33" s="1531" t="s">
        <v>760</v>
      </c>
      <c r="B33" s="1470"/>
      <c r="C33" s="1532">
        <v>14.6</v>
      </c>
      <c r="D33" s="1532"/>
      <c r="E33" s="1532">
        <v>3</v>
      </c>
      <c r="F33" s="1470"/>
      <c r="G33" s="1532">
        <f>(C33-E33)</f>
        <v>11.6</v>
      </c>
      <c r="H33" s="1470"/>
      <c r="I33" s="1533">
        <v>221</v>
      </c>
      <c r="J33" s="1470"/>
      <c r="K33" s="1534">
        <f>(I33+I32)/2</f>
        <v>220.5</v>
      </c>
      <c r="L33" s="1470"/>
      <c r="M33" s="1534">
        <f>(K33/K26-1)*100</f>
        <v>11.928934010152293</v>
      </c>
      <c r="N33" s="1470"/>
      <c r="O33" s="1535">
        <f>(G33/M33)*100</f>
        <v>97.242553191489293</v>
      </c>
      <c r="P33" s="1472"/>
      <c r="Q33" s="1472"/>
      <c r="R33" s="1532">
        <v>246.9</v>
      </c>
      <c r="S33" s="1557"/>
      <c r="T33" s="1255">
        <f xml:space="preserve"> R33/K33</f>
        <v>1.1197278911564625</v>
      </c>
      <c r="U33" s="1479"/>
      <c r="V33" s="1555"/>
      <c r="W33" s="1479"/>
      <c r="X33" s="1533">
        <v>221</v>
      </c>
      <c r="Y33" s="1470"/>
      <c r="Z33" s="1541"/>
      <c r="AA33" s="1472"/>
      <c r="AB33" s="1541"/>
      <c r="AC33" s="1472"/>
      <c r="AD33" s="1535"/>
      <c r="AE33" s="1472"/>
      <c r="AF33" s="1472"/>
      <c r="AG33" s="1557"/>
      <c r="AH33" s="1557"/>
      <c r="AI33" s="1399"/>
      <c r="AJ33" s="1543"/>
      <c r="AK33" s="1558"/>
      <c r="AL33" s="1470"/>
      <c r="AM33" s="1470"/>
      <c r="AN33" s="1472"/>
      <c r="AO33" s="1470"/>
      <c r="AP33" s="1470"/>
      <c r="AQ33" s="1470"/>
      <c r="AR33" s="1470"/>
      <c r="AS33" s="1470"/>
      <c r="AT33" s="1470"/>
      <c r="AU33" s="1470"/>
      <c r="AV33" s="1473"/>
      <c r="AW33" s="1470"/>
      <c r="AX33" s="1206">
        <f>+I33/$AX$9</f>
        <v>0.18114754098360655</v>
      </c>
      <c r="AY33" s="1470"/>
      <c r="AZ33" s="1470"/>
      <c r="BA33" s="1470"/>
      <c r="BB33" s="1470"/>
      <c r="BC33" s="1470"/>
      <c r="BD33" s="1470"/>
      <c r="BE33" s="1470"/>
      <c r="BF33" s="1470"/>
      <c r="BG33" s="1470"/>
      <c r="BH33" s="1470"/>
      <c r="BI33" s="1470"/>
      <c r="BJ33" s="1470"/>
      <c r="BK33" s="1470"/>
      <c r="BL33" s="1470"/>
      <c r="BM33" s="1470"/>
    </row>
    <row r="34" spans="1:65" ht="10.5" hidden="1" customHeight="1" outlineLevel="2">
      <c r="A34" s="1531" t="s">
        <v>761</v>
      </c>
      <c r="B34" s="1470"/>
      <c r="C34" s="1544">
        <v>14.3</v>
      </c>
      <c r="D34" s="1532"/>
      <c r="E34" s="1544">
        <v>4</v>
      </c>
      <c r="F34" s="1470"/>
      <c r="G34" s="1544">
        <f>(C34-E34)</f>
        <v>10.3</v>
      </c>
      <c r="H34" s="1470"/>
      <c r="I34" s="1533">
        <v>223</v>
      </c>
      <c r="J34" s="1470"/>
      <c r="K34" s="1545">
        <f>(I34+I33)/2</f>
        <v>222</v>
      </c>
      <c r="L34" s="1470"/>
      <c r="M34" s="1545">
        <f>(K34/K27-1)*100</f>
        <v>11.000000000000011</v>
      </c>
      <c r="N34" s="1470"/>
      <c r="O34" s="1535">
        <f>(G34/M34)*100</f>
        <v>93.636363636363555</v>
      </c>
      <c r="P34" s="1472"/>
      <c r="Q34" s="1472"/>
      <c r="R34" s="1544">
        <v>321.35000000000002</v>
      </c>
      <c r="S34" s="1557"/>
      <c r="T34" s="1562">
        <f xml:space="preserve"> R34/K34</f>
        <v>1.4475225225225226</v>
      </c>
      <c r="U34" s="1479"/>
      <c r="V34" s="1563"/>
      <c r="W34" s="1479"/>
      <c r="X34" s="1533">
        <v>223</v>
      </c>
      <c r="Y34" s="1470"/>
      <c r="Z34" s="1541"/>
      <c r="AA34" s="1472"/>
      <c r="AB34" s="1541"/>
      <c r="AC34" s="1472"/>
      <c r="AD34" s="1535"/>
      <c r="AE34" s="1472"/>
      <c r="AF34" s="1472"/>
      <c r="AG34" s="1557"/>
      <c r="AH34" s="1557"/>
      <c r="AI34" s="1399"/>
      <c r="AJ34" s="1543"/>
      <c r="AK34" s="1560"/>
      <c r="AL34" s="1470"/>
      <c r="AM34" s="1470"/>
      <c r="AN34" s="1472"/>
      <c r="AO34" s="1470"/>
      <c r="AP34" s="1470"/>
      <c r="AQ34" s="1470"/>
      <c r="AR34" s="1470"/>
      <c r="AS34" s="1470"/>
      <c r="AT34" s="1470"/>
      <c r="AU34" s="1470"/>
      <c r="AV34" s="1473"/>
      <c r="AW34" s="1470"/>
      <c r="AX34" s="1206">
        <f>+I34/$AX$9</f>
        <v>0.18278688524590164</v>
      </c>
      <c r="AY34" s="1470"/>
      <c r="AZ34" s="1470"/>
      <c r="BA34" s="1470"/>
      <c r="BB34" s="1470"/>
      <c r="BC34" s="1470"/>
      <c r="BD34" s="1470"/>
      <c r="BE34" s="1470"/>
      <c r="BF34" s="1470"/>
      <c r="BG34" s="1470"/>
      <c r="BH34" s="1470"/>
      <c r="BI34" s="1470"/>
      <c r="BJ34" s="1470"/>
      <c r="BK34" s="1470"/>
      <c r="BL34" s="1470"/>
      <c r="BM34" s="1470"/>
    </row>
    <row r="35" spans="1:65" ht="10.5" hidden="1" customHeight="1" outlineLevel="2">
      <c r="A35" s="1531" t="s">
        <v>762</v>
      </c>
      <c r="B35" s="1470"/>
      <c r="C35" s="1532">
        <f>(R35/R28-1)*100</f>
        <v>12.597150259067359</v>
      </c>
      <c r="D35" s="1532"/>
      <c r="E35" s="1532">
        <f>R31/R35*E31+R32/R35*E32+R33/R35*E33+R34/R35*E34</f>
        <v>2.609481353657368</v>
      </c>
      <c r="F35" s="1470"/>
      <c r="G35" s="1532">
        <f>C35-E35</f>
        <v>9.9876689054099899</v>
      </c>
      <c r="H35" s="1470"/>
      <c r="I35" s="1470"/>
      <c r="J35" s="1470"/>
      <c r="K35" s="1534">
        <f>AVERAGEA(K31:K34)</f>
        <v>216</v>
      </c>
      <c r="L35" s="1470"/>
      <c r="M35" s="1534">
        <f>(K35/K28-1)*100</f>
        <v>10.911424903722722</v>
      </c>
      <c r="N35" s="1470"/>
      <c r="O35" s="1535">
        <f>(G35/M35)*100</f>
        <v>91.534047968404494</v>
      </c>
      <c r="P35" s="1472"/>
      <c r="Q35" s="1472"/>
      <c r="R35" s="1537">
        <f>SUM(R31:R34)</f>
        <v>1043.0999999999999</v>
      </c>
      <c r="S35" s="1538"/>
      <c r="T35" s="1539">
        <f>SUM(T31:T34)</f>
        <v>4.8181660057731346</v>
      </c>
      <c r="U35" s="1479"/>
      <c r="V35" s="1555"/>
      <c r="W35" s="1479"/>
      <c r="X35" s="1470"/>
      <c r="Y35" s="1470"/>
      <c r="Z35" s="1541"/>
      <c r="AA35" s="1472"/>
      <c r="AB35" s="1541"/>
      <c r="AC35" s="1472"/>
      <c r="AD35" s="1535"/>
      <c r="AE35" s="1472"/>
      <c r="AF35" s="1472"/>
      <c r="AG35" s="1538"/>
      <c r="AH35" s="1538"/>
      <c r="AI35" s="1542"/>
      <c r="AJ35" s="1543"/>
      <c r="AK35" s="1558"/>
      <c r="AL35" s="1470"/>
      <c r="AM35" s="1470"/>
      <c r="AN35" s="1472"/>
      <c r="AO35" s="1470"/>
      <c r="AP35" s="1470"/>
      <c r="AQ35" s="1470"/>
      <c r="AR35" s="1470"/>
      <c r="AS35" s="1470"/>
      <c r="AT35" s="1470"/>
      <c r="AU35" s="1470"/>
      <c r="AV35" s="1473"/>
      <c r="AW35" s="1470"/>
      <c r="AX35" s="1470"/>
      <c r="AY35" s="1470"/>
      <c r="AZ35" s="1470"/>
      <c r="BA35" s="1470"/>
      <c r="BB35" s="1470"/>
      <c r="BC35" s="1470"/>
      <c r="BD35" s="1470"/>
      <c r="BE35" s="1470"/>
      <c r="BF35" s="1470"/>
      <c r="BG35" s="1470"/>
      <c r="BH35" s="1470"/>
      <c r="BI35" s="1470"/>
      <c r="BJ35" s="1470"/>
      <c r="BK35" s="1470"/>
      <c r="BL35" s="1470"/>
      <c r="BM35" s="1470"/>
    </row>
    <row r="36" spans="1:65" ht="10.5" hidden="1" customHeight="1" outlineLevel="2">
      <c r="A36" s="1470"/>
      <c r="B36" s="1470"/>
      <c r="C36" s="1532"/>
      <c r="D36" s="1470"/>
      <c r="E36" s="1532"/>
      <c r="F36" s="1470"/>
      <c r="G36" s="1470"/>
      <c r="H36" s="1470"/>
      <c r="I36" s="1470"/>
      <c r="J36" s="1470"/>
      <c r="K36" s="1534"/>
      <c r="L36" s="1470"/>
      <c r="M36" s="1470"/>
      <c r="N36" s="1470"/>
      <c r="O36" s="1535"/>
      <c r="P36" s="1472"/>
      <c r="Q36" s="1472"/>
      <c r="R36" s="1470"/>
      <c r="S36" s="1472"/>
      <c r="T36" s="1479"/>
      <c r="U36" s="1479"/>
      <c r="V36" s="1479"/>
      <c r="W36" s="1479"/>
      <c r="X36" s="1470"/>
      <c r="Y36" s="1470"/>
      <c r="Z36" s="1541"/>
      <c r="AA36" s="1472"/>
      <c r="AB36" s="1472"/>
      <c r="AC36" s="1472"/>
      <c r="AD36" s="1535"/>
      <c r="AE36" s="1472"/>
      <c r="AF36" s="1472"/>
      <c r="AG36" s="1472"/>
      <c r="AH36" s="1472"/>
      <c r="AI36" s="1543"/>
      <c r="AJ36" s="1543"/>
      <c r="AK36" s="1543"/>
      <c r="AL36" s="1470"/>
      <c r="AM36" s="1470"/>
      <c r="AN36" s="1472"/>
      <c r="AO36" s="1470"/>
      <c r="AP36" s="1470"/>
      <c r="AQ36" s="1470"/>
      <c r="AR36" s="1470"/>
      <c r="AS36" s="1470"/>
      <c r="AT36" s="1470"/>
      <c r="AU36" s="1470"/>
      <c r="AV36" s="1473"/>
      <c r="AW36" s="1470"/>
      <c r="AX36" s="1470"/>
      <c r="AY36" s="1470"/>
      <c r="AZ36" s="1470"/>
      <c r="BA36" s="1470"/>
      <c r="BB36" s="1470"/>
      <c r="BC36" s="1470"/>
      <c r="BD36" s="1470"/>
      <c r="BE36" s="1470"/>
      <c r="BF36" s="1470"/>
      <c r="BG36" s="1470"/>
      <c r="BH36" s="1470"/>
      <c r="BI36" s="1470"/>
      <c r="BJ36" s="1470"/>
      <c r="BK36" s="1470"/>
      <c r="BL36" s="1470"/>
      <c r="BM36" s="1470"/>
    </row>
    <row r="37" spans="1:65" ht="10.5" hidden="1" customHeight="1" outlineLevel="2">
      <c r="A37" s="1487"/>
      <c r="B37" s="1548"/>
      <c r="C37" s="1549"/>
      <c r="D37" s="1548"/>
      <c r="E37" s="1549"/>
      <c r="F37" s="1548"/>
      <c r="G37" s="1548"/>
      <c r="H37" s="1548"/>
      <c r="I37" s="1564" t="s">
        <v>692</v>
      </c>
      <c r="J37" s="1548"/>
      <c r="K37" s="1550"/>
      <c r="L37" s="1548"/>
      <c r="M37" s="1548"/>
      <c r="N37" s="1548"/>
      <c r="O37" s="1552"/>
      <c r="P37" s="1499"/>
      <c r="Q37" s="1499"/>
      <c r="R37" s="1548"/>
      <c r="S37" s="1499"/>
      <c r="T37" s="1487"/>
      <c r="U37" s="1487"/>
      <c r="V37" s="1487"/>
      <c r="W37" s="1479"/>
      <c r="X37" s="1564"/>
      <c r="Y37" s="1548"/>
      <c r="Z37" s="1552"/>
      <c r="AA37" s="1499"/>
      <c r="AB37" s="1499"/>
      <c r="AC37" s="1499"/>
      <c r="AD37" s="1552"/>
      <c r="AE37" s="1499"/>
      <c r="AF37" s="1499"/>
      <c r="AG37" s="1499"/>
      <c r="AH37" s="1499"/>
      <c r="AI37" s="1496"/>
      <c r="AJ37" s="1496"/>
      <c r="AK37" s="1496"/>
      <c r="AL37" s="1487"/>
      <c r="AM37" s="1487"/>
      <c r="AN37" s="1496"/>
      <c r="AO37" s="1487"/>
      <c r="AP37" s="1487"/>
      <c r="AQ37" s="1487"/>
      <c r="AR37" s="1487"/>
      <c r="AS37" s="1487"/>
      <c r="AT37" s="1487"/>
      <c r="AU37" s="1487"/>
      <c r="AV37" s="1473"/>
      <c r="AW37" s="1487"/>
      <c r="AX37" s="1487"/>
      <c r="AY37" s="1487"/>
      <c r="AZ37" s="1487"/>
      <c r="BA37" s="1487"/>
      <c r="BB37" s="1487"/>
      <c r="BC37" s="1487"/>
      <c r="BD37" s="1487"/>
      <c r="BE37" s="1487"/>
      <c r="BF37" s="1487"/>
      <c r="BG37" s="1487"/>
      <c r="BH37" s="1487"/>
      <c r="BI37" s="1487"/>
      <c r="BJ37" s="1487"/>
      <c r="BK37" s="1487"/>
      <c r="BL37" s="1487"/>
      <c r="BM37" s="1487"/>
    </row>
    <row r="38" spans="1:65" ht="10.5" hidden="1" customHeight="1" outlineLevel="2">
      <c r="A38" s="1531" t="s">
        <v>758</v>
      </c>
      <c r="B38" s="1470"/>
      <c r="C38" s="1532">
        <v>8.4</v>
      </c>
      <c r="D38" s="1531" t="s">
        <v>697</v>
      </c>
      <c r="E38" s="1532">
        <v>-1</v>
      </c>
      <c r="F38" s="1531" t="s">
        <v>697</v>
      </c>
      <c r="G38" s="1532">
        <f>C38-E38</f>
        <v>9.4</v>
      </c>
      <c r="H38" s="1531" t="s">
        <v>697</v>
      </c>
      <c r="I38" s="1533">
        <v>231</v>
      </c>
      <c r="J38" s="1470"/>
      <c r="K38" s="1534">
        <f>(I34+I38)/2</f>
        <v>227</v>
      </c>
      <c r="L38" s="1470"/>
      <c r="M38" s="1534">
        <f>(K38/K31-1)*100</f>
        <v>9.9273607748183945</v>
      </c>
      <c r="N38" s="1531" t="s">
        <v>697</v>
      </c>
      <c r="O38" s="1535">
        <f>(G38/M38)*100</f>
        <v>94.687804878048851</v>
      </c>
      <c r="P38" s="1536" t="s">
        <v>697</v>
      </c>
      <c r="Q38" s="1536"/>
      <c r="R38" s="1537">
        <v>239.6</v>
      </c>
      <c r="S38" s="1538"/>
      <c r="T38" s="1539">
        <f xml:space="preserve"> R38/K38</f>
        <v>1.0555066079295155</v>
      </c>
      <c r="U38" s="1479"/>
      <c r="V38" s="1555">
        <f>T38/T31-1</f>
        <v>-1.3746088065860085E-2</v>
      </c>
      <c r="W38" s="63"/>
      <c r="X38" s="1533"/>
      <c r="Y38" s="1470"/>
      <c r="Z38" s="1541"/>
      <c r="AA38" s="1472"/>
      <c r="AB38" s="1541"/>
      <c r="AC38" s="1536"/>
      <c r="AD38" s="1535"/>
      <c r="AE38" s="1536"/>
      <c r="AF38" s="1536"/>
      <c r="AG38" s="1538"/>
      <c r="AH38" s="1538"/>
      <c r="AI38" s="1542"/>
      <c r="AJ38" s="1543"/>
      <c r="AK38" s="1558"/>
      <c r="AL38" s="1470"/>
      <c r="AM38" s="1470"/>
      <c r="AN38" s="1472"/>
      <c r="AO38" s="1470"/>
      <c r="AP38" s="1470"/>
      <c r="AQ38" s="1470"/>
      <c r="AR38" s="1470"/>
      <c r="AS38" s="1470"/>
      <c r="AT38" s="1470"/>
      <c r="AU38" s="1470"/>
      <c r="AV38" s="1473"/>
      <c r="AW38" s="1470"/>
      <c r="AX38" s="1206">
        <f>+I38/$AX$9</f>
        <v>0.18934426229508197</v>
      </c>
      <c r="AY38" s="1470"/>
      <c r="AZ38" s="1470"/>
      <c r="BA38" s="1470"/>
      <c r="BB38" s="1470"/>
      <c r="BC38" s="1470"/>
      <c r="BD38" s="1470"/>
      <c r="BE38" s="1470"/>
      <c r="BF38" s="1470"/>
      <c r="BG38" s="1470"/>
      <c r="BH38" s="1470"/>
      <c r="BI38" s="1470"/>
      <c r="BJ38" s="1470"/>
      <c r="BK38" s="1470"/>
      <c r="BL38" s="1470"/>
      <c r="BM38" s="1470"/>
    </row>
    <row r="39" spans="1:65" ht="10.5" hidden="1" customHeight="1" outlineLevel="2">
      <c r="A39" s="1531" t="s">
        <v>759</v>
      </c>
      <c r="B39" s="1470"/>
      <c r="C39" s="1532">
        <v>8.6999999999999993</v>
      </c>
      <c r="D39" s="1470"/>
      <c r="E39" s="1532">
        <v>0</v>
      </c>
      <c r="F39" s="1470"/>
      <c r="G39" s="1532">
        <f>C39-E39</f>
        <v>8.6999999999999993</v>
      </c>
      <c r="H39" s="1470"/>
      <c r="I39" s="1533">
        <v>235</v>
      </c>
      <c r="J39" s="1470"/>
      <c r="K39" s="1534">
        <f>(I39+I38)/2</f>
        <v>233</v>
      </c>
      <c r="L39" s="1470"/>
      <c r="M39" s="1534">
        <f>(K39/K32-1)*100</f>
        <v>8.3720930232558111</v>
      </c>
      <c r="N39" s="1470"/>
      <c r="O39" s="1535">
        <f>(G39/M39)*100</f>
        <v>103.9166666666667</v>
      </c>
      <c r="P39" s="1472"/>
      <c r="Q39" s="1472"/>
      <c r="R39" s="1532">
        <v>275.96499999999997</v>
      </c>
      <c r="S39" s="1557"/>
      <c r="T39" s="1255">
        <f xml:space="preserve"> R39/K39</f>
        <v>1.1843991416309012</v>
      </c>
      <c r="U39" s="1479"/>
      <c r="V39" s="1555">
        <f>T39/T32-1</f>
        <v>3.1349830633986553E-3</v>
      </c>
      <c r="W39" s="1479"/>
      <c r="X39" s="1533"/>
      <c r="Y39" s="1470"/>
      <c r="Z39" s="1541"/>
      <c r="AA39" s="1472"/>
      <c r="AB39" s="1541"/>
      <c r="AC39" s="1472"/>
      <c r="AD39" s="1535"/>
      <c r="AE39" s="1472"/>
      <c r="AF39" s="1472"/>
      <c r="AG39" s="1557"/>
      <c r="AH39" s="1557"/>
      <c r="AI39" s="1399"/>
      <c r="AJ39" s="1543"/>
      <c r="AK39" s="1558"/>
      <c r="AL39" s="1470"/>
      <c r="AM39" s="1470"/>
      <c r="AN39" s="1472"/>
      <c r="AO39" s="1470"/>
      <c r="AP39" s="1470"/>
      <c r="AQ39" s="1470"/>
      <c r="AR39" s="1470"/>
      <c r="AS39" s="1470"/>
      <c r="AT39" s="1470"/>
      <c r="AU39" s="1470"/>
      <c r="AV39" s="1473"/>
      <c r="AW39" s="1470"/>
      <c r="AX39" s="1206">
        <f>+I39/$AX$9</f>
        <v>0.19262295081967212</v>
      </c>
      <c r="AY39" s="1470"/>
      <c r="AZ39" s="1470"/>
      <c r="BA39" s="1470"/>
      <c r="BB39" s="1470"/>
      <c r="BC39" s="1470"/>
      <c r="BD39" s="1470"/>
      <c r="BE39" s="1470"/>
      <c r="BF39" s="1470"/>
      <c r="BG39" s="1470"/>
      <c r="BH39" s="1470"/>
      <c r="BI39" s="1470"/>
      <c r="BJ39" s="1470"/>
      <c r="BK39" s="1470"/>
      <c r="BL39" s="1470"/>
      <c r="BM39" s="1470"/>
    </row>
    <row r="40" spans="1:65" ht="10.5" hidden="1" customHeight="1" outlineLevel="2">
      <c r="A40" s="1531" t="s">
        <v>760</v>
      </c>
      <c r="B40" s="1470"/>
      <c r="C40" s="1532">
        <v>6.2</v>
      </c>
      <c r="D40" s="1470"/>
      <c r="E40" s="1532">
        <v>-1</v>
      </c>
      <c r="F40" s="1470"/>
      <c r="G40" s="1532">
        <f>C40-E40</f>
        <v>7.2</v>
      </c>
      <c r="H40" s="1470"/>
      <c r="I40" s="1533">
        <v>243</v>
      </c>
      <c r="J40" s="1470"/>
      <c r="K40" s="1534">
        <f>(I40+I39)/2</f>
        <v>239</v>
      </c>
      <c r="L40" s="1470"/>
      <c r="M40" s="1534">
        <f>(K40/K33-1)*100</f>
        <v>8.3900226757369634</v>
      </c>
      <c r="N40" s="1470"/>
      <c r="O40" s="1535">
        <f>(G40/M40)*100</f>
        <v>85.816216216216205</v>
      </c>
      <c r="P40" s="1472"/>
      <c r="Q40" s="1472"/>
      <c r="R40" s="1532">
        <f>R33*(C40+100)/100</f>
        <v>262.20780000000002</v>
      </c>
      <c r="S40" s="1557"/>
      <c r="T40" s="1255">
        <f xml:space="preserve"> R40/K40</f>
        <v>1.0971037656903766</v>
      </c>
      <c r="U40" s="1479"/>
      <c r="V40" s="1555">
        <f>T40/T33-1</f>
        <v>-2.0205020920502026E-2</v>
      </c>
      <c r="W40" s="1479"/>
      <c r="X40" s="1533"/>
      <c r="Y40" s="1470"/>
      <c r="Z40" s="1541"/>
      <c r="AA40" s="1472"/>
      <c r="AB40" s="1541"/>
      <c r="AC40" s="1472"/>
      <c r="AD40" s="1535"/>
      <c r="AE40" s="1472"/>
      <c r="AF40" s="1472"/>
      <c r="AG40" s="1557"/>
      <c r="AH40" s="1557"/>
      <c r="AI40" s="1399"/>
      <c r="AJ40" s="1543"/>
      <c r="AK40" s="1558"/>
      <c r="AL40" s="1470"/>
      <c r="AM40" s="1470"/>
      <c r="AN40" s="1472"/>
      <c r="AO40" s="1470"/>
      <c r="AP40" s="1470"/>
      <c r="AQ40" s="1470"/>
      <c r="AR40" s="1470"/>
      <c r="AS40" s="1470"/>
      <c r="AT40" s="1470"/>
      <c r="AU40" s="1470"/>
      <c r="AV40" s="1473"/>
      <c r="AW40" s="1470"/>
      <c r="AX40" s="1206">
        <f>+I40/$AX$9</f>
        <v>0.19918032786885245</v>
      </c>
      <c r="AY40" s="1470"/>
      <c r="AZ40" s="1470"/>
      <c r="BA40" s="1470"/>
      <c r="BB40" s="1470"/>
      <c r="BC40" s="1470"/>
      <c r="BD40" s="1470"/>
      <c r="BE40" s="1470"/>
      <c r="BF40" s="1470"/>
      <c r="BG40" s="1470"/>
      <c r="BH40" s="1470"/>
      <c r="BI40" s="1470"/>
      <c r="BJ40" s="1470"/>
      <c r="BK40" s="1470"/>
      <c r="BL40" s="1470"/>
      <c r="BM40" s="1470"/>
    </row>
    <row r="41" spans="1:65" ht="10.5" hidden="1" customHeight="1" outlineLevel="2">
      <c r="A41" s="1531" t="s">
        <v>761</v>
      </c>
      <c r="B41" s="1470"/>
      <c r="C41" s="1544">
        <v>7.2</v>
      </c>
      <c r="D41" s="1470"/>
      <c r="E41" s="1544">
        <v>-1</v>
      </c>
      <c r="F41" s="1470"/>
      <c r="G41" s="1544">
        <f>C41-E41</f>
        <v>8.1999999999999993</v>
      </c>
      <c r="H41" s="1470"/>
      <c r="I41" s="1533">
        <v>243</v>
      </c>
      <c r="J41" s="1470"/>
      <c r="K41" s="1545">
        <f>(I41+I40)/2</f>
        <v>243</v>
      </c>
      <c r="L41" s="1470"/>
      <c r="M41" s="1545">
        <f>(K41/K34-1)*100</f>
        <v>9.4594594594594525</v>
      </c>
      <c r="N41" s="1470"/>
      <c r="O41" s="1535">
        <f>(G41/M41)*100</f>
        <v>86.68571428571434</v>
      </c>
      <c r="P41" s="1472"/>
      <c r="Q41" s="1472"/>
      <c r="R41" s="1544">
        <v>344.3</v>
      </c>
      <c r="S41" s="1557"/>
      <c r="T41" s="1562">
        <f xml:space="preserve"> R41/K41</f>
        <v>1.4168724279835392</v>
      </c>
      <c r="U41" s="1479"/>
      <c r="V41" s="1563">
        <f>T41/T34-1</f>
        <v>-2.1174174537589296E-2</v>
      </c>
      <c r="W41" s="1479"/>
      <c r="X41" s="1533"/>
      <c r="Y41" s="1470"/>
      <c r="Z41" s="1541"/>
      <c r="AA41" s="1472"/>
      <c r="AB41" s="1541"/>
      <c r="AC41" s="1472"/>
      <c r="AD41" s="1535"/>
      <c r="AE41" s="1472"/>
      <c r="AF41" s="1472"/>
      <c r="AG41" s="1557"/>
      <c r="AH41" s="1557"/>
      <c r="AI41" s="1399"/>
      <c r="AJ41" s="1543"/>
      <c r="AK41" s="1560"/>
      <c r="AL41" s="1470"/>
      <c r="AM41" s="1470"/>
      <c r="AN41" s="1472"/>
      <c r="AO41" s="1470"/>
      <c r="AP41" s="1470"/>
      <c r="AQ41" s="1470"/>
      <c r="AR41" s="1470"/>
      <c r="AS41" s="1470"/>
      <c r="AT41" s="1470"/>
      <c r="AU41" s="1470"/>
      <c r="AV41" s="1473"/>
      <c r="AW41" s="1470"/>
      <c r="AX41" s="1206">
        <f>+I41/$AX$9</f>
        <v>0.19918032786885245</v>
      </c>
      <c r="AY41" s="1470"/>
      <c r="AZ41" s="1470"/>
      <c r="BA41" s="1470"/>
      <c r="BB41" s="1470"/>
      <c r="BC41" s="1470"/>
      <c r="BD41" s="1470"/>
      <c r="BE41" s="1470"/>
      <c r="BF41" s="1470"/>
      <c r="BG41" s="1470"/>
      <c r="BH41" s="1470"/>
      <c r="BI41" s="1470"/>
      <c r="BJ41" s="1470"/>
      <c r="BK41" s="1470"/>
      <c r="BL41" s="1470"/>
      <c r="BM41" s="1470"/>
    </row>
    <row r="42" spans="1:65" ht="10.5" hidden="1" customHeight="1" outlineLevel="2">
      <c r="A42" s="1531" t="s">
        <v>762</v>
      </c>
      <c r="B42" s="1470"/>
      <c r="C42" s="1532">
        <f>(R42/R35-1)*100</f>
        <v>7.5709711437062621</v>
      </c>
      <c r="D42" s="1470"/>
      <c r="E42" s="1532">
        <f>R38/R42*E38+R39/R42*E39+R40/R42*E40+R41/R42*E41</f>
        <v>-0.75405784722702496</v>
      </c>
      <c r="F42" s="1470"/>
      <c r="G42" s="1532">
        <f>C42-E42</f>
        <v>8.3250289909332871</v>
      </c>
      <c r="H42" s="1470"/>
      <c r="I42" s="1470"/>
      <c r="J42" s="1470"/>
      <c r="K42" s="1534">
        <f>AVERAGEA(K38:K41)</f>
        <v>235.5</v>
      </c>
      <c r="L42" s="1470"/>
      <c r="M42" s="1534">
        <f>(K42/K35-1)*100</f>
        <v>9.0277777777777679</v>
      </c>
      <c r="N42" s="1470"/>
      <c r="O42" s="1535">
        <f>(G42/M42)*100</f>
        <v>92.215705745722659</v>
      </c>
      <c r="P42" s="1472"/>
      <c r="Q42" s="1472"/>
      <c r="R42" s="1537">
        <f>SUM(R38:R41)</f>
        <v>1122.0727999999999</v>
      </c>
      <c r="S42" s="1538"/>
      <c r="T42" s="1539">
        <f>SUM(T38:T41)</f>
        <v>4.7538819432343322</v>
      </c>
      <c r="U42" s="1479"/>
      <c r="V42" s="1555">
        <f>T42/T35-1</f>
        <v>-1.3342019030016194E-2</v>
      </c>
      <c r="W42" s="1479"/>
      <c r="X42" s="1470"/>
      <c r="Y42" s="1470"/>
      <c r="Z42" s="1541"/>
      <c r="AA42" s="1472"/>
      <c r="AB42" s="1541"/>
      <c r="AC42" s="1472"/>
      <c r="AD42" s="1535"/>
      <c r="AE42" s="1472"/>
      <c r="AF42" s="1472"/>
      <c r="AG42" s="1538"/>
      <c r="AH42" s="1538"/>
      <c r="AI42" s="1542"/>
      <c r="AJ42" s="1543"/>
      <c r="AK42" s="1558"/>
      <c r="AL42" s="1470"/>
      <c r="AM42" s="1470"/>
      <c r="AN42" s="1472"/>
      <c r="AO42" s="1470"/>
      <c r="AP42" s="1470"/>
      <c r="AQ42" s="1470"/>
      <c r="AR42" s="1470"/>
      <c r="AS42" s="1470"/>
      <c r="AT42" s="1470"/>
      <c r="AU42" s="1470"/>
      <c r="AV42" s="1473"/>
      <c r="AW42" s="1470"/>
      <c r="AX42" s="1470"/>
      <c r="AY42" s="1470"/>
      <c r="AZ42" s="1470"/>
      <c r="BA42" s="1470"/>
      <c r="BB42" s="1470"/>
      <c r="BC42" s="1470"/>
      <c r="BD42" s="1470"/>
      <c r="BE42" s="1470"/>
      <c r="BF42" s="1470"/>
      <c r="BG42" s="1470"/>
      <c r="BH42" s="1470"/>
      <c r="BI42" s="1470"/>
      <c r="BJ42" s="1470"/>
      <c r="BK42" s="1470"/>
      <c r="BL42" s="1470"/>
      <c r="BM42" s="1470"/>
    </row>
    <row r="43" spans="1:65" ht="10.5" hidden="1" customHeight="1" outlineLevel="2">
      <c r="A43" s="1470"/>
      <c r="B43" s="1470"/>
      <c r="C43" s="1532"/>
      <c r="D43" s="1470"/>
      <c r="E43" s="1532"/>
      <c r="F43" s="1470"/>
      <c r="G43" s="1470"/>
      <c r="H43" s="1470"/>
      <c r="I43" s="1470"/>
      <c r="J43" s="1470"/>
      <c r="K43" s="1534"/>
      <c r="L43" s="1470"/>
      <c r="M43" s="1470"/>
      <c r="N43" s="1470"/>
      <c r="O43" s="1535"/>
      <c r="P43" s="1472"/>
      <c r="Q43" s="1472"/>
      <c r="R43" s="1470"/>
      <c r="S43" s="1472"/>
      <c r="T43" s="1479"/>
      <c r="U43" s="1479"/>
      <c r="V43" s="1479"/>
      <c r="W43" s="1479"/>
      <c r="X43" s="1470"/>
      <c r="Y43" s="1470"/>
      <c r="Z43" s="1541"/>
      <c r="AA43" s="1472"/>
      <c r="AB43" s="1472"/>
      <c r="AC43" s="1472"/>
      <c r="AD43" s="1535"/>
      <c r="AE43" s="1472"/>
      <c r="AF43" s="1472"/>
      <c r="AG43" s="1472"/>
      <c r="AH43" s="1472"/>
      <c r="AI43" s="1543"/>
      <c r="AJ43" s="1543"/>
      <c r="AK43" s="1543"/>
      <c r="AL43" s="1470"/>
      <c r="AM43" s="1470"/>
      <c r="AN43" s="1472"/>
      <c r="AO43" s="1470"/>
      <c r="AP43" s="1470"/>
      <c r="AQ43" s="1470"/>
      <c r="AR43" s="1470"/>
      <c r="AS43" s="1470"/>
      <c r="AT43" s="1470"/>
      <c r="AU43" s="1470"/>
      <c r="AV43" s="1473"/>
      <c r="AW43" s="1470"/>
      <c r="AX43" s="1470"/>
      <c r="AY43" s="1470"/>
      <c r="AZ43" s="1470"/>
      <c r="BA43" s="1470"/>
      <c r="BB43" s="1470"/>
      <c r="BC43" s="1470"/>
      <c r="BD43" s="1470"/>
      <c r="BE43" s="1470"/>
      <c r="BF43" s="1470"/>
      <c r="BG43" s="1470"/>
      <c r="BH43" s="1470"/>
      <c r="BI43" s="1470"/>
      <c r="BJ43" s="1470"/>
      <c r="BK43" s="1470"/>
      <c r="BL43" s="1470"/>
      <c r="BM43" s="1470"/>
    </row>
    <row r="44" spans="1:65" ht="10.5" hidden="1" customHeight="1" outlineLevel="2">
      <c r="A44" s="1487"/>
      <c r="B44" s="1548"/>
      <c r="C44" s="1548"/>
      <c r="D44" s="1548"/>
      <c r="E44" s="1548"/>
      <c r="F44" s="1548"/>
      <c r="G44" s="1548"/>
      <c r="H44" s="1548"/>
      <c r="I44" s="1564" t="s">
        <v>763</v>
      </c>
      <c r="J44" s="1548"/>
      <c r="K44" s="1548"/>
      <c r="L44" s="1548"/>
      <c r="M44" s="1548"/>
      <c r="N44" s="1548"/>
      <c r="O44" s="1551"/>
      <c r="P44" s="1499"/>
      <c r="Q44" s="1499"/>
      <c r="R44" s="1548"/>
      <c r="S44" s="1499"/>
      <c r="T44" s="1487"/>
      <c r="U44" s="1487"/>
      <c r="V44" s="1487"/>
      <c r="W44" s="1479"/>
      <c r="X44" s="1564"/>
      <c r="Y44" s="1548"/>
      <c r="Z44" s="1499"/>
      <c r="AA44" s="1499"/>
      <c r="AB44" s="1499"/>
      <c r="AC44" s="1499"/>
      <c r="AD44" s="1551"/>
      <c r="AE44" s="1499"/>
      <c r="AF44" s="1499"/>
      <c r="AG44" s="1499"/>
      <c r="AH44" s="1499"/>
      <c r="AI44" s="1496"/>
      <c r="AJ44" s="1496"/>
      <c r="AK44" s="1496"/>
      <c r="AL44" s="1487"/>
      <c r="AM44" s="1487"/>
      <c r="AN44" s="1496"/>
      <c r="AO44" s="1487"/>
      <c r="AP44" s="1487"/>
      <c r="AQ44" s="1487"/>
      <c r="AR44" s="1487"/>
      <c r="AS44" s="1487"/>
      <c r="AT44" s="1487"/>
      <c r="AU44" s="1487"/>
      <c r="AV44" s="1473"/>
      <c r="AW44" s="1487"/>
      <c r="AX44" s="1487"/>
      <c r="AY44" s="1487"/>
      <c r="AZ44" s="1487"/>
      <c r="BA44" s="1487"/>
      <c r="BB44" s="1487"/>
      <c r="BC44" s="1487"/>
      <c r="BD44" s="1487"/>
      <c r="BE44" s="1487"/>
      <c r="BF44" s="1487"/>
      <c r="BG44" s="1487"/>
      <c r="BH44" s="1487"/>
      <c r="BI44" s="1487"/>
      <c r="BJ44" s="1487"/>
      <c r="BK44" s="1487"/>
      <c r="BL44" s="1487"/>
      <c r="BM44" s="1487"/>
    </row>
    <row r="45" spans="1:65" ht="10.5" hidden="1" customHeight="1" outlineLevel="2">
      <c r="A45" s="1531" t="s">
        <v>758</v>
      </c>
      <c r="B45" s="1470"/>
      <c r="C45" s="1565">
        <f>(R45/R38-1)*100</f>
        <v>10.270033388981625</v>
      </c>
      <c r="D45" s="1565" t="s">
        <v>697</v>
      </c>
      <c r="E45" s="1565">
        <v>4.8</v>
      </c>
      <c r="F45" s="1565" t="s">
        <v>697</v>
      </c>
      <c r="G45" s="1565">
        <f>C45-E45</f>
        <v>5.4700333889816255</v>
      </c>
      <c r="H45" s="1470" t="s">
        <v>697</v>
      </c>
      <c r="I45" s="1566">
        <v>251</v>
      </c>
      <c r="J45" s="1567"/>
      <c r="K45" s="1534">
        <f>(I41+I45)/2</f>
        <v>247</v>
      </c>
      <c r="L45" s="1567"/>
      <c r="M45" s="1534">
        <f>(K45/K38-1)*100</f>
        <v>8.8105726872246706</v>
      </c>
      <c r="N45" s="1470" t="s">
        <v>697</v>
      </c>
      <c r="O45" s="1528">
        <f>G45/M45*100</f>
        <v>62.084878964941446</v>
      </c>
      <c r="P45" s="1472" t="s">
        <v>697</v>
      </c>
      <c r="Q45" s="1472"/>
      <c r="R45" s="1538">
        <v>264.20699999999999</v>
      </c>
      <c r="S45" s="1538"/>
      <c r="T45" s="1539">
        <f xml:space="preserve"> R45/K45</f>
        <v>1.069663967611336</v>
      </c>
      <c r="U45" s="1479"/>
      <c r="V45" s="1555">
        <f>T45/T38-1</f>
        <v>1.3412857461491123E-2</v>
      </c>
      <c r="W45" s="1530"/>
      <c r="X45" s="1566"/>
      <c r="Y45" s="1567"/>
      <c r="Z45" s="1541"/>
      <c r="AA45" s="1568"/>
      <c r="AB45" s="1541"/>
      <c r="AC45" s="1472"/>
      <c r="AD45" s="1528"/>
      <c r="AE45" s="1472"/>
      <c r="AF45" s="1472"/>
      <c r="AG45" s="1538"/>
      <c r="AH45" s="1538"/>
      <c r="AI45" s="1542"/>
      <c r="AJ45" s="1543"/>
      <c r="AK45" s="1558"/>
      <c r="AL45" s="1470"/>
      <c r="AM45" s="1470"/>
      <c r="AN45" s="1472"/>
      <c r="AO45" s="1470"/>
      <c r="AP45" s="1470"/>
      <c r="AQ45" s="1470"/>
      <c r="AR45" s="1470"/>
      <c r="AS45" s="1470"/>
      <c r="AT45" s="1470"/>
      <c r="AU45" s="1470"/>
      <c r="AV45" s="1473"/>
      <c r="AW45" s="1470"/>
      <c r="AX45" s="1206">
        <f>+I45/$AX$9</f>
        <v>0.20573770491803278</v>
      </c>
      <c r="AY45" s="1470"/>
      <c r="AZ45" s="1470"/>
      <c r="BA45" s="1470"/>
      <c r="BB45" s="1470"/>
      <c r="BC45" s="1470"/>
      <c r="BD45" s="1470"/>
      <c r="BE45" s="1470"/>
      <c r="BF45" s="1470"/>
      <c r="BG45" s="1470"/>
      <c r="BH45" s="1470"/>
      <c r="BI45" s="1470"/>
      <c r="BJ45" s="1470"/>
      <c r="BK45" s="1470"/>
      <c r="BL45" s="1470"/>
      <c r="BM45" s="1470"/>
    </row>
    <row r="46" spans="1:65" ht="10.5" hidden="1" customHeight="1" outlineLevel="2">
      <c r="A46" s="1531" t="s">
        <v>759</v>
      </c>
      <c r="B46" s="1470"/>
      <c r="C46" s="1565">
        <f>(R46/R39-1)*100</f>
        <v>13.165075281285677</v>
      </c>
      <c r="D46" s="1565"/>
      <c r="E46" s="1565">
        <v>1.4</v>
      </c>
      <c r="F46" s="1565"/>
      <c r="G46" s="1565">
        <f>C46-E46</f>
        <v>11.765075281285677</v>
      </c>
      <c r="H46" s="1470"/>
      <c r="I46" s="1569">
        <v>257</v>
      </c>
      <c r="J46" s="1567"/>
      <c r="K46" s="1534">
        <f>(I46+I45)/2</f>
        <v>254</v>
      </c>
      <c r="L46" s="1567"/>
      <c r="M46" s="1534">
        <f>(K46/K39-1)*100</f>
        <v>9.0128755364806921</v>
      </c>
      <c r="N46" s="1470"/>
      <c r="O46" s="1528">
        <f>G46/M46*100</f>
        <v>130.53631145426482</v>
      </c>
      <c r="P46" s="1472"/>
      <c r="Q46" s="1472"/>
      <c r="R46" s="1557">
        <v>312.29599999999999</v>
      </c>
      <c r="S46" s="1557"/>
      <c r="T46" s="1255">
        <f xml:space="preserve"> R46/K46</f>
        <v>1.2295118110236221</v>
      </c>
      <c r="U46" s="1479"/>
      <c r="V46" s="1555">
        <f>T46/T39-1</f>
        <v>3.8089076399195454E-2</v>
      </c>
      <c r="W46" s="1479"/>
      <c r="X46" s="1569"/>
      <c r="Y46" s="1567"/>
      <c r="Z46" s="1541"/>
      <c r="AA46" s="1568"/>
      <c r="AB46" s="1541"/>
      <c r="AC46" s="1472"/>
      <c r="AD46" s="1528"/>
      <c r="AE46" s="1472"/>
      <c r="AF46" s="1472"/>
      <c r="AG46" s="1557"/>
      <c r="AH46" s="1557"/>
      <c r="AI46" s="1399"/>
      <c r="AJ46" s="1543"/>
      <c r="AK46" s="1558"/>
      <c r="AL46" s="1470"/>
      <c r="AM46" s="1470"/>
      <c r="AN46" s="1472"/>
      <c r="AO46" s="1470"/>
      <c r="AP46" s="1470"/>
      <c r="AQ46" s="1470"/>
      <c r="AR46" s="1470"/>
      <c r="AS46" s="1470"/>
      <c r="AT46" s="1470"/>
      <c r="AU46" s="1470"/>
      <c r="AV46" s="1473"/>
      <c r="AW46" s="1470"/>
      <c r="AX46" s="1206">
        <f>+I46/$AX$9</f>
        <v>0.21065573770491802</v>
      </c>
      <c r="AY46" s="1470"/>
      <c r="AZ46" s="1470"/>
      <c r="BA46" s="1470"/>
      <c r="BB46" s="1470"/>
      <c r="BC46" s="1470"/>
      <c r="BD46" s="1470"/>
      <c r="BE46" s="1470"/>
      <c r="BF46" s="1470"/>
      <c r="BG46" s="1470"/>
      <c r="BH46" s="1470"/>
      <c r="BI46" s="1470"/>
      <c r="BJ46" s="1470"/>
      <c r="BK46" s="1470"/>
      <c r="BL46" s="1470"/>
      <c r="BM46" s="1470"/>
    </row>
    <row r="47" spans="1:65" ht="10.5" hidden="1" customHeight="1" outlineLevel="2">
      <c r="A47" s="1531" t="s">
        <v>760</v>
      </c>
      <c r="B47" s="1470"/>
      <c r="C47" s="1565">
        <f>(R47/R40-1)*100</f>
        <v>12.490932764013873</v>
      </c>
      <c r="D47" s="1565"/>
      <c r="E47" s="1565">
        <v>5.7</v>
      </c>
      <c r="F47" s="1565"/>
      <c r="G47" s="1565">
        <f>C47-E47</f>
        <v>6.7909327640138732</v>
      </c>
      <c r="H47" s="1470"/>
      <c r="I47" s="1569">
        <v>276</v>
      </c>
      <c r="J47" s="1567"/>
      <c r="K47" s="1534">
        <f>(I47+I46)/2</f>
        <v>266.5</v>
      </c>
      <c r="L47" s="1567"/>
      <c r="M47" s="1534">
        <f>(K47/K40-1)*100</f>
        <v>11.506276150627626</v>
      </c>
      <c r="N47" s="1470"/>
      <c r="O47" s="1528">
        <f>G47/M47*100</f>
        <v>59.019379294520512</v>
      </c>
      <c r="P47" s="1472"/>
      <c r="Q47" s="1472"/>
      <c r="R47" s="1557">
        <v>294.95999999999998</v>
      </c>
      <c r="S47" s="1557"/>
      <c r="T47" s="1255">
        <f xml:space="preserve"> R47/K47</f>
        <v>1.1067917448405253</v>
      </c>
      <c r="U47" s="1479"/>
      <c r="V47" s="1555">
        <f>T47/T40-1</f>
        <v>8.8305039624509973E-3</v>
      </c>
      <c r="W47" s="1479"/>
      <c r="X47" s="1569"/>
      <c r="Y47" s="1567"/>
      <c r="Z47" s="1541"/>
      <c r="AA47" s="1568"/>
      <c r="AB47" s="1541"/>
      <c r="AC47" s="1472"/>
      <c r="AD47" s="1528"/>
      <c r="AE47" s="1472"/>
      <c r="AF47" s="1472"/>
      <c r="AG47" s="1557"/>
      <c r="AH47" s="1557"/>
      <c r="AI47" s="1399"/>
      <c r="AJ47" s="1543"/>
      <c r="AK47" s="1558"/>
      <c r="AL47" s="1470"/>
      <c r="AM47" s="1470"/>
      <c r="AN47" s="1472"/>
      <c r="AO47" s="1470"/>
      <c r="AP47" s="1470"/>
      <c r="AQ47" s="1470"/>
      <c r="AR47" s="1470"/>
      <c r="AS47" s="1470"/>
      <c r="AT47" s="1470"/>
      <c r="AU47" s="1470"/>
      <c r="AV47" s="1473"/>
      <c r="AW47" s="1470"/>
      <c r="AX47" s="1206">
        <f>+I47/$AX$9</f>
        <v>0.2262295081967213</v>
      </c>
      <c r="AY47" s="1470"/>
      <c r="AZ47" s="1470"/>
      <c r="BA47" s="1470"/>
      <c r="BB47" s="1470"/>
      <c r="BC47" s="1470"/>
      <c r="BD47" s="1470"/>
      <c r="BE47" s="1470"/>
      <c r="BF47" s="1470"/>
      <c r="BG47" s="1470"/>
      <c r="BH47" s="1470"/>
      <c r="BI47" s="1470"/>
      <c r="BJ47" s="1470"/>
      <c r="BK47" s="1470"/>
      <c r="BL47" s="1470"/>
      <c r="BM47" s="1470"/>
    </row>
    <row r="48" spans="1:65" ht="10.5" hidden="1" customHeight="1" outlineLevel="2">
      <c r="A48" s="1531" t="s">
        <v>761</v>
      </c>
      <c r="B48" s="1470"/>
      <c r="C48" s="1570">
        <f>(R48/R41-1)*100</f>
        <v>13.586988091780405</v>
      </c>
      <c r="D48" s="1565"/>
      <c r="E48" s="1570">
        <v>-1</v>
      </c>
      <c r="F48" s="1565"/>
      <c r="G48" s="1570">
        <f>C48-E48</f>
        <v>14.586988091780405</v>
      </c>
      <c r="H48" s="1470"/>
      <c r="I48" s="1569">
        <v>275</v>
      </c>
      <c r="J48" s="1567"/>
      <c r="K48" s="1545">
        <f>(I48+I47)/2</f>
        <v>275.5</v>
      </c>
      <c r="L48" s="1567"/>
      <c r="M48" s="1545">
        <f>(K48/K41-1)*100</f>
        <v>13.374485596707819</v>
      </c>
      <c r="N48" s="1470"/>
      <c r="O48" s="1528">
        <f>G48/M48*100</f>
        <v>109.06578788623503</v>
      </c>
      <c r="P48" s="1472"/>
      <c r="Q48" s="1472"/>
      <c r="R48" s="1544">
        <v>391.08</v>
      </c>
      <c r="S48" s="1557"/>
      <c r="T48" s="1562">
        <f xml:space="preserve"> R48/K48</f>
        <v>1.4195281306715064</v>
      </c>
      <c r="U48" s="1479"/>
      <c r="V48" s="1563">
        <f>T48/T41-1</f>
        <v>1.8743414265931513E-3</v>
      </c>
      <c r="W48" s="1479"/>
      <c r="X48" s="1569"/>
      <c r="Y48" s="1567"/>
      <c r="Z48" s="1541"/>
      <c r="AA48" s="1568"/>
      <c r="AB48" s="1541"/>
      <c r="AC48" s="1472"/>
      <c r="AD48" s="1528"/>
      <c r="AE48" s="1472"/>
      <c r="AF48" s="1472"/>
      <c r="AG48" s="1557"/>
      <c r="AH48" s="1557"/>
      <c r="AI48" s="1399"/>
      <c r="AJ48" s="1543"/>
      <c r="AK48" s="1560"/>
      <c r="AL48" s="1470"/>
      <c r="AM48" s="1470"/>
      <c r="AN48" s="1472"/>
      <c r="AO48" s="1470"/>
      <c r="AP48" s="1470"/>
      <c r="AQ48" s="1470"/>
      <c r="AR48" s="1470"/>
      <c r="AS48" s="1470"/>
      <c r="AT48" s="1470"/>
      <c r="AU48" s="1470"/>
      <c r="AV48" s="1473"/>
      <c r="AW48" s="1470"/>
      <c r="AX48" s="1206">
        <f>+I48/$AX$9</f>
        <v>0.22540983606557377</v>
      </c>
      <c r="AY48" s="1470"/>
      <c r="AZ48" s="1470"/>
      <c r="BA48" s="1470"/>
      <c r="BB48" s="1470"/>
      <c r="BC48" s="1470"/>
      <c r="BD48" s="1470"/>
      <c r="BE48" s="1470"/>
      <c r="BF48" s="1470"/>
      <c r="BG48" s="1470"/>
      <c r="BH48" s="1470"/>
      <c r="BI48" s="1470"/>
      <c r="BJ48" s="1470"/>
      <c r="BK48" s="1470"/>
      <c r="BL48" s="1470"/>
      <c r="BM48" s="1470"/>
    </row>
    <row r="49" spans="1:65" ht="10.5" hidden="1" customHeight="1" outlineLevel="2">
      <c r="A49" s="1531" t="s">
        <v>762</v>
      </c>
      <c r="B49" s="1470"/>
      <c r="C49" s="1532">
        <f>(R49/R42-1)*100</f>
        <v>12.518813396064843</v>
      </c>
      <c r="D49" s="1470"/>
      <c r="E49" s="1532">
        <f>R45/R49*E45+R46/R49*E46+R47/R49*E47+R48/R49*E48</f>
        <v>2.3726716634601752</v>
      </c>
      <c r="F49" s="1470"/>
      <c r="G49" s="1532">
        <f>C49-E49</f>
        <v>10.146141732604669</v>
      </c>
      <c r="H49" s="1470"/>
      <c r="I49" s="1470"/>
      <c r="J49" s="1470"/>
      <c r="K49" s="1534">
        <f>AVERAGEA(K45:K48)</f>
        <v>260.75</v>
      </c>
      <c r="L49" s="1470"/>
      <c r="M49" s="1534">
        <f>(K49/K42-1)*100</f>
        <v>10.721868365180477</v>
      </c>
      <c r="N49" s="1470"/>
      <c r="O49" s="1535">
        <f>(G49/M49)*100</f>
        <v>94.630351605085039</v>
      </c>
      <c r="P49" s="1472"/>
      <c r="Q49" s="1472"/>
      <c r="R49" s="1537">
        <f>SUM(R45:R48)</f>
        <v>1262.5429999999999</v>
      </c>
      <c r="S49" s="1538"/>
      <c r="T49" s="1539">
        <f>SUM(T45:T48)</f>
        <v>4.82549565414699</v>
      </c>
      <c r="U49" s="1479"/>
      <c r="V49" s="1555">
        <f>T49/T42-1</f>
        <v>1.5064259434245608E-2</v>
      </c>
      <c r="W49" s="1479"/>
      <c r="X49" s="1470"/>
      <c r="Y49" s="1470"/>
      <c r="Z49" s="1541"/>
      <c r="AA49" s="1472"/>
      <c r="AB49" s="1541"/>
      <c r="AC49" s="1472"/>
      <c r="AD49" s="1535"/>
      <c r="AE49" s="1472"/>
      <c r="AF49" s="1472"/>
      <c r="AG49" s="1538"/>
      <c r="AH49" s="1538"/>
      <c r="AI49" s="1542"/>
      <c r="AJ49" s="1543"/>
      <c r="AK49" s="1558"/>
      <c r="AL49" s="1470"/>
      <c r="AM49" s="1470"/>
      <c r="AN49" s="1472"/>
      <c r="AO49" s="1470"/>
      <c r="AP49" s="1470"/>
      <c r="AQ49" s="1470"/>
      <c r="AR49" s="1470"/>
      <c r="AS49" s="1470"/>
      <c r="AT49" s="1470"/>
      <c r="AU49" s="1470"/>
      <c r="AV49" s="1473"/>
      <c r="AW49" s="1470"/>
      <c r="AX49" s="1470"/>
      <c r="AY49" s="1470"/>
      <c r="AZ49" s="1470"/>
      <c r="BA49" s="1470"/>
      <c r="BB49" s="1470"/>
      <c r="BC49" s="1470"/>
      <c r="BD49" s="1470"/>
      <c r="BE49" s="1470"/>
      <c r="BF49" s="1470"/>
      <c r="BG49" s="1470"/>
      <c r="BH49" s="1470"/>
      <c r="BI49" s="1470"/>
      <c r="BJ49" s="1470"/>
      <c r="BK49" s="1470"/>
      <c r="BL49" s="1470"/>
      <c r="BM49" s="1470"/>
    </row>
    <row r="50" spans="1:65" ht="10.5" hidden="1" customHeight="1" outlineLevel="2">
      <c r="A50" s="1470"/>
      <c r="B50" s="1470"/>
      <c r="C50" s="1470"/>
      <c r="D50" s="1470"/>
      <c r="E50" s="1470"/>
      <c r="F50" s="1470"/>
      <c r="G50" s="1470"/>
      <c r="H50" s="1470"/>
      <c r="I50" s="1470"/>
      <c r="J50" s="1470"/>
      <c r="K50" s="1470"/>
      <c r="L50" s="1470"/>
      <c r="M50" s="1567"/>
      <c r="N50" s="1470"/>
      <c r="O50" s="1528"/>
      <c r="P50" s="1472"/>
      <c r="Q50" s="1472"/>
      <c r="R50" s="1470"/>
      <c r="S50" s="1472"/>
      <c r="T50" s="1479"/>
      <c r="U50" s="1479"/>
      <c r="V50" s="1479"/>
      <c r="W50" s="1479"/>
      <c r="X50" s="1470"/>
      <c r="Y50" s="1470"/>
      <c r="Z50" s="1470"/>
      <c r="AA50" s="1470"/>
      <c r="AB50" s="1567"/>
      <c r="AC50" s="1470"/>
      <c r="AD50" s="1528"/>
      <c r="AE50" s="1472"/>
      <c r="AF50" s="1472"/>
      <c r="AG50" s="1470"/>
      <c r="AH50" s="1472"/>
      <c r="AI50" s="1479"/>
      <c r="AJ50" s="1479"/>
      <c r="AK50" s="1479"/>
      <c r="AL50" s="1470"/>
      <c r="AM50" s="1470"/>
      <c r="AN50" s="1472"/>
      <c r="AO50" s="1470"/>
      <c r="AP50" s="1470"/>
      <c r="AQ50" s="1470"/>
      <c r="AR50" s="1470"/>
      <c r="AS50" s="1470"/>
      <c r="AT50" s="1470"/>
      <c r="AU50" s="1470"/>
      <c r="AV50" s="1473"/>
      <c r="AW50" s="1470"/>
      <c r="AX50" s="1470"/>
      <c r="AY50" s="1470"/>
      <c r="AZ50" s="1470"/>
      <c r="BA50" s="1470"/>
      <c r="BB50" s="1470"/>
      <c r="BC50" s="1470"/>
      <c r="BD50" s="1470"/>
      <c r="BE50" s="1470"/>
      <c r="BF50" s="1470"/>
      <c r="BG50" s="1470"/>
      <c r="BH50" s="1470"/>
      <c r="BI50" s="1470"/>
      <c r="BJ50" s="1470"/>
      <c r="BK50" s="1470"/>
      <c r="BL50" s="1470"/>
      <c r="BM50" s="1470"/>
    </row>
    <row r="51" spans="1:65" ht="10.5" hidden="1" customHeight="1" outlineLevel="2">
      <c r="A51" s="1487"/>
      <c r="B51" s="1499"/>
      <c r="C51" s="1499"/>
      <c r="D51" s="1499"/>
      <c r="E51" s="1499"/>
      <c r="F51" s="1499"/>
      <c r="G51" s="1499"/>
      <c r="H51" s="1499"/>
      <c r="I51" s="1571" t="s">
        <v>764</v>
      </c>
      <c r="J51" s="1499"/>
      <c r="K51" s="1499"/>
      <c r="L51" s="1499"/>
      <c r="M51" s="1572"/>
      <c r="N51" s="1499"/>
      <c r="O51" s="1551"/>
      <c r="P51" s="1499"/>
      <c r="Q51" s="1499"/>
      <c r="R51" s="1499"/>
      <c r="S51" s="1499"/>
      <c r="T51" s="1487"/>
      <c r="U51" s="1487"/>
      <c r="V51" s="1487"/>
      <c r="W51" s="1479"/>
      <c r="X51" s="1571"/>
      <c r="Y51" s="1499"/>
      <c r="Z51" s="1499"/>
      <c r="AA51" s="1499"/>
      <c r="AB51" s="1572"/>
      <c r="AC51" s="1499"/>
      <c r="AD51" s="1551"/>
      <c r="AE51" s="1499"/>
      <c r="AF51" s="1499"/>
      <c r="AG51" s="1499"/>
      <c r="AH51" s="1499"/>
      <c r="AI51" s="1487"/>
      <c r="AJ51" s="1487"/>
      <c r="AK51" s="1487"/>
      <c r="AL51" s="1487"/>
      <c r="AM51" s="1487"/>
      <c r="AN51" s="1496"/>
      <c r="AO51" s="1487"/>
      <c r="AP51" s="1487"/>
      <c r="AQ51" s="1487"/>
      <c r="AR51" s="1487"/>
      <c r="AS51" s="1487"/>
      <c r="AT51" s="1487"/>
      <c r="AU51" s="1487"/>
      <c r="AV51" s="1473"/>
      <c r="AW51" s="1487"/>
      <c r="AX51" s="1487"/>
      <c r="AY51" s="1487"/>
      <c r="AZ51" s="1487"/>
      <c r="BA51" s="1487"/>
      <c r="BB51" s="1487"/>
      <c r="BC51" s="1487"/>
      <c r="BD51" s="1487"/>
      <c r="BE51" s="1487"/>
      <c r="BF51" s="1487"/>
      <c r="BG51" s="1487"/>
      <c r="BH51" s="1487"/>
      <c r="BI51" s="1487"/>
      <c r="BJ51" s="1487"/>
      <c r="BK51" s="1487"/>
      <c r="BL51" s="1487"/>
      <c r="BM51" s="1487"/>
    </row>
    <row r="52" spans="1:65" ht="10.5" hidden="1" customHeight="1" outlineLevel="2">
      <c r="A52" s="1531" t="s">
        <v>758</v>
      </c>
      <c r="B52" s="1573"/>
      <c r="C52" s="1565" t="s">
        <v>69</v>
      </c>
      <c r="D52" s="1573" t="s">
        <v>697</v>
      </c>
      <c r="E52" s="1565">
        <v>8.4</v>
      </c>
      <c r="F52" s="1573" t="s">
        <v>697</v>
      </c>
      <c r="G52" s="1565">
        <f>C52-E52</f>
        <v>-8.4</v>
      </c>
      <c r="H52" s="1573" t="s">
        <v>697</v>
      </c>
      <c r="I52" s="1566">
        <v>273</v>
      </c>
      <c r="J52" s="1573"/>
      <c r="K52" s="1534">
        <f>(I52+I48)/2</f>
        <v>274</v>
      </c>
      <c r="L52" s="1573"/>
      <c r="M52" s="1534">
        <f>(K52/K45-1)*100</f>
        <v>10.931174089068829</v>
      </c>
      <c r="N52" s="1573" t="s">
        <v>697</v>
      </c>
      <c r="O52" s="1535">
        <f>(G52/M52)*100</f>
        <v>-76.84444444444442</v>
      </c>
      <c r="P52" s="1573" t="s">
        <v>697</v>
      </c>
      <c r="Q52" s="1573"/>
      <c r="R52" s="1538">
        <f>'qtrP&amp;L'!C10</f>
        <v>48.417000000000002</v>
      </c>
      <c r="S52" s="1538"/>
      <c r="T52" s="1539">
        <f xml:space="preserve"> R52/K52</f>
        <v>0.1767043795620438</v>
      </c>
      <c r="U52" s="1479"/>
      <c r="V52" s="1555">
        <f>T52/T45-1</f>
        <v>-0.83480384035311395</v>
      </c>
      <c r="W52" s="1530"/>
      <c r="X52" s="1566"/>
      <c r="Y52" s="1573"/>
      <c r="Z52" s="1574">
        <f>(X52+X48)/2</f>
        <v>0</v>
      </c>
      <c r="AA52" s="1573"/>
      <c r="AB52" s="1534" t="e">
        <f>(Z52/Z45-1)*100</f>
        <v>#DIV/0!</v>
      </c>
      <c r="AC52" s="1573" t="s">
        <v>697</v>
      </c>
      <c r="AD52" s="1535" t="e">
        <f>(V52/AB52)*100</f>
        <v>#DIV/0!</v>
      </c>
      <c r="AE52" s="1573" t="s">
        <v>697</v>
      </c>
      <c r="AF52" s="1573"/>
      <c r="AG52" s="1538">
        <f>'qtrP&amp;L'!R10</f>
        <v>0</v>
      </c>
      <c r="AH52" s="1538"/>
      <c r="AI52" s="1539" t="e">
        <f xml:space="preserve"> AG52/Z52</f>
        <v>#DIV/0!</v>
      </c>
      <c r="AJ52" s="1479"/>
      <c r="AK52" s="1555" t="e">
        <f>AI52/AI45-1</f>
        <v>#DIV/0!</v>
      </c>
      <c r="AL52" s="1470"/>
      <c r="AM52" s="1470"/>
      <c r="AN52" s="1472"/>
      <c r="AO52" s="1470"/>
      <c r="AP52" s="1470"/>
      <c r="AQ52" s="1470"/>
      <c r="AR52" s="1470"/>
      <c r="AS52" s="1470"/>
      <c r="AT52" s="1470"/>
      <c r="AU52" s="1470"/>
      <c r="AV52" s="1473"/>
      <c r="AW52" s="1470"/>
      <c r="AX52" s="1206">
        <f>+I52/$AX$9</f>
        <v>0.22377049180327868</v>
      </c>
      <c r="AY52" s="1470"/>
      <c r="AZ52" s="1470"/>
      <c r="BA52" s="1470"/>
      <c r="BB52" s="1470"/>
      <c r="BC52" s="1470"/>
      <c r="BD52" s="1470"/>
      <c r="BE52" s="1470"/>
      <c r="BF52" s="1470"/>
      <c r="BG52" s="1470"/>
      <c r="BH52" s="1470"/>
      <c r="BI52" s="1470"/>
      <c r="BJ52" s="1470"/>
      <c r="BK52" s="1470"/>
      <c r="BL52" s="1470"/>
      <c r="BM52" s="1470"/>
    </row>
    <row r="53" spans="1:65" ht="10.5" hidden="1" customHeight="1" outlineLevel="2">
      <c r="A53" s="1531" t="s">
        <v>759</v>
      </c>
      <c r="B53" s="1573"/>
      <c r="C53" s="1565" t="s">
        <v>69</v>
      </c>
      <c r="D53" s="1573"/>
      <c r="E53" s="1565">
        <v>5.9</v>
      </c>
      <c r="F53" s="1573"/>
      <c r="G53" s="1565">
        <f>C53-E53</f>
        <v>-5.9</v>
      </c>
      <c r="H53" s="1573"/>
      <c r="I53" s="1569">
        <v>297</v>
      </c>
      <c r="J53" s="1573"/>
      <c r="K53" s="1534">
        <f>AVERAGEA(I52,I53)</f>
        <v>285</v>
      </c>
      <c r="L53" s="1573"/>
      <c r="M53" s="1534">
        <f>(K53/K46-1)*100</f>
        <v>12.204724409448819</v>
      </c>
      <c r="N53" s="1573"/>
      <c r="O53" s="1535">
        <f>(G53/M53)*100</f>
        <v>-48.341935483870976</v>
      </c>
      <c r="P53" s="1573"/>
      <c r="Q53" s="1573"/>
      <c r="R53" s="1557">
        <f>'qtrP&amp;L'!C11</f>
        <v>65.337000000000003</v>
      </c>
      <c r="S53" s="1557"/>
      <c r="T53" s="1255">
        <f xml:space="preserve"> R53/K53</f>
        <v>0.22925263157894737</v>
      </c>
      <c r="U53" s="1479"/>
      <c r="V53" s="1555">
        <f>T53/T46-1</f>
        <v>-0.81354174110122246</v>
      </c>
      <c r="W53" s="1479"/>
      <c r="X53" s="1569"/>
      <c r="Y53" s="1573"/>
      <c r="Z53" s="1574" t="e">
        <f>AVERAGEA(X52,X53)</f>
        <v>#DIV/0!</v>
      </c>
      <c r="AA53" s="1573"/>
      <c r="AB53" s="1534" t="e">
        <f>(Z53/Z46-1)*100</f>
        <v>#DIV/0!</v>
      </c>
      <c r="AC53" s="1573"/>
      <c r="AD53" s="1535" t="e">
        <f>(V53/AB53)*100</f>
        <v>#DIV/0!</v>
      </c>
      <c r="AE53" s="1573"/>
      <c r="AF53" s="1573"/>
      <c r="AG53" s="1557">
        <f>'qtrP&amp;L'!R11</f>
        <v>0</v>
      </c>
      <c r="AH53" s="1557"/>
      <c r="AI53" s="1255" t="e">
        <f xml:space="preserve"> AG53/Z53</f>
        <v>#DIV/0!</v>
      </c>
      <c r="AJ53" s="1479"/>
      <c r="AK53" s="1555" t="e">
        <f>AI53/AI46-1</f>
        <v>#DIV/0!</v>
      </c>
      <c r="AL53" s="1470"/>
      <c r="AM53" s="1470"/>
      <c r="AN53" s="1472"/>
      <c r="AO53" s="1470"/>
      <c r="AP53" s="1470"/>
      <c r="AQ53" s="1470"/>
      <c r="AR53" s="1470"/>
      <c r="AS53" s="1470"/>
      <c r="AT53" s="1470"/>
      <c r="AU53" s="1470"/>
      <c r="AV53" s="1473"/>
      <c r="AW53" s="1470"/>
      <c r="AX53" s="1206">
        <f>+I53/$AX$9</f>
        <v>0.24344262295081967</v>
      </c>
      <c r="AY53" s="1470"/>
      <c r="AZ53" s="1470"/>
      <c r="BA53" s="1470"/>
      <c r="BB53" s="1470"/>
      <c r="BC53" s="1470"/>
      <c r="BD53" s="1470"/>
      <c r="BE53" s="1470"/>
      <c r="BF53" s="1470"/>
      <c r="BG53" s="1470"/>
      <c r="BH53" s="1470"/>
      <c r="BI53" s="1470"/>
      <c r="BJ53" s="1470"/>
      <c r="BK53" s="1470"/>
      <c r="BL53" s="1470"/>
      <c r="BM53" s="1470"/>
    </row>
    <row r="54" spans="1:65" ht="10.5" hidden="1" customHeight="1" outlineLevel="2">
      <c r="A54" s="1531" t="s">
        <v>760</v>
      </c>
      <c r="B54" s="1573"/>
      <c r="C54" s="1565" t="s">
        <v>69</v>
      </c>
      <c r="D54" s="1573"/>
      <c r="E54" s="1575">
        <v>-3.6</v>
      </c>
      <c r="F54" s="1573"/>
      <c r="G54" s="1565">
        <f>C54-E54</f>
        <v>3.6</v>
      </c>
      <c r="H54" s="1573"/>
      <c r="I54" s="1569">
        <v>274</v>
      </c>
      <c r="J54" s="1573"/>
      <c r="K54" s="1534">
        <f>AVERAGEA(I53,I54)</f>
        <v>285.5</v>
      </c>
      <c r="L54" s="1573"/>
      <c r="M54" s="1534">
        <f>(K54/K47-1)*100</f>
        <v>7.129455909943716</v>
      </c>
      <c r="N54" s="1573"/>
      <c r="O54" s="1535">
        <f>(G54/M54)*100</f>
        <v>50.494736842105262</v>
      </c>
      <c r="P54" s="1573"/>
      <c r="Q54" s="1573"/>
      <c r="R54" s="1576">
        <f>'qtrP&amp;L'!C12</f>
        <v>85.885000000000005</v>
      </c>
      <c r="S54" s="1576"/>
      <c r="T54" s="1255">
        <f xml:space="preserve"> R54/K54</f>
        <v>0.30082311733800354</v>
      </c>
      <c r="U54" s="1479"/>
      <c r="V54" s="1555">
        <f>T54/T47-1</f>
        <v>-0.72820260113039748</v>
      </c>
      <c r="W54" s="1479"/>
      <c r="X54" s="1569"/>
      <c r="Y54" s="1573"/>
      <c r="Z54" s="1574" t="e">
        <f>AVERAGEA(X53,X54)</f>
        <v>#DIV/0!</v>
      </c>
      <c r="AA54" s="1573"/>
      <c r="AB54" s="1534" t="e">
        <f>(Z54/Z47-1)*100</f>
        <v>#DIV/0!</v>
      </c>
      <c r="AC54" s="1573"/>
      <c r="AD54" s="1535" t="e">
        <f>(V54/AB54)*100</f>
        <v>#DIV/0!</v>
      </c>
      <c r="AE54" s="1573"/>
      <c r="AF54" s="1573"/>
      <c r="AG54" s="1576">
        <f>'qtrP&amp;L'!R12</f>
        <v>0</v>
      </c>
      <c r="AH54" s="1576"/>
      <c r="AI54" s="1255" t="e">
        <f xml:space="preserve"> AG54/Z54</f>
        <v>#DIV/0!</v>
      </c>
      <c r="AJ54" s="1479"/>
      <c r="AK54" s="1555" t="e">
        <f>AI54/AI47-1</f>
        <v>#DIV/0!</v>
      </c>
      <c r="AL54" s="1470"/>
      <c r="AM54" s="1470"/>
      <c r="AN54" s="1472"/>
      <c r="AO54" s="1470"/>
      <c r="AP54" s="1470"/>
      <c r="AQ54" s="1470"/>
      <c r="AR54" s="1470"/>
      <c r="AS54" s="1470"/>
      <c r="AT54" s="1470"/>
      <c r="AU54" s="1470"/>
      <c r="AV54" s="1473"/>
      <c r="AW54" s="1470"/>
      <c r="AX54" s="1206">
        <f>+I54/$AX$9</f>
        <v>0.22459016393442624</v>
      </c>
      <c r="AY54" s="1470"/>
      <c r="AZ54" s="1470"/>
      <c r="BA54" s="1470"/>
      <c r="BB54" s="1470"/>
      <c r="BC54" s="1470"/>
      <c r="BD54" s="1470"/>
      <c r="BE54" s="1470"/>
      <c r="BF54" s="1470"/>
      <c r="BG54" s="1470"/>
      <c r="BH54" s="1470"/>
      <c r="BI54" s="1470"/>
      <c r="BJ54" s="1470"/>
      <c r="BK54" s="1470"/>
      <c r="BL54" s="1470"/>
      <c r="BM54" s="1470"/>
    </row>
    <row r="55" spans="1:65" ht="10.5" hidden="1" customHeight="1" outlineLevel="2">
      <c r="A55" s="1531" t="s">
        <v>761</v>
      </c>
      <c r="B55" s="1573"/>
      <c r="C55" s="1570" t="s">
        <v>69</v>
      </c>
      <c r="D55" s="1573"/>
      <c r="E55" s="1570">
        <v>9.3000000000000007</v>
      </c>
      <c r="F55" s="1573"/>
      <c r="G55" s="1570">
        <f>C55-E55</f>
        <v>-9.3000000000000007</v>
      </c>
      <c r="H55" s="1573"/>
      <c r="I55" s="1569">
        <v>266</v>
      </c>
      <c r="J55" s="1573"/>
      <c r="K55" s="1545">
        <f>AVERAGEA(I54,I55)</f>
        <v>270</v>
      </c>
      <c r="L55" s="1573"/>
      <c r="M55" s="1545">
        <f>(K55/K48-1)*100</f>
        <v>-1.9963702359346636</v>
      </c>
      <c r="N55" s="1573"/>
      <c r="O55" s="1535">
        <f>(G55/M55)*100</f>
        <v>465.84545454545474</v>
      </c>
      <c r="P55" s="1573"/>
      <c r="Q55" s="1573"/>
      <c r="R55" s="1544">
        <f>'qtrP&amp;L'!C13</f>
        <v>140.684</v>
      </c>
      <c r="S55" s="1557"/>
      <c r="T55" s="1562">
        <f xml:space="preserve"> R55/K55</f>
        <v>0.52105185185185188</v>
      </c>
      <c r="U55" s="1479"/>
      <c r="V55" s="1563">
        <f>T55/T48-1</f>
        <v>-0.63294010129593636</v>
      </c>
      <c r="W55" s="1479"/>
      <c r="X55" s="1574">
        <f>turn!Z14</f>
        <v>1.2008160000000001</v>
      </c>
      <c r="Y55" s="1573"/>
      <c r="Z55" s="1577">
        <f>AVERAGEA(X54,X55)</f>
        <v>1.2008160000000001</v>
      </c>
      <c r="AA55" s="1573"/>
      <c r="AB55" s="1545" t="e">
        <f>(Z55/Z48-1)*100</f>
        <v>#DIV/0!</v>
      </c>
      <c r="AC55" s="1573"/>
      <c r="AD55" s="1535" t="e">
        <f>(V55/AB55)*100</f>
        <v>#DIV/0!</v>
      </c>
      <c r="AE55" s="1573"/>
      <c r="AF55" s="1573"/>
      <c r="AG55" s="1544">
        <f>'qtrP&amp;L'!R13</f>
        <v>0</v>
      </c>
      <c r="AH55" s="1557"/>
      <c r="AI55" s="1562">
        <f xml:space="preserve"> AG55/Z55</f>
        <v>0</v>
      </c>
      <c r="AJ55" s="1479"/>
      <c r="AK55" s="1563" t="e">
        <f>AI55/AI48-1</f>
        <v>#DIV/0!</v>
      </c>
      <c r="AL55" s="1470"/>
      <c r="AM55" s="1470"/>
      <c r="AN55" s="1472"/>
      <c r="AO55" s="1470"/>
      <c r="AP55" s="1470"/>
      <c r="AQ55" s="1470"/>
      <c r="AR55" s="1470"/>
      <c r="AS55" s="1470"/>
      <c r="AT55" s="1470"/>
      <c r="AU55" s="1470"/>
      <c r="AV55" s="1473"/>
      <c r="AW55" s="1470"/>
      <c r="AX55" s="1206">
        <f>+I55/$AX$9</f>
        <v>0.21803278688524591</v>
      </c>
      <c r="AY55" s="1470"/>
      <c r="AZ55" s="1470"/>
      <c r="BA55" s="1470"/>
      <c r="BB55" s="1470"/>
      <c r="BC55" s="1470"/>
      <c r="BD55" s="1470"/>
      <c r="BE55" s="1470"/>
      <c r="BF55" s="1470"/>
      <c r="BG55" s="1470"/>
      <c r="BH55" s="1470"/>
      <c r="BI55" s="1470"/>
      <c r="BJ55" s="1470"/>
      <c r="BK55" s="1470"/>
      <c r="BL55" s="1470"/>
      <c r="BM55" s="1470"/>
    </row>
    <row r="56" spans="1:65" ht="10.5" hidden="1" customHeight="1" outlineLevel="2">
      <c r="A56" s="1531" t="s">
        <v>762</v>
      </c>
      <c r="B56" s="1578"/>
      <c r="C56" s="1565" t="s">
        <v>69</v>
      </c>
      <c r="D56" s="1529"/>
      <c r="E56" s="1579">
        <v>6.6</v>
      </c>
      <c r="F56" s="1470"/>
      <c r="G56" s="1565">
        <f>C56-E56</f>
        <v>-6.6</v>
      </c>
      <c r="H56" s="1470"/>
      <c r="I56" s="1566"/>
      <c r="J56" s="1470"/>
      <c r="K56" s="1534">
        <f>AVERAGEA(K52:K55)</f>
        <v>278.625</v>
      </c>
      <c r="L56" s="1470"/>
      <c r="M56" s="1534">
        <f>(K56/K49-1)*100</f>
        <v>6.855225311601143</v>
      </c>
      <c r="N56" s="1470"/>
      <c r="O56" s="1535">
        <f>(G56/M56)*100</f>
        <v>-96.276923076923183</v>
      </c>
      <c r="P56" s="1472"/>
      <c r="Q56" s="1472"/>
      <c r="R56" s="1537">
        <f>SUM(R52:R55)</f>
        <v>340.32299999999998</v>
      </c>
      <c r="S56" s="1538"/>
      <c r="T56" s="1539">
        <f>SUM(T52:T55)</f>
        <v>1.2278319803308466</v>
      </c>
      <c r="U56" s="1479"/>
      <c r="V56" s="1555">
        <f>T56/T49-1</f>
        <v>-0.74555318907485524</v>
      </c>
      <c r="W56" s="1479"/>
      <c r="X56" s="1566"/>
      <c r="Y56" s="1470"/>
      <c r="Z56" s="1574" t="e">
        <f>AVERAGEA(Z52:Z55)</f>
        <v>#DIV/0!</v>
      </c>
      <c r="AA56" s="1470"/>
      <c r="AB56" s="1534" t="e">
        <f>(Z56/Z49-1)*100</f>
        <v>#DIV/0!</v>
      </c>
      <c r="AC56" s="1470"/>
      <c r="AD56" s="1535" t="e">
        <f>(V56/AB56)*100</f>
        <v>#DIV/0!</v>
      </c>
      <c r="AE56" s="1472"/>
      <c r="AF56" s="1472"/>
      <c r="AG56" s="1537">
        <f>SUM(AG52:AG55)</f>
        <v>0</v>
      </c>
      <c r="AH56" s="1538"/>
      <c r="AI56" s="1539" t="e">
        <f>SUM(AI52:AI55)</f>
        <v>#DIV/0!</v>
      </c>
      <c r="AJ56" s="1479"/>
      <c r="AK56" s="1555" t="e">
        <f>AI56/AI49-1</f>
        <v>#DIV/0!</v>
      </c>
      <c r="AL56" s="1470"/>
      <c r="AM56" s="1470"/>
      <c r="AN56" s="1472"/>
      <c r="AO56" s="1470"/>
      <c r="AP56" s="1470"/>
      <c r="AQ56" s="1470"/>
      <c r="AR56" s="1470"/>
      <c r="AS56" s="1470"/>
      <c r="AT56" s="1470"/>
      <c r="AU56" s="1470"/>
      <c r="AV56" s="1473"/>
      <c r="AW56" s="1470"/>
      <c r="AX56" s="1470"/>
      <c r="AY56" s="1470"/>
      <c r="AZ56" s="1470"/>
      <c r="BA56" s="1470"/>
      <c r="BB56" s="1470"/>
      <c r="BC56" s="1470"/>
      <c r="BD56" s="1470"/>
      <c r="BE56" s="1470"/>
      <c r="BF56" s="1470"/>
      <c r="BG56" s="1470"/>
      <c r="BH56" s="1470"/>
      <c r="BI56" s="1470"/>
      <c r="BJ56" s="1470"/>
      <c r="BK56" s="1470"/>
      <c r="BL56" s="1470"/>
      <c r="BM56" s="1470"/>
    </row>
    <row r="57" spans="1:65" ht="10.5" hidden="1" customHeight="1" outlineLevel="2" collapsed="1">
      <c r="A57" s="1580" t="s">
        <v>152</v>
      </c>
      <c r="B57" s="1499"/>
      <c r="C57" s="1499"/>
      <c r="D57" s="1499"/>
      <c r="E57" s="1499"/>
      <c r="F57" s="1499"/>
      <c r="G57" s="1499"/>
      <c r="H57" s="1499"/>
      <c r="I57" s="1571"/>
      <c r="J57" s="1499"/>
      <c r="K57" s="1499"/>
      <c r="L57" s="1499"/>
      <c r="M57" s="1572"/>
      <c r="N57" s="1499"/>
      <c r="O57" s="1551"/>
      <c r="P57" s="1499"/>
      <c r="Q57" s="1499"/>
      <c r="R57" s="1499"/>
      <c r="S57" s="1499"/>
      <c r="T57" s="1530"/>
      <c r="U57" s="63"/>
      <c r="V57" s="1303"/>
      <c r="W57" s="1479"/>
      <c r="X57" s="1571"/>
      <c r="Y57" s="1499"/>
      <c r="Z57" s="1499"/>
      <c r="AA57" s="1499"/>
      <c r="AB57" s="1572"/>
      <c r="AC57" s="1499"/>
      <c r="AD57" s="1551"/>
      <c r="AE57" s="1499"/>
      <c r="AF57" s="1499"/>
      <c r="AG57" s="1499"/>
      <c r="AH57" s="1499"/>
      <c r="AI57" s="1530"/>
      <c r="AJ57" s="63"/>
      <c r="AK57" s="1303"/>
      <c r="AL57" s="1487"/>
      <c r="AM57" s="1487"/>
      <c r="AN57" s="1496"/>
      <c r="AO57" s="1487"/>
      <c r="AP57" s="1487"/>
      <c r="AQ57" s="1487"/>
      <c r="AR57" s="1487"/>
      <c r="AS57" s="1487"/>
      <c r="AT57" s="1487"/>
      <c r="AU57" s="1487"/>
      <c r="AV57" s="1473"/>
      <c r="AW57" s="1487"/>
      <c r="AX57" s="1487"/>
      <c r="AY57" s="1487"/>
      <c r="AZ57" s="1487"/>
      <c r="BA57" s="1487"/>
      <c r="BB57" s="1487"/>
      <c r="BC57" s="1487"/>
      <c r="BD57" s="1487"/>
      <c r="BE57" s="1487"/>
      <c r="BF57" s="1487"/>
      <c r="BG57" s="1487"/>
      <c r="BH57" s="1487"/>
      <c r="BI57" s="1487"/>
      <c r="BJ57" s="1487"/>
      <c r="BK57" s="1487"/>
      <c r="BL57" s="1487"/>
      <c r="BM57" s="1487"/>
    </row>
    <row r="58" spans="1:65" ht="10.5" hidden="1" customHeight="1" outlineLevel="2">
      <c r="A58" s="1531" t="s">
        <v>758</v>
      </c>
      <c r="B58" s="1573"/>
      <c r="C58" s="1581">
        <f>(R58/R52-1)*100</f>
        <v>12.348968337567378</v>
      </c>
      <c r="D58" s="1573" t="s">
        <v>697</v>
      </c>
      <c r="E58" s="1575">
        <v>10.3</v>
      </c>
      <c r="F58" s="1573" t="s">
        <v>697</v>
      </c>
      <c r="G58" s="1565">
        <f>C58-E58</f>
        <v>2.0489683375673771</v>
      </c>
      <c r="H58" s="1573" t="s">
        <v>697</v>
      </c>
      <c r="I58" s="1582">
        <v>277</v>
      </c>
      <c r="J58" s="1573"/>
      <c r="K58" s="1534">
        <f>(I58+I55)/2</f>
        <v>271.5</v>
      </c>
      <c r="L58" s="1573"/>
      <c r="M58" s="1534">
        <f>(K58/K52-1)*100</f>
        <v>-0.9124087591240837</v>
      </c>
      <c r="N58" s="1573" t="s">
        <v>697</v>
      </c>
      <c r="O58" s="1583" t="s">
        <v>69</v>
      </c>
      <c r="P58" s="1573" t="s">
        <v>697</v>
      </c>
      <c r="Q58" s="1573"/>
      <c r="R58" s="1538">
        <f>'qtrP&amp;L'!G10</f>
        <v>54.396000000000001</v>
      </c>
      <c r="S58" s="1538"/>
      <c r="T58" s="1539">
        <f xml:space="preserve"> R58/K58</f>
        <v>0.200353591160221</v>
      </c>
      <c r="U58" s="1479"/>
      <c r="V58" s="1584">
        <f>T58/T52-1</f>
        <v>0.13383489224653644</v>
      </c>
      <c r="W58" s="1479"/>
      <c r="X58" s="1574">
        <f>turn!Z18</f>
        <v>1.1857899999999999</v>
      </c>
      <c r="Y58" s="1573"/>
      <c r="Z58" s="1574">
        <f>(X58+X55)/2</f>
        <v>1.193303</v>
      </c>
      <c r="AA58" s="1573"/>
      <c r="AB58" s="1534" t="e">
        <f>(Z58/Z52-1)*100</f>
        <v>#DIV/0!</v>
      </c>
      <c r="AC58" s="1573" t="s">
        <v>697</v>
      </c>
      <c r="AD58" s="1583" t="s">
        <v>69</v>
      </c>
      <c r="AE58" s="1573" t="s">
        <v>697</v>
      </c>
      <c r="AF58" s="1573"/>
      <c r="AG58" s="1538">
        <f>R58</f>
        <v>54.396000000000001</v>
      </c>
      <c r="AH58" s="1538"/>
      <c r="AI58" s="1585">
        <f xml:space="preserve"> AG58/Z58</f>
        <v>45.584398933045506</v>
      </c>
      <c r="AJ58" s="1479"/>
      <c r="AK58" s="1584" t="e">
        <f>AI58/AI52-1</f>
        <v>#DIV/0!</v>
      </c>
      <c r="AL58" s="1470"/>
      <c r="AM58" s="1470"/>
      <c r="AN58" s="1472"/>
      <c r="AO58" s="1470"/>
      <c r="AP58" s="1470"/>
      <c r="AQ58" s="1470"/>
      <c r="AR58" s="1470"/>
      <c r="AS58" s="1470"/>
      <c r="AT58" s="1470"/>
      <c r="AU58" s="1470"/>
      <c r="AV58" s="1473"/>
      <c r="AW58" s="1470"/>
      <c r="AX58" s="1206">
        <f>+I58/$AX$9</f>
        <v>0.22704918032786886</v>
      </c>
      <c r="AY58" s="1470"/>
      <c r="AZ58" s="1470"/>
      <c r="BA58" s="1470"/>
      <c r="BB58" s="1470"/>
      <c r="BC58" s="1470"/>
      <c r="BD58" s="1470"/>
      <c r="BE58" s="1470"/>
      <c r="BF58" s="1470"/>
      <c r="BG58" s="1470"/>
      <c r="BH58" s="1470"/>
      <c r="BI58" s="1470"/>
      <c r="BJ58" s="1470"/>
      <c r="BK58" s="1470"/>
      <c r="BL58" s="1470"/>
      <c r="BM58" s="1470"/>
    </row>
    <row r="59" spans="1:65" ht="10.5" hidden="1" customHeight="1" outlineLevel="2">
      <c r="A59" s="1531" t="s">
        <v>759</v>
      </c>
      <c r="B59" s="1573"/>
      <c r="C59" s="1581">
        <f>(R59/R53-1)*100</f>
        <v>7.5301896322145234</v>
      </c>
      <c r="D59" s="1573"/>
      <c r="E59" s="1575">
        <v>10</v>
      </c>
      <c r="F59" s="1573"/>
      <c r="G59" s="1565">
        <f>C59-E59</f>
        <v>-2.4698103677854766</v>
      </c>
      <c r="H59" s="1573"/>
      <c r="I59" s="1586">
        <v>285</v>
      </c>
      <c r="J59" s="1573"/>
      <c r="K59" s="1534">
        <f>AVERAGEA(I58,I59)</f>
        <v>281</v>
      </c>
      <c r="L59" s="1573"/>
      <c r="M59" s="1534">
        <f>(K59/K53-1)*100</f>
        <v>-1.4035087719298289</v>
      </c>
      <c r="N59" s="1573"/>
      <c r="O59" s="1583" t="s">
        <v>69</v>
      </c>
      <c r="P59" s="1573"/>
      <c r="Q59" s="1573"/>
      <c r="R59" s="1557">
        <f>'qtrP&amp;L'!G11</f>
        <v>70.257000000000005</v>
      </c>
      <c r="S59" s="1557"/>
      <c r="T59" s="1255">
        <f xml:space="preserve"> R59/K59</f>
        <v>0.25002491103202851</v>
      </c>
      <c r="U59" s="1479"/>
      <c r="V59" s="1584">
        <f>T59/T53-1</f>
        <v>9.0608684881891222E-2</v>
      </c>
      <c r="W59" s="1479"/>
      <c r="X59" s="1574">
        <f>turn!Z19</f>
        <v>1.214494</v>
      </c>
      <c r="Y59" s="1573"/>
      <c r="Z59" s="1574">
        <f>AVERAGEA(X58,X59)</f>
        <v>1.200142</v>
      </c>
      <c r="AA59" s="1573"/>
      <c r="AB59" s="1534" t="e">
        <f>(Z59/Z53-1)*100</f>
        <v>#DIV/0!</v>
      </c>
      <c r="AC59" s="1573"/>
      <c r="AD59" s="1583" t="s">
        <v>69</v>
      </c>
      <c r="AE59" s="1573"/>
      <c r="AF59" s="1573"/>
      <c r="AG59" s="1557">
        <f>R59</f>
        <v>70.257000000000005</v>
      </c>
      <c r="AH59" s="1557"/>
      <c r="AI59" s="1587">
        <f xml:space="preserve"> AG59/Z59</f>
        <v>58.5405726988973</v>
      </c>
      <c r="AJ59" s="1479"/>
      <c r="AK59" s="1584" t="e">
        <f>AI59/AI53-1</f>
        <v>#DIV/0!</v>
      </c>
      <c r="AL59" s="1470"/>
      <c r="AM59" s="1470"/>
      <c r="AN59" s="1472"/>
      <c r="AO59" s="1470"/>
      <c r="AP59" s="1470"/>
      <c r="AQ59" s="1470"/>
      <c r="AR59" s="1470"/>
      <c r="AS59" s="1470"/>
      <c r="AT59" s="1470"/>
      <c r="AU59" s="1470"/>
      <c r="AV59" s="1473"/>
      <c r="AW59" s="1470"/>
      <c r="AX59" s="1206">
        <f>+I59/$AX$9</f>
        <v>0.23360655737704919</v>
      </c>
      <c r="AY59" s="1470"/>
      <c r="AZ59" s="1470"/>
      <c r="BA59" s="1470"/>
      <c r="BB59" s="1470"/>
      <c r="BC59" s="1470"/>
      <c r="BD59" s="1470"/>
      <c r="BE59" s="1470"/>
      <c r="BF59" s="1470"/>
      <c r="BG59" s="1470"/>
      <c r="BH59" s="1470"/>
      <c r="BI59" s="1470"/>
      <c r="BJ59" s="1470"/>
      <c r="BK59" s="1470"/>
      <c r="BL59" s="1470"/>
      <c r="BM59" s="1470"/>
    </row>
    <row r="60" spans="1:65" ht="10.5" hidden="1" customHeight="1" outlineLevel="2">
      <c r="A60" s="1531" t="s">
        <v>760</v>
      </c>
      <c r="B60" s="1573"/>
      <c r="C60" s="1581">
        <f>(R60/R54-1)*100</f>
        <v>-8.19584327880305</v>
      </c>
      <c r="D60" s="1573"/>
      <c r="E60" s="1575">
        <v>0.8</v>
      </c>
      <c r="F60" s="1573"/>
      <c r="G60" s="1565">
        <f>C60-E60</f>
        <v>-8.9958432788030507</v>
      </c>
      <c r="H60" s="1573"/>
      <c r="I60" s="1586">
        <v>298</v>
      </c>
      <c r="J60" s="1573"/>
      <c r="K60" s="1534">
        <f>AVERAGEA(I59,I60)</f>
        <v>291.5</v>
      </c>
      <c r="L60" s="1573"/>
      <c r="M60" s="1534">
        <f>(K60/K54-1)*100</f>
        <v>2.1015761821365997</v>
      </c>
      <c r="N60" s="1573"/>
      <c r="O60" s="1583" t="s">
        <v>69</v>
      </c>
      <c r="P60" s="1573"/>
      <c r="Q60" s="1573"/>
      <c r="R60" s="1557">
        <f>'qtrP&amp;L'!G12</f>
        <v>78.846000000000004</v>
      </c>
      <c r="S60" s="1557"/>
      <c r="T60" s="1255">
        <f xml:space="preserve"> R60/K60</f>
        <v>0.27048370497427104</v>
      </c>
      <c r="U60" s="1479"/>
      <c r="V60" s="1584">
        <f>T60/T54-1</f>
        <v>-0.10085465715602993</v>
      </c>
      <c r="W60" s="1479"/>
      <c r="X60" s="1574">
        <f>turn!Z20</f>
        <v>1.2442930000000001</v>
      </c>
      <c r="Y60" s="1573"/>
      <c r="Z60" s="1574">
        <f>AVERAGEA(X59,X60)</f>
        <v>1.2293935</v>
      </c>
      <c r="AA60" s="1573"/>
      <c r="AB60" s="1534" t="e">
        <f>(Z60/Z54-1)*100</f>
        <v>#DIV/0!</v>
      </c>
      <c r="AC60" s="1573"/>
      <c r="AD60" s="1583" t="s">
        <v>69</v>
      </c>
      <c r="AE60" s="1573"/>
      <c r="AF60" s="1573"/>
      <c r="AG60" s="1557">
        <f>R60</f>
        <v>78.846000000000004</v>
      </c>
      <c r="AH60" s="1557"/>
      <c r="AI60" s="1587">
        <f xml:space="preserve"> AG60/Z60</f>
        <v>64.134062852943345</v>
      </c>
      <c r="AJ60" s="1479"/>
      <c r="AK60" s="1584" t="e">
        <f>AI60/AI54-1</f>
        <v>#DIV/0!</v>
      </c>
      <c r="AL60" s="1470"/>
      <c r="AM60" s="1470"/>
      <c r="AN60" s="1472"/>
      <c r="AO60" s="1470"/>
      <c r="AP60" s="1470"/>
      <c r="AQ60" s="1470"/>
      <c r="AR60" s="1470"/>
      <c r="AS60" s="1470"/>
      <c r="AT60" s="1470"/>
      <c r="AU60" s="1470"/>
      <c r="AV60" s="1473"/>
      <c r="AW60" s="1470"/>
      <c r="AX60" s="1206">
        <f>+I60/$AX$9</f>
        <v>0.2442622950819672</v>
      </c>
      <c r="AY60" s="1470"/>
      <c r="AZ60" s="1470"/>
      <c r="BA60" s="1470"/>
      <c r="BB60" s="1470"/>
      <c r="BC60" s="1470"/>
      <c r="BD60" s="1470"/>
      <c r="BE60" s="1470"/>
      <c r="BF60" s="1470"/>
      <c r="BG60" s="1470"/>
      <c r="BH60" s="1470"/>
      <c r="BI60" s="1470"/>
      <c r="BJ60" s="1470"/>
      <c r="BK60" s="1470"/>
      <c r="BL60" s="1470"/>
      <c r="BM60" s="1470"/>
    </row>
    <row r="61" spans="1:65" ht="10.5" hidden="1" customHeight="1" outlineLevel="2">
      <c r="A61" s="1531" t="s">
        <v>761</v>
      </c>
      <c r="B61" s="1573"/>
      <c r="C61" s="1570">
        <f>(R61/R55-1)*100</f>
        <v>-12.637542293366689</v>
      </c>
      <c r="D61" s="1573"/>
      <c r="E61" s="1570">
        <v>-12.2</v>
      </c>
      <c r="F61" s="1573"/>
      <c r="G61" s="1570">
        <f>C61-E61</f>
        <v>-0.43754229336668971</v>
      </c>
      <c r="H61" s="1573"/>
      <c r="I61" s="1569">
        <f>yrSales!D19</f>
        <v>303</v>
      </c>
      <c r="J61" s="1573"/>
      <c r="K61" s="1545">
        <f>AVERAGEA(I60,I61)</f>
        <v>300.5</v>
      </c>
      <c r="L61" s="1573"/>
      <c r="M61" s="1545">
        <f>(K61/K55-1)*100</f>
        <v>11.296296296296294</v>
      </c>
      <c r="N61" s="1573"/>
      <c r="O61" s="1588" t="s">
        <v>69</v>
      </c>
      <c r="P61" s="1573"/>
      <c r="Q61" s="1573"/>
      <c r="R61" s="1544">
        <f>'qtrP&amp;L'!G13</f>
        <v>122.905</v>
      </c>
      <c r="S61" s="1557"/>
      <c r="T61" s="1562">
        <f xml:space="preserve"> R61/K61</f>
        <v>0.40900166389351084</v>
      </c>
      <c r="U61" s="1479"/>
      <c r="V61" s="1589">
        <f>T61/T55-1</f>
        <v>-0.21504613707850273</v>
      </c>
      <c r="W61" s="1479"/>
      <c r="X61" s="1574">
        <f>turn!Z21</f>
        <v>1.285598</v>
      </c>
      <c r="Y61" s="1573"/>
      <c r="Z61" s="1577">
        <f>AVERAGEA(X60,X61)</f>
        <v>1.2649455000000001</v>
      </c>
      <c r="AA61" s="1573"/>
      <c r="AB61" s="1545">
        <f>(Z61/Z55-1)*100</f>
        <v>5.3404934644441626</v>
      </c>
      <c r="AC61" s="1573"/>
      <c r="AD61" s="1588" t="s">
        <v>69</v>
      </c>
      <c r="AE61" s="1573"/>
      <c r="AF61" s="1573"/>
      <c r="AG61" s="1544">
        <f>R61</f>
        <v>122.905</v>
      </c>
      <c r="AH61" s="1557"/>
      <c r="AI61" s="1590">
        <f xml:space="preserve"> AG61/Z61</f>
        <v>97.16228881007126</v>
      </c>
      <c r="AJ61" s="1479"/>
      <c r="AK61" s="1589" t="e">
        <f>AI61/AI55-1</f>
        <v>#DIV/0!</v>
      </c>
      <c r="AL61" s="1470"/>
      <c r="AM61" s="1470"/>
      <c r="AN61" s="1472"/>
      <c r="AO61" s="1470"/>
      <c r="AP61" s="1470"/>
      <c r="AQ61" s="1470"/>
      <c r="AR61" s="1470"/>
      <c r="AS61" s="1470"/>
      <c r="AT61" s="1470"/>
      <c r="AU61" s="1470"/>
      <c r="AV61" s="1473"/>
      <c r="AW61" s="1470"/>
      <c r="AX61" s="1206">
        <f>+I61/$AX$9</f>
        <v>0.24836065573770491</v>
      </c>
      <c r="AY61" s="1470"/>
      <c r="AZ61" s="1470"/>
      <c r="BA61" s="1470"/>
      <c r="BB61" s="1470"/>
      <c r="BC61" s="1470"/>
      <c r="BD61" s="1470"/>
      <c r="BE61" s="1470"/>
      <c r="BF61" s="1470"/>
      <c r="BG61" s="1470"/>
      <c r="BH61" s="1470"/>
      <c r="BI61" s="1470"/>
      <c r="BJ61" s="1470"/>
      <c r="BK61" s="1470"/>
      <c r="BL61" s="1470"/>
      <c r="BM61" s="1470"/>
    </row>
    <row r="62" spans="1:65" ht="10.5" hidden="1" customHeight="1" outlineLevel="2">
      <c r="A62" s="1531" t="s">
        <v>762</v>
      </c>
      <c r="B62" s="1578"/>
      <c r="C62" s="1581">
        <f>(R62/R56-1)*100</f>
        <v>-4.0899380882279406</v>
      </c>
      <c r="D62" s="1529"/>
      <c r="E62" s="1579">
        <v>-1.8</v>
      </c>
      <c r="F62" s="1470"/>
      <c r="G62" s="1565">
        <f>C62-E62</f>
        <v>-2.2899380882279408</v>
      </c>
      <c r="H62" s="1470"/>
      <c r="I62" s="1566"/>
      <c r="J62" s="1470"/>
      <c r="K62" s="1534">
        <f>AVERAGEA(K58:K61)</f>
        <v>286.125</v>
      </c>
      <c r="L62" s="1470"/>
      <c r="M62" s="1534">
        <f>(K62/K56-1)*100</f>
        <v>2.6917900403768513</v>
      </c>
      <c r="N62" s="1470"/>
      <c r="O62" s="1535">
        <f>(G62/M62)*100</f>
        <v>-85.071199977667973</v>
      </c>
      <c r="P62" s="1472"/>
      <c r="Q62" s="1472"/>
      <c r="R62" s="1537">
        <f>SUM(R58:R61)</f>
        <v>326.404</v>
      </c>
      <c r="S62" s="1538"/>
      <c r="T62" s="1539">
        <f>SUM(T58:T61)</f>
        <v>1.1298638710600313</v>
      </c>
      <c r="U62" s="1479"/>
      <c r="V62" s="1584">
        <f>T62/T56-1</f>
        <v>-7.9789507717837105E-2</v>
      </c>
      <c r="W62" s="1479"/>
      <c r="X62" s="1566"/>
      <c r="Y62" s="1470"/>
      <c r="Z62" s="1574">
        <f>AVERAGEA(Z58:Z61)</f>
        <v>1.221946</v>
      </c>
      <c r="AA62" s="1470"/>
      <c r="AB62" s="1534" t="e">
        <f>(Z62/Z56-1)*100</f>
        <v>#DIV/0!</v>
      </c>
      <c r="AC62" s="1470"/>
      <c r="AD62" s="1535" t="e">
        <f>(V62/AB62)*100</f>
        <v>#DIV/0!</v>
      </c>
      <c r="AE62" s="1472"/>
      <c r="AF62" s="1472"/>
      <c r="AG62" s="1537">
        <f>SUM(AG58:AG61)</f>
        <v>326.404</v>
      </c>
      <c r="AH62" s="1538"/>
      <c r="AI62" s="1585">
        <f>SUM(AI58:AI61)</f>
        <v>265.4213232949574</v>
      </c>
      <c r="AJ62" s="1479"/>
      <c r="AK62" s="1584" t="e">
        <f>AI62/AI56-1</f>
        <v>#DIV/0!</v>
      </c>
      <c r="AL62" s="1470"/>
      <c r="AM62" s="1470"/>
      <c r="AN62" s="1472"/>
      <c r="AO62" s="1470"/>
      <c r="AP62" s="1470"/>
      <c r="AQ62" s="1470"/>
      <c r="AR62" s="1470"/>
      <c r="AS62" s="1470"/>
      <c r="AT62" s="1470"/>
      <c r="AU62" s="1470"/>
      <c r="AV62" s="1473"/>
      <c r="AW62" s="1470"/>
      <c r="AX62" s="1470"/>
      <c r="AY62" s="1470"/>
      <c r="AZ62" s="1470"/>
      <c r="BA62" s="1470"/>
      <c r="BB62" s="1470"/>
      <c r="BC62" s="1470"/>
      <c r="BD62" s="1470"/>
      <c r="BE62" s="1470"/>
      <c r="BF62" s="1470"/>
      <c r="BG62" s="1470"/>
      <c r="BH62" s="1470"/>
      <c r="BI62" s="1470"/>
      <c r="BJ62" s="1470"/>
      <c r="BK62" s="1470"/>
      <c r="BL62" s="1470"/>
      <c r="BM62" s="1470"/>
    </row>
    <row r="63" spans="1:65" ht="10.5" hidden="1" customHeight="1" outlineLevel="2">
      <c r="A63" s="1470"/>
      <c r="B63" s="1470"/>
      <c r="C63" s="1532"/>
      <c r="D63" s="1470"/>
      <c r="E63" s="1532"/>
      <c r="F63" s="1470"/>
      <c r="G63" s="1470"/>
      <c r="H63" s="1470"/>
      <c r="I63" s="1470"/>
      <c r="J63" s="1470"/>
      <c r="K63" s="1470"/>
      <c r="L63" s="1470"/>
      <c r="M63" s="1534"/>
      <c r="N63" s="1470"/>
      <c r="O63" s="1471"/>
      <c r="P63" s="1470"/>
      <c r="Q63" s="1470"/>
      <c r="R63" s="1470"/>
      <c r="S63" s="1472"/>
      <c r="T63" s="1479"/>
      <c r="U63" s="1479"/>
      <c r="V63" s="1303"/>
      <c r="W63" s="1479"/>
      <c r="X63" s="1470"/>
      <c r="Y63" s="1470"/>
      <c r="Z63" s="1470"/>
      <c r="AA63" s="1470"/>
      <c r="AB63" s="1534"/>
      <c r="AC63" s="1470"/>
      <c r="AD63" s="1471"/>
      <c r="AE63" s="1470"/>
      <c r="AF63" s="1470"/>
      <c r="AG63" s="1470"/>
      <c r="AH63" s="1472"/>
      <c r="AI63" s="1479"/>
      <c r="AJ63" s="1479"/>
      <c r="AK63" s="1303"/>
      <c r="AL63" s="1470"/>
      <c r="AM63" s="1470"/>
      <c r="AN63" s="1472"/>
      <c r="AO63" s="1470"/>
      <c r="AP63" s="1470"/>
      <c r="AQ63" s="1470"/>
      <c r="AR63" s="1470"/>
      <c r="AS63" s="1470"/>
      <c r="AT63" s="1470"/>
      <c r="AU63" s="1470"/>
      <c r="AV63" s="1473"/>
      <c r="AW63" s="1470"/>
      <c r="AX63" s="1470"/>
      <c r="AY63" s="1470"/>
      <c r="AZ63" s="1470"/>
      <c r="BA63" s="1470"/>
      <c r="BB63" s="1470"/>
      <c r="BC63" s="1470"/>
      <c r="BD63" s="1470"/>
      <c r="BE63" s="1470"/>
      <c r="BF63" s="1470"/>
      <c r="BG63" s="1470"/>
      <c r="BH63" s="1470"/>
      <c r="BI63" s="1470"/>
      <c r="BJ63" s="1470"/>
      <c r="BK63" s="1470"/>
      <c r="BL63" s="1470"/>
      <c r="BM63" s="1470"/>
    </row>
    <row r="64" spans="1:65" ht="10.5" hidden="1" customHeight="1" outlineLevel="2">
      <c r="A64" s="1580" t="s">
        <v>153</v>
      </c>
      <c r="B64" s="1499"/>
      <c r="C64" s="1499"/>
      <c r="D64" s="1499"/>
      <c r="E64" s="1499"/>
      <c r="F64" s="1499"/>
      <c r="G64" s="1499"/>
      <c r="H64" s="1499"/>
      <c r="I64" s="1571"/>
      <c r="J64" s="1499"/>
      <c r="K64" s="1499"/>
      <c r="L64" s="1499"/>
      <c r="M64" s="1572"/>
      <c r="N64" s="1499"/>
      <c r="O64" s="1551"/>
      <c r="P64" s="1499"/>
      <c r="Q64" s="1499"/>
      <c r="R64" s="1499"/>
      <c r="S64" s="1499"/>
      <c r="T64" s="1530"/>
      <c r="U64" s="1530"/>
      <c r="V64" s="1303"/>
      <c r="W64" s="1479"/>
      <c r="X64" s="1571"/>
      <c r="Y64" s="1499"/>
      <c r="Z64" s="1499"/>
      <c r="AA64" s="1499"/>
      <c r="AB64" s="1572"/>
      <c r="AC64" s="1499"/>
      <c r="AD64" s="1551"/>
      <c r="AE64" s="1499"/>
      <c r="AF64" s="1499"/>
      <c r="AG64" s="1499"/>
      <c r="AH64" s="1499"/>
      <c r="AI64" s="1530"/>
      <c r="AJ64" s="1530"/>
      <c r="AK64" s="1303"/>
      <c r="AL64" s="1487"/>
      <c r="AM64" s="1487"/>
      <c r="AN64" s="1496"/>
      <c r="AO64" s="1487"/>
      <c r="AP64" s="1487"/>
      <c r="AQ64" s="1487"/>
      <c r="AR64" s="1487"/>
      <c r="AS64" s="1487"/>
      <c r="AT64" s="1487"/>
      <c r="AU64" s="1487"/>
      <c r="AV64" s="1473"/>
      <c r="AW64" s="1487"/>
      <c r="AX64" s="1487"/>
      <c r="AY64" s="1487"/>
      <c r="AZ64" s="1487"/>
      <c r="BA64" s="1487"/>
      <c r="BB64" s="1487"/>
      <c r="BC64" s="1487"/>
      <c r="BD64" s="1487"/>
      <c r="BE64" s="1487"/>
      <c r="BF64" s="1487"/>
      <c r="BG64" s="1487"/>
      <c r="BH64" s="1487"/>
      <c r="BI64" s="1487"/>
      <c r="BJ64" s="1487"/>
      <c r="BK64" s="1487"/>
      <c r="BL64" s="1487"/>
      <c r="BM64" s="1487"/>
    </row>
    <row r="65" spans="1:65" ht="10.5" hidden="1" customHeight="1" outlineLevel="2">
      <c r="A65" s="1531" t="s">
        <v>758</v>
      </c>
      <c r="B65" s="1573"/>
      <c r="C65" s="1581">
        <f>(R65/R58-1)*100</f>
        <v>12.0523567909405</v>
      </c>
      <c r="D65" s="1573" t="s">
        <v>697</v>
      </c>
      <c r="E65" s="1575">
        <v>3.3</v>
      </c>
      <c r="F65" s="1573" t="s">
        <v>697</v>
      </c>
      <c r="G65" s="1565">
        <f>C65-E65</f>
        <v>8.7523567909404996</v>
      </c>
      <c r="H65" s="1573" t="s">
        <v>697</v>
      </c>
      <c r="I65" s="1582">
        <v>312</v>
      </c>
      <c r="J65" s="1573"/>
      <c r="K65" s="1534">
        <f>(I65+I61)/2</f>
        <v>307.5</v>
      </c>
      <c r="L65" s="1573"/>
      <c r="M65" s="1534">
        <f>(K65/K58-1)*100</f>
        <v>13.259668508287303</v>
      </c>
      <c r="N65" s="1573" t="s">
        <v>697</v>
      </c>
      <c r="O65" s="1535">
        <f>(G65/M65)*100</f>
        <v>66.007357465009548</v>
      </c>
      <c r="P65" s="1573" t="s">
        <v>697</v>
      </c>
      <c r="Q65" s="1573"/>
      <c r="R65" s="1538">
        <f>'qtrP&amp;L'!K10</f>
        <v>60.951999999999998</v>
      </c>
      <c r="S65" s="1538"/>
      <c r="T65" s="1539">
        <f xml:space="preserve"> R65/K65</f>
        <v>0.1982178861788618</v>
      </c>
      <c r="U65" s="1479"/>
      <c r="V65" s="1584">
        <f>T65/T58-1</f>
        <v>-1.0659679065354477E-2</v>
      </c>
      <c r="W65" s="1479"/>
      <c r="X65" s="1574">
        <f>turn!Z25</f>
        <v>1.3089999999999999</v>
      </c>
      <c r="Y65" s="1573"/>
      <c r="Z65" s="1574">
        <f>(X65+X61)/2</f>
        <v>1.297299</v>
      </c>
      <c r="AA65" s="1573"/>
      <c r="AB65" s="1534">
        <f>(Z65/Z58-1)*100</f>
        <v>8.7149701291289858</v>
      </c>
      <c r="AC65" s="1573" t="s">
        <v>697</v>
      </c>
      <c r="AD65" s="1535">
        <f>(G65/AB65)*100</f>
        <v>100.42899357378808</v>
      </c>
      <c r="AE65" s="1573" t="s">
        <v>697</v>
      </c>
      <c r="AF65" s="1573"/>
      <c r="AG65" s="1538">
        <f>R65</f>
        <v>60.951999999999998</v>
      </c>
      <c r="AH65" s="1538"/>
      <c r="AI65" s="1585">
        <f xml:space="preserve"> AG65/Z65</f>
        <v>46.98377166713302</v>
      </c>
      <c r="AJ65" s="1479"/>
      <c r="AK65" s="1584">
        <f>AI65/AI58-1</f>
        <v>3.0698501391735356E-2</v>
      </c>
      <c r="AL65" s="1470"/>
      <c r="AM65" s="1470"/>
      <c r="AN65" s="1472"/>
      <c r="AO65" s="1470"/>
      <c r="AP65" s="1470"/>
      <c r="AQ65" s="1470"/>
      <c r="AR65" s="1470"/>
      <c r="AS65" s="1470"/>
      <c r="AT65" s="1470"/>
      <c r="AU65" s="1470"/>
      <c r="AV65" s="1473"/>
      <c r="AW65" s="1470"/>
      <c r="AX65" s="1206">
        <f>+I65/$AX$9</f>
        <v>0.25573770491803277</v>
      </c>
      <c r="AY65" s="1470"/>
      <c r="AZ65" s="1470"/>
      <c r="BA65" s="1470"/>
      <c r="BB65" s="1470"/>
      <c r="BC65" s="1470"/>
      <c r="BD65" s="1470"/>
      <c r="BE65" s="1538">
        <f>+'qtrP&amp;L'!K30</f>
        <v>18.91</v>
      </c>
      <c r="BF65" s="1538"/>
      <c r="BG65" s="1591">
        <f>+BE65/K65</f>
        <v>6.1495934959349595E-2</v>
      </c>
      <c r="BH65" s="1538"/>
      <c r="BI65" s="1470"/>
      <c r="BJ65" s="1538"/>
      <c r="BK65" s="1538">
        <f>+BE65/Z65</f>
        <v>14.576439201756882</v>
      </c>
      <c r="BL65" s="1538"/>
      <c r="BM65" s="1470"/>
    </row>
    <row r="66" spans="1:65" ht="10.5" hidden="1" customHeight="1" outlineLevel="2">
      <c r="A66" s="1531" t="s">
        <v>759</v>
      </c>
      <c r="B66" s="1573"/>
      <c r="C66" s="1581">
        <f>(R66/R59-1)*100</f>
        <v>22.634043582845841</v>
      </c>
      <c r="D66" s="1573"/>
      <c r="E66" s="1575">
        <v>11.8</v>
      </c>
      <c r="F66" s="1573"/>
      <c r="G66" s="1565">
        <f>C66-E66</f>
        <v>10.83404358284584</v>
      </c>
      <c r="H66" s="1573"/>
      <c r="I66" s="1586">
        <v>315</v>
      </c>
      <c r="J66" s="1573"/>
      <c r="K66" s="1534">
        <f>AVERAGEA(I65,I66)</f>
        <v>313.5</v>
      </c>
      <c r="L66" s="1573"/>
      <c r="M66" s="1534">
        <f>(K66/K59-1)*100</f>
        <v>11.565836298932375</v>
      </c>
      <c r="N66" s="1573"/>
      <c r="O66" s="1535">
        <f>(G66/M66)*100</f>
        <v>93.672807593221023</v>
      </c>
      <c r="P66" s="1573"/>
      <c r="Q66" s="1573"/>
      <c r="R66" s="1557">
        <f>'qtrP&amp;L'!K11</f>
        <v>86.159000000000006</v>
      </c>
      <c r="S66" s="1557"/>
      <c r="T66" s="1255">
        <f xml:space="preserve"> R66/K66</f>
        <v>0.27482934609250398</v>
      </c>
      <c r="U66" s="1479"/>
      <c r="V66" s="1584">
        <f>T66/T59-1</f>
        <v>9.9207854761712122E-2</v>
      </c>
      <c r="W66" s="1479"/>
      <c r="X66" s="1574">
        <f>turn!Z26</f>
        <v>1.324489</v>
      </c>
      <c r="Y66" s="1573"/>
      <c r="Z66" s="1574">
        <f>AVERAGEA(X65,X66)</f>
        <v>1.3167445</v>
      </c>
      <c r="AA66" s="1573"/>
      <c r="AB66" s="1534">
        <f>(Z66/Z59-1)*100</f>
        <v>9.7157253058387951</v>
      </c>
      <c r="AC66" s="1573"/>
      <c r="AD66" s="1535">
        <f>(G66/AB66)*100</f>
        <v>111.51039414767085</v>
      </c>
      <c r="AE66" s="1573"/>
      <c r="AF66" s="1573"/>
      <c r="AG66" s="1557">
        <f>R66</f>
        <v>86.159000000000006</v>
      </c>
      <c r="AH66" s="1557"/>
      <c r="AI66" s="1587">
        <f xml:space="preserve"> AG66/Z66</f>
        <v>65.433347167958559</v>
      </c>
      <c r="AJ66" s="1479"/>
      <c r="AK66" s="1584">
        <f>AI66/AI59-1</f>
        <v>0.11774354351663341</v>
      </c>
      <c r="AL66" s="1470"/>
      <c r="AM66" s="1470"/>
      <c r="AN66" s="1472"/>
      <c r="AO66" s="1470"/>
      <c r="AP66" s="1470"/>
      <c r="AQ66" s="1470"/>
      <c r="AR66" s="1470"/>
      <c r="AS66" s="1470"/>
      <c r="AT66" s="1470"/>
      <c r="AU66" s="1470"/>
      <c r="AV66" s="1473"/>
      <c r="AW66" s="1470"/>
      <c r="AX66" s="1206">
        <f>+I66/$AX$9</f>
        <v>0.25819672131147542</v>
      </c>
      <c r="AY66" s="1470"/>
      <c r="AZ66" s="1470"/>
      <c r="BA66" s="1470"/>
      <c r="BB66" s="1470"/>
      <c r="BC66" s="1470"/>
      <c r="BD66" s="1470"/>
      <c r="BE66" s="1557">
        <f>+'qtrP&amp;L'!K31</f>
        <v>21.472999999999999</v>
      </c>
      <c r="BF66" s="1557"/>
      <c r="BG66" s="1592">
        <f>+BE66/K66</f>
        <v>6.8494417862838913E-2</v>
      </c>
      <c r="BH66" s="1557"/>
      <c r="BI66" s="1470"/>
      <c r="BJ66" s="1557"/>
      <c r="BK66" s="1557">
        <f>+BE66/Z66</f>
        <v>16.307643586132311</v>
      </c>
      <c r="BL66" s="1557"/>
      <c r="BM66" s="1470"/>
    </row>
    <row r="67" spans="1:65" ht="10.5" hidden="1" customHeight="1" outlineLevel="2">
      <c r="A67" s="1531" t="s">
        <v>760</v>
      </c>
      <c r="B67" s="1573"/>
      <c r="C67" s="1581">
        <f>(R67/R60-1)*100</f>
        <v>33.046698627704643</v>
      </c>
      <c r="D67" s="1573"/>
      <c r="E67" s="1575">
        <v>23.8</v>
      </c>
      <c r="F67" s="1573"/>
      <c r="G67" s="1565">
        <f>C67-E67</f>
        <v>9.2466986277046423</v>
      </c>
      <c r="H67" s="1573"/>
      <c r="I67" s="1586">
        <v>332</v>
      </c>
      <c r="J67" s="1573"/>
      <c r="K67" s="1534">
        <f>AVERAGEA(I66,I67)</f>
        <v>323.5</v>
      </c>
      <c r="L67" s="1573"/>
      <c r="M67" s="1534">
        <f>(K67/K60-1)*100</f>
        <v>10.977701543739272</v>
      </c>
      <c r="N67" s="1573"/>
      <c r="O67" s="1535">
        <f>(G67/M67)*100</f>
        <v>84.231645311747045</v>
      </c>
      <c r="P67" s="1573"/>
      <c r="Q67" s="1573"/>
      <c r="R67" s="1557">
        <f>'qtrP&amp;L'!K12</f>
        <v>104.902</v>
      </c>
      <c r="S67" s="1557"/>
      <c r="T67" s="1255">
        <f xml:space="preserve"> R67/K67</f>
        <v>0.32427202472952088</v>
      </c>
      <c r="U67" s="1479"/>
      <c r="V67" s="1584">
        <f>T67/T60-1</f>
        <v>0.19885974188488098</v>
      </c>
      <c r="W67" s="1479"/>
      <c r="X67" s="1574">
        <f>turn!Z27</f>
        <v>1.3860479999999999</v>
      </c>
      <c r="Y67" s="1573"/>
      <c r="Z67" s="1574">
        <f>AVERAGEA(X66,X67)</f>
        <v>1.3552685</v>
      </c>
      <c r="AA67" s="1573"/>
      <c r="AB67" s="1534">
        <f>(Z67/Z60-1)*100</f>
        <v>10.238788475780947</v>
      </c>
      <c r="AC67" s="1573"/>
      <c r="AD67" s="1535">
        <f>(G67/AB67)*100</f>
        <v>90.310476181600833</v>
      </c>
      <c r="AE67" s="1573"/>
      <c r="AF67" s="1573"/>
      <c r="AG67" s="1557">
        <f>R67</f>
        <v>104.902</v>
      </c>
      <c r="AH67" s="1557"/>
      <c r="AI67" s="1587">
        <f xml:space="preserve"> AG67/Z67</f>
        <v>77.403112372197839</v>
      </c>
      <c r="AJ67" s="1479"/>
      <c r="AK67" s="1584">
        <f>AI67/AI60-1</f>
        <v>0.2068955080809376</v>
      </c>
      <c r="AL67" s="1470"/>
      <c r="AM67" s="1470"/>
      <c r="AN67" s="1472"/>
      <c r="AO67" s="1470"/>
      <c r="AP67" s="1470"/>
      <c r="AQ67" s="1470"/>
      <c r="AR67" s="1470"/>
      <c r="AS67" s="1470"/>
      <c r="AT67" s="1470"/>
      <c r="AU67" s="1470"/>
      <c r="AV67" s="1473"/>
      <c r="AW67" s="1470"/>
      <c r="AX67" s="1206">
        <f>+I67/$AX$9</f>
        <v>0.27213114754098361</v>
      </c>
      <c r="AY67" s="1470"/>
      <c r="AZ67" s="1470"/>
      <c r="BA67" s="1470"/>
      <c r="BB67" s="1470"/>
      <c r="BC67" s="1470"/>
      <c r="BD67" s="1470"/>
      <c r="BE67" s="1557">
        <f>+'qtrP&amp;L'!K32</f>
        <v>26.725999999999999</v>
      </c>
      <c r="BF67" s="1557"/>
      <c r="BG67" s="1592">
        <f>+BE67/K67</f>
        <v>8.2615146831530137E-2</v>
      </c>
      <c r="BH67" s="1557"/>
      <c r="BI67" s="1470"/>
      <c r="BJ67" s="1557"/>
      <c r="BK67" s="1557">
        <f>+BE67/Z67</f>
        <v>19.720077608237776</v>
      </c>
      <c r="BL67" s="1557"/>
      <c r="BM67" s="1470"/>
    </row>
    <row r="68" spans="1:65" ht="10.5" hidden="1" customHeight="1" outlineLevel="2">
      <c r="A68" s="1531" t="s">
        <v>761</v>
      </c>
      <c r="B68" s="1573"/>
      <c r="C68" s="1570">
        <f>(R68/R61-1)*100</f>
        <v>25.055937512713065</v>
      </c>
      <c r="D68" s="1573"/>
      <c r="E68" s="1570">
        <v>16.5</v>
      </c>
      <c r="F68" s="1573"/>
      <c r="G68" s="1570">
        <f>C68-E68</f>
        <v>8.555937512713065</v>
      </c>
      <c r="H68" s="1573"/>
      <c r="I68" s="1569">
        <f>yrSales!E19</f>
        <v>332</v>
      </c>
      <c r="J68" s="1573"/>
      <c r="K68" s="1545">
        <f>AVERAGEA(I67,I68)</f>
        <v>332</v>
      </c>
      <c r="L68" s="1573"/>
      <c r="M68" s="1545">
        <f>(K68/K61-1)*100</f>
        <v>10.48252911813643</v>
      </c>
      <c r="N68" s="1573"/>
      <c r="O68" s="1475">
        <f>(G68/M68)*100</f>
        <v>81.620927700643747</v>
      </c>
      <c r="P68" s="1573"/>
      <c r="Q68" s="1573"/>
      <c r="R68" s="1544">
        <f>'qtrP&amp;L'!K13</f>
        <v>153.69999999999999</v>
      </c>
      <c r="S68" s="1557"/>
      <c r="T68" s="1562">
        <f xml:space="preserve"> R68/K68</f>
        <v>0.4629518072289156</v>
      </c>
      <c r="U68" s="1479"/>
      <c r="V68" s="1589">
        <f>T68/T61-1</f>
        <v>0.13190690429428531</v>
      </c>
      <c r="W68" s="1479"/>
      <c r="X68" s="1574">
        <f>turn!Z28</f>
        <v>1.3933610000000001</v>
      </c>
      <c r="Y68" s="1573"/>
      <c r="Z68" s="1577">
        <f>AVERAGEA(X67,X68)</f>
        <v>1.3897045000000001</v>
      </c>
      <c r="AA68" s="1573"/>
      <c r="AB68" s="1545">
        <f>(Z68/Z61-1)*100</f>
        <v>9.8627964604008689</v>
      </c>
      <c r="AC68" s="1573"/>
      <c r="AD68" s="1475">
        <f>(G68/AB68)*100</f>
        <v>86.749610488923267</v>
      </c>
      <c r="AE68" s="1573"/>
      <c r="AF68" s="1573"/>
      <c r="AG68" s="1544">
        <f>R68</f>
        <v>153.69999999999999</v>
      </c>
      <c r="AH68" s="1557"/>
      <c r="AI68" s="1590">
        <f xml:space="preserve"> AG68/Z68</f>
        <v>110.59905181281343</v>
      </c>
      <c r="AJ68" s="1479"/>
      <c r="AK68" s="1589">
        <f>AI68/AI61-1</f>
        <v>0.13829195634746516</v>
      </c>
      <c r="AL68" s="1470"/>
      <c r="AM68" s="1470"/>
      <c r="AN68" s="1472"/>
      <c r="AO68" s="1470"/>
      <c r="AP68" s="1470"/>
      <c r="AQ68" s="1470"/>
      <c r="AR68" s="1470"/>
      <c r="AS68" s="1470"/>
      <c r="AT68" s="1470"/>
      <c r="AU68" s="1470"/>
      <c r="AV68" s="1473"/>
      <c r="AW68" s="1470"/>
      <c r="AX68" s="1206">
        <f>+I68/$AX$9</f>
        <v>0.27213114754098361</v>
      </c>
      <c r="AY68" s="1470"/>
      <c r="AZ68" s="1470"/>
      <c r="BA68" s="1470"/>
      <c r="BB68" s="1470"/>
      <c r="BC68" s="1470"/>
      <c r="BD68" s="1470"/>
      <c r="BE68" s="1544">
        <f>+'qtrP&amp;L'!K33</f>
        <v>31.42</v>
      </c>
      <c r="BF68" s="1557"/>
      <c r="BG68" s="1593">
        <f>+BE68/K68</f>
        <v>9.4638554216867468E-2</v>
      </c>
      <c r="BH68" s="1557"/>
      <c r="BI68" s="1472"/>
      <c r="BJ68" s="1557"/>
      <c r="BK68" s="1544">
        <f>+BE68/Z68</f>
        <v>22.609123018598556</v>
      </c>
      <c r="BL68" s="1557"/>
      <c r="BM68" s="1472"/>
    </row>
    <row r="69" spans="1:65" ht="10.5" hidden="1" customHeight="1" outlineLevel="2">
      <c r="A69" s="1531" t="s">
        <v>762</v>
      </c>
      <c r="B69" s="1578"/>
      <c r="C69" s="1581">
        <f>(R69/R62-1)*100</f>
        <v>24.297802723005834</v>
      </c>
      <c r="D69" s="1529"/>
      <c r="E69" s="1579">
        <v>15.1</v>
      </c>
      <c r="F69" s="1470"/>
      <c r="G69" s="1565">
        <f>C69-E69</f>
        <v>9.1978027230058341</v>
      </c>
      <c r="H69" s="1470"/>
      <c r="I69" s="1566"/>
      <c r="J69" s="1470"/>
      <c r="K69" s="1534">
        <f>AVERAGEA(K65:K68)</f>
        <v>319.125</v>
      </c>
      <c r="L69" s="1470"/>
      <c r="M69" s="1534">
        <f>(K69/K62-1)*100</f>
        <v>11.533420707732645</v>
      </c>
      <c r="N69" s="1470"/>
      <c r="O69" s="1535">
        <f>(G69/M69)*100</f>
        <v>79.749130427880061</v>
      </c>
      <c r="P69" s="1472"/>
      <c r="Q69" s="1472"/>
      <c r="R69" s="1537">
        <f>SUM(R65:R68)</f>
        <v>405.71299999999997</v>
      </c>
      <c r="S69" s="1538"/>
      <c r="T69" s="1539">
        <f>SUM(T65:T68)</f>
        <v>1.2602710642298023</v>
      </c>
      <c r="U69" s="1479"/>
      <c r="V69" s="1584">
        <f>T69/T62-1</f>
        <v>0.11541849997152642</v>
      </c>
      <c r="W69" s="1479"/>
      <c r="X69" s="1566"/>
      <c r="Y69" s="1470"/>
      <c r="Z69" s="1574">
        <f>AVERAGEA(Z65:Z68)</f>
        <v>1.3397541250000002</v>
      </c>
      <c r="AA69" s="1470"/>
      <c r="AB69" s="1534">
        <f>(Z69/Z62-1)*100</f>
        <v>9.6410254626636771</v>
      </c>
      <c r="AC69" s="1470"/>
      <c r="AD69" s="1535">
        <f>(G69/AB69)*100</f>
        <v>95.402742774881261</v>
      </c>
      <c r="AE69" s="1472"/>
      <c r="AF69" s="1472"/>
      <c r="AG69" s="1537">
        <f>SUM(AG65:AG68)</f>
        <v>405.71299999999997</v>
      </c>
      <c r="AH69" s="1538"/>
      <c r="AI69" s="1585">
        <f>SUM(AI65:AI68)</f>
        <v>300.41928302010285</v>
      </c>
      <c r="AJ69" s="1479"/>
      <c r="AK69" s="1584">
        <f>AI69/AI62-1</f>
        <v>0.13185813140661984</v>
      </c>
      <c r="AL69" s="1470"/>
      <c r="AM69" s="1470"/>
      <c r="AN69" s="1472"/>
      <c r="AO69" s="1470"/>
      <c r="AP69" s="1470"/>
      <c r="AQ69" s="1470"/>
      <c r="AR69" s="1470"/>
      <c r="AS69" s="1470"/>
      <c r="AT69" s="1470"/>
      <c r="AU69" s="1470"/>
      <c r="AV69" s="1473"/>
      <c r="AW69" s="1470"/>
      <c r="AX69" s="1470"/>
      <c r="AY69" s="1470"/>
      <c r="AZ69" s="1470"/>
      <c r="BA69" s="1470"/>
      <c r="BB69" s="1470"/>
      <c r="BC69" s="1470"/>
      <c r="BD69" s="1470"/>
      <c r="BE69" s="1538">
        <f>+'qtrP&amp;L'!K34</f>
        <v>98.528999999999996</v>
      </c>
      <c r="BF69" s="1538"/>
      <c r="BG69" s="1591">
        <f>+BE69/K69</f>
        <v>0.30874735605170389</v>
      </c>
      <c r="BH69" s="1538"/>
      <c r="BI69" s="1472"/>
      <c r="BJ69" s="1538"/>
      <c r="BK69" s="1538">
        <f>+BE69/Z69</f>
        <v>73.54259872123923</v>
      </c>
      <c r="BL69" s="1538"/>
      <c r="BM69" s="1472"/>
    </row>
    <row r="70" spans="1:65" ht="11.25" hidden="1" customHeight="1" outlineLevel="2">
      <c r="A70" s="1470"/>
      <c r="B70" s="1470"/>
      <c r="C70" s="1532"/>
      <c r="D70" s="1470"/>
      <c r="E70" s="1532"/>
      <c r="F70" s="1470"/>
      <c r="G70" s="1470"/>
      <c r="H70" s="1470"/>
      <c r="I70" s="1470"/>
      <c r="J70" s="1470"/>
      <c r="K70" s="1470"/>
      <c r="L70" s="1470"/>
      <c r="M70" s="1532"/>
      <c r="N70" s="1470"/>
      <c r="O70" s="951"/>
      <c r="P70" s="1470"/>
      <c r="Q70" s="1470"/>
      <c r="R70" s="1470"/>
      <c r="S70" s="1472"/>
      <c r="T70" s="1479"/>
      <c r="U70" s="1479"/>
      <c r="V70" s="1479"/>
      <c r="W70" s="1479"/>
      <c r="X70" s="1470"/>
      <c r="Y70" s="1470"/>
      <c r="Z70" s="1470"/>
      <c r="AA70" s="1470"/>
      <c r="AB70" s="1532"/>
      <c r="AC70" s="1470"/>
      <c r="AD70" s="951"/>
      <c r="AE70" s="1470"/>
      <c r="AF70" s="1470"/>
      <c r="AG70" s="1470"/>
      <c r="AH70" s="1472"/>
      <c r="AI70" s="1479"/>
      <c r="AJ70" s="1479"/>
      <c r="AK70" s="1479"/>
      <c r="AL70" s="1470"/>
      <c r="AM70" s="1470"/>
      <c r="AN70" s="1472"/>
      <c r="AO70" s="1470"/>
      <c r="AP70" s="1470"/>
      <c r="AQ70" s="1470"/>
      <c r="AR70" s="1470"/>
      <c r="AS70" s="1470"/>
      <c r="AT70" s="1470"/>
      <c r="AU70" s="1470"/>
      <c r="AV70" s="1473"/>
      <c r="AW70" s="1470"/>
      <c r="AX70" s="1470"/>
      <c r="AY70" s="1470"/>
      <c r="AZ70" s="1470"/>
      <c r="BA70" s="1470"/>
      <c r="BB70" s="1470"/>
      <c r="BC70" s="1470"/>
      <c r="BD70" s="1470"/>
      <c r="BE70" s="1472"/>
      <c r="BF70" s="1472"/>
      <c r="BG70" s="1472"/>
      <c r="BH70" s="1472"/>
      <c r="BI70" s="1472"/>
      <c r="BJ70" s="1472"/>
      <c r="BK70" s="1472"/>
      <c r="BL70" s="1472"/>
      <c r="BM70" s="1472"/>
    </row>
    <row r="71" spans="1:65" ht="10.5" hidden="1" customHeight="1" outlineLevel="2">
      <c r="A71" s="1580" t="s">
        <v>154</v>
      </c>
      <c r="B71" s="1499"/>
      <c r="C71" s="1499"/>
      <c r="D71" s="1499"/>
      <c r="E71" s="1499"/>
      <c r="F71" s="1499"/>
      <c r="G71" s="1499"/>
      <c r="H71" s="1499"/>
      <c r="I71" s="1571"/>
      <c r="J71" s="1499"/>
      <c r="K71" s="1499"/>
      <c r="L71" s="1499"/>
      <c r="M71" s="1572"/>
      <c r="N71" s="1499"/>
      <c r="O71" s="1551"/>
      <c r="P71" s="1499"/>
      <c r="Q71" s="1499"/>
      <c r="R71" s="1499"/>
      <c r="S71" s="1499"/>
      <c r="T71" s="1530"/>
      <c r="U71" s="1530"/>
      <c r="V71" s="1303"/>
      <c r="W71" s="1479"/>
      <c r="X71" s="1571"/>
      <c r="Y71" s="1499"/>
      <c r="Z71" s="1499"/>
      <c r="AA71" s="1499"/>
      <c r="AB71" s="1572"/>
      <c r="AC71" s="1499"/>
      <c r="AD71" s="1551"/>
      <c r="AE71" s="1499"/>
      <c r="AF71" s="1499"/>
      <c r="AG71" s="1499"/>
      <c r="AH71" s="1499"/>
      <c r="AI71" s="1530"/>
      <c r="AJ71" s="1530"/>
      <c r="AK71" s="1303"/>
      <c r="AL71" s="1487"/>
      <c r="AM71" s="1487"/>
      <c r="AN71" s="1496"/>
      <c r="AO71" s="1487"/>
      <c r="AP71" s="1487"/>
      <c r="AQ71" s="1487"/>
      <c r="AR71" s="1487"/>
      <c r="AS71" s="1487"/>
      <c r="AT71" s="1487"/>
      <c r="AU71" s="1487"/>
      <c r="AV71" s="1473"/>
      <c r="AW71" s="1487"/>
      <c r="AX71" s="1487"/>
      <c r="AY71" s="1487"/>
      <c r="AZ71" s="1487"/>
      <c r="BA71" s="1487"/>
      <c r="BB71" s="1487"/>
      <c r="BC71" s="1487"/>
      <c r="BD71" s="1487"/>
      <c r="BE71" s="1496"/>
      <c r="BF71" s="1496"/>
      <c r="BG71" s="1496"/>
      <c r="BH71" s="1496"/>
      <c r="BI71" s="1496"/>
      <c r="BJ71" s="1496"/>
      <c r="BK71" s="1496"/>
      <c r="BL71" s="1496"/>
      <c r="BM71" s="1496"/>
    </row>
    <row r="72" spans="1:65" ht="10.5" hidden="1" customHeight="1" outlineLevel="2">
      <c r="A72" s="1531" t="s">
        <v>758</v>
      </c>
      <c r="B72" s="1573"/>
      <c r="C72" s="1581">
        <f>(R72/R65-1)*100</f>
        <v>63.561491009318829</v>
      </c>
      <c r="D72" s="1573" t="s">
        <v>697</v>
      </c>
      <c r="E72" s="1575">
        <v>52.4</v>
      </c>
      <c r="F72" s="1573" t="s">
        <v>697</v>
      </c>
      <c r="G72" s="1565">
        <f>C72-E72</f>
        <v>11.16149100931883</v>
      </c>
      <c r="H72" s="1573" t="s">
        <v>697</v>
      </c>
      <c r="I72" s="1582">
        <v>336</v>
      </c>
      <c r="J72" s="1573"/>
      <c r="K72" s="1534">
        <f>(I72+I68)/2</f>
        <v>334</v>
      </c>
      <c r="L72" s="1573"/>
      <c r="M72" s="1534">
        <f>(K72/K65-1)*100</f>
        <v>8.617886178861788</v>
      </c>
      <c r="N72" s="1573" t="s">
        <v>697</v>
      </c>
      <c r="O72" s="1535">
        <f>(G72/M72)*100</f>
        <v>129.51541454209587</v>
      </c>
      <c r="P72" s="1573" t="s">
        <v>697</v>
      </c>
      <c r="Q72" s="1573"/>
      <c r="R72" s="1538">
        <f>'qtrP&amp;L'!O10</f>
        <v>99.694000000000003</v>
      </c>
      <c r="S72" s="1557"/>
      <c r="T72" s="1539">
        <f xml:space="preserve"> R72/K72</f>
        <v>0.29848502994011977</v>
      </c>
      <c r="U72" s="1479"/>
      <c r="V72" s="1584">
        <f>T72/T65-1</f>
        <v>0.50584306842411775</v>
      </c>
      <c r="W72" s="1479"/>
      <c r="X72" s="1574">
        <f>turn!Z32</f>
        <v>1.413958</v>
      </c>
      <c r="Y72" s="1573"/>
      <c r="Z72" s="1574">
        <f>(X72+X68)/2</f>
        <v>1.4036595000000001</v>
      </c>
      <c r="AA72" s="1573"/>
      <c r="AB72" s="1534">
        <f>(Z72/Z65-1)*100</f>
        <v>8.1986111143229188</v>
      </c>
      <c r="AC72" s="1573" t="s">
        <v>697</v>
      </c>
      <c r="AD72" s="1535">
        <f>(G72/AB72)*100</f>
        <v>136.13880270305515</v>
      </c>
      <c r="AE72" s="1573" t="s">
        <v>697</v>
      </c>
      <c r="AF72" s="1573"/>
      <c r="AG72" s="1538">
        <f>R72</f>
        <v>99.694000000000003</v>
      </c>
      <c r="AH72" s="1557"/>
      <c r="AI72" s="1585">
        <f xml:space="preserve"> AG72/Z72</f>
        <v>71.024347428988293</v>
      </c>
      <c r="AJ72" s="1479"/>
      <c r="AK72" s="1584">
        <f>AI72/AI65-1</f>
        <v>0.51167828611496069</v>
      </c>
      <c r="AL72" s="1470"/>
      <c r="AM72" s="1470"/>
      <c r="AN72" s="1472"/>
      <c r="AO72" s="1470"/>
      <c r="AP72" s="1470"/>
      <c r="AQ72" s="1470"/>
      <c r="AR72" s="1470"/>
      <c r="AS72" s="1470"/>
      <c r="AT72" s="1470"/>
      <c r="AU72" s="1470"/>
      <c r="AV72" s="1473"/>
      <c r="AW72" s="1470"/>
      <c r="AX72" s="1206">
        <f>+I72/$AX$9</f>
        <v>0.27540983606557379</v>
      </c>
      <c r="AY72" s="1470"/>
      <c r="AZ72" s="1470"/>
      <c r="BA72" s="1470"/>
      <c r="BB72" s="1470"/>
      <c r="BC72" s="1470"/>
      <c r="BD72" s="1470"/>
      <c r="BE72" s="1538">
        <f>+'qtrP&amp;L'!O30</f>
        <v>26.222999999999999</v>
      </c>
      <c r="BF72" s="1538"/>
      <c r="BG72" s="1591">
        <f>+BE72/K72</f>
        <v>7.8511976047904192E-2</v>
      </c>
      <c r="BH72" s="1538"/>
      <c r="BI72" s="1561">
        <f>+BG72/BG65-1</f>
        <v>0.27670188443842081</v>
      </c>
      <c r="BJ72" s="1538"/>
      <c r="BK72" s="1538">
        <f>+BE72/Z72</f>
        <v>18.68188118272273</v>
      </c>
      <c r="BL72" s="1538"/>
      <c r="BM72" s="1561">
        <f>+BK72/BK65-1</f>
        <v>0.28164916850687538</v>
      </c>
    </row>
    <row r="73" spans="1:65" ht="10.5" hidden="1" customHeight="1" outlineLevel="2">
      <c r="A73" s="1531" t="s">
        <v>759</v>
      </c>
      <c r="B73" s="1573"/>
      <c r="C73" s="1581">
        <f>(R73/R66-1)*100</f>
        <v>45.92903817360925</v>
      </c>
      <c r="D73" s="1573"/>
      <c r="E73" s="1575">
        <v>35.6</v>
      </c>
      <c r="F73" s="1573"/>
      <c r="G73" s="1565">
        <f>C73-E73</f>
        <v>10.329038173609248</v>
      </c>
      <c r="H73" s="1573"/>
      <c r="I73" s="1582">
        <v>347</v>
      </c>
      <c r="J73" s="1573"/>
      <c r="K73" s="1534">
        <f>AVERAGEA(I72,I73)</f>
        <v>341.5</v>
      </c>
      <c r="L73" s="1573"/>
      <c r="M73" s="1534">
        <f>(K73/K66-1)*100</f>
        <v>8.9314194577352559</v>
      </c>
      <c r="N73" s="1573"/>
      <c r="O73" s="1535">
        <f>(G73/M73)*100</f>
        <v>115.64833812237487</v>
      </c>
      <c r="P73" s="1573"/>
      <c r="Q73" s="1573"/>
      <c r="R73" s="1557">
        <f>'qtrP&amp;L'!O11</f>
        <v>125.73099999999999</v>
      </c>
      <c r="S73" s="1557"/>
      <c r="T73" s="1255">
        <f xml:space="preserve"> R73/K73</f>
        <v>0.36817276720351388</v>
      </c>
      <c r="U73" s="1479"/>
      <c r="V73" s="1584">
        <f>T73/T66-1</f>
        <v>0.33964138996856508</v>
      </c>
      <c r="W73" s="1479"/>
      <c r="X73" s="1574">
        <f>turn!Z33</f>
        <v>1.462108</v>
      </c>
      <c r="Y73" s="1573"/>
      <c r="Z73" s="1574">
        <f>AVERAGEA(X72,X73)</f>
        <v>1.4380329999999999</v>
      </c>
      <c r="AA73" s="1573"/>
      <c r="AB73" s="1534">
        <f>(Z73/Z66-1)*100</f>
        <v>9.2112402975672136</v>
      </c>
      <c r="AC73" s="1573"/>
      <c r="AD73" s="1535">
        <f>(G73/AB73)*100</f>
        <v>112.13515053273832</v>
      </c>
      <c r="AE73" s="1573"/>
      <c r="AF73" s="1573"/>
      <c r="AG73" s="1557">
        <f>R73</f>
        <v>125.73099999999999</v>
      </c>
      <c r="AH73" s="1557"/>
      <c r="AI73" s="1587">
        <f xml:space="preserve"> AG73/Z73</f>
        <v>87.432624981485134</v>
      </c>
      <c r="AJ73" s="1479"/>
      <c r="AK73" s="1584">
        <f>AI73/AI66-1</f>
        <v>0.33620896325320793</v>
      </c>
      <c r="AL73" s="1470"/>
      <c r="AM73" s="1470"/>
      <c r="AN73" s="1472"/>
      <c r="AO73" s="1470"/>
      <c r="AP73" s="1470"/>
      <c r="AQ73" s="1470"/>
      <c r="AR73" s="1470"/>
      <c r="AS73" s="1470"/>
      <c r="AT73" s="1470"/>
      <c r="AU73" s="1470"/>
      <c r="AV73" s="1473"/>
      <c r="AW73" s="1470"/>
      <c r="AX73" s="1206">
        <f>+I73/$AX$9</f>
        <v>0.28442622950819674</v>
      </c>
      <c r="AY73" s="1470"/>
      <c r="AZ73" s="1470"/>
      <c r="BA73" s="1470"/>
      <c r="BB73" s="1470"/>
      <c r="BC73" s="1470"/>
      <c r="BD73" s="1470"/>
      <c r="BE73" s="1557">
        <f>+'qtrP&amp;L'!O31</f>
        <v>31.782</v>
      </c>
      <c r="BF73" s="1557"/>
      <c r="BG73" s="1592">
        <f>+BE73/K73</f>
        <v>9.3065885797950221E-2</v>
      </c>
      <c r="BH73" s="1557"/>
      <c r="BI73" s="1561">
        <f>+BG73/BG66-1</f>
        <v>0.35873679493584487</v>
      </c>
      <c r="BJ73" s="1557"/>
      <c r="BK73" s="1557">
        <f>+BE73/Z73</f>
        <v>22.101022716446703</v>
      </c>
      <c r="BL73" s="1557"/>
      <c r="BM73" s="1561">
        <f>+BK73/BK66-1</f>
        <v>0.3552554420088605</v>
      </c>
    </row>
    <row r="74" spans="1:65" ht="10.5" hidden="1" customHeight="1" outlineLevel="2">
      <c r="A74" s="1531" t="s">
        <v>760</v>
      </c>
      <c r="B74" s="1573"/>
      <c r="C74" s="1581">
        <f>(R74/R67-1)*100</f>
        <v>42.10215248517666</v>
      </c>
      <c r="D74" s="1573"/>
      <c r="E74" s="1575">
        <v>29.4</v>
      </c>
      <c r="F74" s="1573"/>
      <c r="G74" s="1565">
        <f>C74-E74</f>
        <v>12.702152485176661</v>
      </c>
      <c r="H74" s="1573"/>
      <c r="I74" s="1582">
        <v>372</v>
      </c>
      <c r="J74" s="1573"/>
      <c r="K74" s="1534">
        <f>AVERAGEA(I73,I74)</f>
        <v>359.5</v>
      </c>
      <c r="L74" s="1573"/>
      <c r="M74" s="1534">
        <f>(K74/K67-1)*100</f>
        <v>11.128284389489963</v>
      </c>
      <c r="N74" s="1573"/>
      <c r="O74" s="1535">
        <f>(G74/M74)*100</f>
        <v>114.14295358207352</v>
      </c>
      <c r="P74" s="1573"/>
      <c r="Q74" s="1573"/>
      <c r="R74" s="1557">
        <f>'qtrP&amp;L'!O12</f>
        <v>149.06800000000001</v>
      </c>
      <c r="S74" s="1557"/>
      <c r="T74" s="1255">
        <f xml:space="preserve"> R74/K74</f>
        <v>0.41465368567454802</v>
      </c>
      <c r="U74" s="1479"/>
      <c r="V74" s="1584">
        <f>T74/T67-1</f>
        <v>0.27872173376786225</v>
      </c>
      <c r="W74" s="1479"/>
      <c r="X74" s="1574">
        <f>turn!Z34</f>
        <v>1.566956</v>
      </c>
      <c r="Y74" s="1573"/>
      <c r="Z74" s="1574">
        <f>AVERAGEA(X73,X74)</f>
        <v>1.514532</v>
      </c>
      <c r="AA74" s="1573"/>
      <c r="AB74" s="1534">
        <f>(Z74/Z67-1)*100</f>
        <v>11.751435232206763</v>
      </c>
      <c r="AC74" s="1573"/>
      <c r="AD74" s="1535">
        <f>(G74/AB74)*100</f>
        <v>108.09022246375744</v>
      </c>
      <c r="AE74" s="1573"/>
      <c r="AF74" s="1573"/>
      <c r="AG74" s="1557">
        <f>R74</f>
        <v>149.06800000000001</v>
      </c>
      <c r="AH74" s="1557"/>
      <c r="AI74" s="1587">
        <f xml:space="preserve"> AG74/Z74</f>
        <v>98.425124064727598</v>
      </c>
      <c r="AJ74" s="1479"/>
      <c r="AK74" s="1584">
        <f>AI74/AI67-1</f>
        <v>0.27159129714893204</v>
      </c>
      <c r="AL74" s="1470"/>
      <c r="AM74" s="1470"/>
      <c r="AN74" s="1472"/>
      <c r="AO74" s="1470"/>
      <c r="AP74" s="1470"/>
      <c r="AQ74" s="1470"/>
      <c r="AR74" s="1470"/>
      <c r="AS74" s="1470"/>
      <c r="AT74" s="1470"/>
      <c r="AU74" s="1470"/>
      <c r="AV74" s="1473"/>
      <c r="AW74" s="1470"/>
      <c r="AX74" s="1206">
        <f>+I74/$AX$9</f>
        <v>0.30491803278688523</v>
      </c>
      <c r="AY74" s="1470"/>
      <c r="AZ74" s="1470"/>
      <c r="BA74" s="1470"/>
      <c r="BB74" s="1470"/>
      <c r="BC74" s="1470"/>
      <c r="BD74" s="1470"/>
      <c r="BE74" s="1557">
        <f>+'qtrP&amp;L'!O32</f>
        <v>36.186</v>
      </c>
      <c r="BF74" s="1557"/>
      <c r="BG74" s="1592">
        <f>+BE74/K74</f>
        <v>0.10065646731571627</v>
      </c>
      <c r="BH74" s="1557"/>
      <c r="BI74" s="1561">
        <f>+BG74/BG67-1</f>
        <v>0.21837787834446654</v>
      </c>
      <c r="BJ74" s="1557"/>
      <c r="BK74" s="1557">
        <f>+BE74/Z74</f>
        <v>23.892529177330026</v>
      </c>
      <c r="BL74" s="1557"/>
      <c r="BM74" s="1561">
        <f>+BK74/BK67-1</f>
        <v>0.21158393247647611</v>
      </c>
    </row>
    <row r="75" spans="1:65" ht="10.5" hidden="1" customHeight="1" outlineLevel="2">
      <c r="A75" s="1531" t="s">
        <v>761</v>
      </c>
      <c r="B75" s="1573"/>
      <c r="C75" s="1570">
        <f>(R75/R68-1)*100</f>
        <v>38.651268705270027</v>
      </c>
      <c r="D75" s="1573"/>
      <c r="E75" s="1570">
        <v>23.8</v>
      </c>
      <c r="F75" s="1573"/>
      <c r="G75" s="1570">
        <f>C75-E75</f>
        <v>14.851268705270027</v>
      </c>
      <c r="H75" s="1573"/>
      <c r="I75" s="1566">
        <f>yrSales!F19</f>
        <v>386</v>
      </c>
      <c r="J75" s="1573"/>
      <c r="K75" s="1545">
        <f>AVERAGEA(I74,I75)</f>
        <v>379</v>
      </c>
      <c r="L75" s="1573"/>
      <c r="M75" s="1545">
        <f>(K75/K68-1)*100</f>
        <v>14.156626506024095</v>
      </c>
      <c r="N75" s="1573"/>
      <c r="O75" s="1475">
        <f>(G75/M75)*100</f>
        <v>104.90683425850318</v>
      </c>
      <c r="P75" s="1573"/>
      <c r="Q75" s="1573"/>
      <c r="R75" s="1544">
        <f>'qtrP&amp;L'!O13</f>
        <v>213.107</v>
      </c>
      <c r="S75" s="1557"/>
      <c r="T75" s="1562">
        <f xml:space="preserve"> R75/K75</f>
        <v>0.56228759894459102</v>
      </c>
      <c r="U75" s="1479"/>
      <c r="V75" s="1589">
        <f>T75/T68-1</f>
        <v>0.21457048047888261</v>
      </c>
      <c r="W75" s="1479"/>
      <c r="X75" s="1574">
        <f>turn!Z35</f>
        <v>1.624933</v>
      </c>
      <c r="Y75" s="1573"/>
      <c r="Z75" s="1577">
        <f>AVERAGEA(X74,X75)</f>
        <v>1.5959444999999999</v>
      </c>
      <c r="AA75" s="1573"/>
      <c r="AB75" s="1545">
        <f>(Z75/Z68-1)*100</f>
        <v>14.840565026593765</v>
      </c>
      <c r="AC75" s="1573"/>
      <c r="AD75" s="1475">
        <f>(G75/AB75)*100</f>
        <v>100.0721244686916</v>
      </c>
      <c r="AE75" s="1573"/>
      <c r="AF75" s="1573"/>
      <c r="AG75" s="1544">
        <f>R75</f>
        <v>213.107</v>
      </c>
      <c r="AH75" s="1557"/>
      <c r="AI75" s="1590">
        <f xml:space="preserve"> AG75/Z75</f>
        <v>133.53033266507703</v>
      </c>
      <c r="AJ75" s="1479"/>
      <c r="AK75" s="1589">
        <f>AI75/AI68-1</f>
        <v>0.20733704743757042</v>
      </c>
      <c r="AL75" s="1470"/>
      <c r="AM75" s="1470"/>
      <c r="AN75" s="1472"/>
      <c r="AO75" s="1470"/>
      <c r="AP75" s="1470"/>
      <c r="AQ75" s="1470"/>
      <c r="AR75" s="1470"/>
      <c r="AS75" s="1470"/>
      <c r="AT75" s="1470"/>
      <c r="AU75" s="1470"/>
      <c r="AV75" s="1473"/>
      <c r="AW75" s="1470"/>
      <c r="AX75" s="1206">
        <f>+I75/$AX$9</f>
        <v>0.31639344262295083</v>
      </c>
      <c r="AY75" s="1470"/>
      <c r="AZ75" s="1470"/>
      <c r="BA75" s="1470"/>
      <c r="BB75" s="1470"/>
      <c r="BC75" s="1470"/>
      <c r="BD75" s="1470"/>
      <c r="BE75" s="1544">
        <f>+'qtrP&amp;L'!O33</f>
        <v>44.656000000000006</v>
      </c>
      <c r="BF75" s="1557"/>
      <c r="BG75" s="1593">
        <f>+BE75/K75</f>
        <v>0.11782585751978894</v>
      </c>
      <c r="BH75" s="1557"/>
      <c r="BI75" s="1594">
        <f>+BG75/BG68-1</f>
        <v>0.24500906099840636</v>
      </c>
      <c r="BJ75" s="1557"/>
      <c r="BK75" s="1544">
        <f>+BE75/Z75</f>
        <v>27.980922895501699</v>
      </c>
      <c r="BL75" s="1557"/>
      <c r="BM75" s="1594">
        <f>+BK75/BK68-1</f>
        <v>0.23759434952360747</v>
      </c>
    </row>
    <row r="76" spans="1:65" ht="10.5" hidden="1" customHeight="1" outlineLevel="2">
      <c r="A76" s="1531" t="s">
        <v>762</v>
      </c>
      <c r="B76" s="1578"/>
      <c r="C76" s="1579">
        <f>(R76/R69-1)*100</f>
        <v>44.831444888381711</v>
      </c>
      <c r="D76" s="1529"/>
      <c r="E76" s="1579">
        <v>32.1</v>
      </c>
      <c r="F76" s="1470"/>
      <c r="G76" s="1565">
        <f>C76-E76</f>
        <v>12.731444888381709</v>
      </c>
      <c r="H76" s="1470"/>
      <c r="I76" s="1566"/>
      <c r="J76" s="1470"/>
      <c r="K76" s="1534">
        <f>AVERAGEA(K72:K75)</f>
        <v>353.5</v>
      </c>
      <c r="L76" s="1470"/>
      <c r="M76" s="1534">
        <f>(K76/K69-1)*100</f>
        <v>10.771641206423821</v>
      </c>
      <c r="N76" s="1470"/>
      <c r="O76" s="1535">
        <f>(G76/M76)*100</f>
        <v>118.19410472741268</v>
      </c>
      <c r="P76" s="1472"/>
      <c r="Q76" s="1472"/>
      <c r="R76" s="1537">
        <f>SUM(R72:R75)</f>
        <v>587.6</v>
      </c>
      <c r="S76" s="1538"/>
      <c r="T76" s="1539">
        <f>SUM(T72:T75)</f>
        <v>1.6435990817627726</v>
      </c>
      <c r="U76" s="1479"/>
      <c r="V76" s="1584">
        <f>T76/T69-1</f>
        <v>0.30416315062128008</v>
      </c>
      <c r="W76" s="1479"/>
      <c r="X76" s="1566"/>
      <c r="Y76" s="1470"/>
      <c r="Z76" s="1574">
        <f>AVERAGEA(Z72:Z75)</f>
        <v>1.4880422499999999</v>
      </c>
      <c r="AA76" s="1470"/>
      <c r="AB76" s="1534">
        <f>(Z76/Z69-1)*100</f>
        <v>11.068308895858014</v>
      </c>
      <c r="AC76" s="1470"/>
      <c r="AD76" s="1535">
        <f>(G76/AB76)*100</f>
        <v>115.02610749457918</v>
      </c>
      <c r="AE76" s="1472"/>
      <c r="AF76" s="1472"/>
      <c r="AG76" s="1537">
        <f>SUM(AG72:AG75)</f>
        <v>587.6</v>
      </c>
      <c r="AH76" s="1538"/>
      <c r="AI76" s="1585">
        <f>SUM(AI72:AI75)</f>
        <v>390.41242914027805</v>
      </c>
      <c r="AJ76" s="1479"/>
      <c r="AK76" s="1584">
        <f>AI76/AI69-1</f>
        <v>0.29955848777574379</v>
      </c>
      <c r="AL76" s="1470"/>
      <c r="AM76" s="1470"/>
      <c r="AN76" s="1472"/>
      <c r="AO76" s="1470"/>
      <c r="AP76" s="1470"/>
      <c r="AQ76" s="1470"/>
      <c r="AR76" s="1470"/>
      <c r="AS76" s="1470"/>
      <c r="AT76" s="1470"/>
      <c r="AU76" s="1470"/>
      <c r="AV76" s="1473"/>
      <c r="AW76" s="1470"/>
      <c r="AX76" s="1470"/>
      <c r="AY76" s="1470"/>
      <c r="AZ76" s="1470"/>
      <c r="BA76" s="1470"/>
      <c r="BB76" s="1470"/>
      <c r="BC76" s="1470"/>
      <c r="BD76" s="1470"/>
      <c r="BE76" s="1538">
        <f>+'qtrP&amp;L'!O34</f>
        <v>138.84700000000001</v>
      </c>
      <c r="BF76" s="1538"/>
      <c r="BG76" s="1591">
        <f>+BE76/K76</f>
        <v>0.39277793493635083</v>
      </c>
      <c r="BH76" s="1538"/>
      <c r="BI76" s="1561">
        <f>+BG76/BG69-1</f>
        <v>0.27216614891618662</v>
      </c>
      <c r="BJ76" s="1538"/>
      <c r="BK76" s="1538">
        <f>+BE76/Z76</f>
        <v>93.308506529300502</v>
      </c>
      <c r="BL76" s="1538"/>
      <c r="BM76" s="1561">
        <f>+BK76/BK69-1</f>
        <v>0.26876814460940235</v>
      </c>
    </row>
    <row r="77" spans="1:65" ht="11.25" hidden="1" customHeight="1" outlineLevel="2">
      <c r="A77" s="951"/>
      <c r="B77" s="1470"/>
      <c r="C77" s="1532"/>
      <c r="D77" s="1470"/>
      <c r="E77" s="1532"/>
      <c r="F77" s="1470"/>
      <c r="G77" s="1470"/>
      <c r="H77" s="1470"/>
      <c r="I77" s="1470"/>
      <c r="J77" s="1470"/>
      <c r="K77" s="1470"/>
      <c r="L77" s="1470"/>
      <c r="M77" s="1532"/>
      <c r="N77" s="1470"/>
      <c r="O77" s="951"/>
      <c r="P77" s="1470"/>
      <c r="Q77" s="1470"/>
      <c r="R77" s="1470"/>
      <c r="S77" s="1472"/>
      <c r="T77" s="1479"/>
      <c r="U77" s="1479"/>
      <c r="V77" s="1479"/>
      <c r="W77" s="1479"/>
      <c r="X77" s="1470"/>
      <c r="Y77" s="1470"/>
      <c r="Z77" s="1470"/>
      <c r="AA77" s="1470"/>
      <c r="AB77" s="1532"/>
      <c r="AC77" s="1470"/>
      <c r="AD77" s="951"/>
      <c r="AE77" s="1470"/>
      <c r="AF77" s="1470"/>
      <c r="AG77" s="1470"/>
      <c r="AH77" s="1472"/>
      <c r="AI77" s="1479"/>
      <c r="AJ77" s="1479"/>
      <c r="AK77" s="1479"/>
      <c r="AL77" s="1470"/>
      <c r="AM77" s="1470"/>
      <c r="AN77" s="1472"/>
      <c r="AO77" s="1470"/>
      <c r="AP77" s="1470"/>
      <c r="AQ77" s="1470"/>
      <c r="AR77" s="1470"/>
      <c r="AS77" s="1470"/>
      <c r="AT77" s="1470"/>
      <c r="AU77" s="1470"/>
      <c r="AV77" s="1473"/>
      <c r="AW77" s="1470"/>
      <c r="AX77" s="1470"/>
      <c r="AY77" s="1470"/>
      <c r="AZ77" s="1470"/>
      <c r="BA77" s="1470"/>
      <c r="BB77" s="1470"/>
      <c r="BC77" s="1470"/>
      <c r="BD77" s="1470"/>
      <c r="BE77" s="1470"/>
      <c r="BF77" s="1470"/>
      <c r="BG77" s="1470"/>
      <c r="BH77" s="1470"/>
      <c r="BI77" s="1470"/>
      <c r="BJ77" s="1470"/>
      <c r="BK77" s="1470"/>
      <c r="BL77" s="1470"/>
      <c r="BM77" s="1470"/>
    </row>
    <row r="78" spans="1:65" ht="10.5" hidden="1" customHeight="1" outlineLevel="1" collapsed="1">
      <c r="A78" s="1580" t="s">
        <v>155</v>
      </c>
      <c r="B78" s="1499"/>
      <c r="C78" s="1499"/>
      <c r="D78" s="1499"/>
      <c r="E78" s="1499"/>
      <c r="F78" s="1499"/>
      <c r="G78" s="1499"/>
      <c r="H78" s="1499"/>
      <c r="I78" s="1571"/>
      <c r="J78" s="1499"/>
      <c r="K78" s="1499"/>
      <c r="L78" s="1499"/>
      <c r="M78" s="1572"/>
      <c r="N78" s="1499"/>
      <c r="O78" s="1551"/>
      <c r="P78" s="1499"/>
      <c r="Q78" s="1499"/>
      <c r="R78" s="1499"/>
      <c r="S78" s="1499"/>
      <c r="T78" s="1530"/>
      <c r="U78" s="1530"/>
      <c r="V78" s="1303"/>
      <c r="W78" s="1479"/>
      <c r="X78" s="1571"/>
      <c r="Y78" s="1499"/>
      <c r="Z78" s="1499"/>
      <c r="AA78" s="1499"/>
      <c r="AB78" s="1572"/>
      <c r="AC78" s="1499"/>
      <c r="AD78" s="1551"/>
      <c r="AE78" s="1499"/>
      <c r="AF78" s="1499"/>
      <c r="AG78" s="1499"/>
      <c r="AH78" s="1499"/>
      <c r="AI78" s="1530"/>
      <c r="AJ78" s="1530"/>
      <c r="AK78" s="1303"/>
      <c r="AL78" s="1487"/>
      <c r="AM78" s="1487"/>
      <c r="AN78" s="1496"/>
      <c r="AO78" s="1487"/>
      <c r="AP78" s="1487"/>
      <c r="AQ78" s="1487"/>
      <c r="AR78" s="1487"/>
      <c r="AS78" s="1487"/>
      <c r="AT78" s="1487"/>
      <c r="AU78" s="1487"/>
      <c r="AV78" s="1473"/>
      <c r="AW78" s="1487"/>
      <c r="AX78" s="1487"/>
      <c r="AY78" s="1487"/>
      <c r="AZ78" s="1487"/>
      <c r="BA78" s="1487"/>
      <c r="BB78" s="1487"/>
      <c r="BC78" s="1487"/>
      <c r="BD78" s="1487"/>
      <c r="BE78" s="1487"/>
      <c r="BF78" s="1487"/>
      <c r="BG78" s="1487"/>
      <c r="BH78" s="1487"/>
      <c r="BI78" s="1487"/>
      <c r="BJ78" s="1487"/>
      <c r="BK78" s="1487"/>
      <c r="BL78" s="1487"/>
      <c r="BM78" s="1487"/>
    </row>
    <row r="79" spans="1:65" ht="10.5" hidden="1" customHeight="1" outlineLevel="1">
      <c r="A79" s="1531" t="s">
        <v>758</v>
      </c>
      <c r="B79" s="1573"/>
      <c r="C79" s="1581">
        <f>(R79/R72-1)*100</f>
        <v>45.850301923887081</v>
      </c>
      <c r="D79" s="1573" t="s">
        <v>697</v>
      </c>
      <c r="E79" s="1595">
        <v>27.5</v>
      </c>
      <c r="F79" s="1573" t="s">
        <v>697</v>
      </c>
      <c r="G79" s="1565">
        <f>C79-E79</f>
        <v>18.350301923887081</v>
      </c>
      <c r="H79" s="1573" t="s">
        <v>697</v>
      </c>
      <c r="I79" s="1582">
        <v>401</v>
      </c>
      <c r="J79" s="1573"/>
      <c r="K79" s="1534">
        <f>(I79+I75)/2</f>
        <v>393.5</v>
      </c>
      <c r="L79" s="1573"/>
      <c r="M79" s="1534">
        <f>(K79/K72-1)*100</f>
        <v>17.814371257485039</v>
      </c>
      <c r="N79" s="1573" t="s">
        <v>697</v>
      </c>
      <c r="O79" s="1535">
        <f>(G79/M79)*100</f>
        <v>103.00841752232405</v>
      </c>
      <c r="P79" s="1573" t="s">
        <v>697</v>
      </c>
      <c r="Q79" s="1573"/>
      <c r="R79" s="1538">
        <f>'qtrP&amp;L'!S10</f>
        <v>145.404</v>
      </c>
      <c r="S79" s="1557"/>
      <c r="T79" s="1539">
        <f xml:space="preserve"> R79/K79</f>
        <v>0.36951461245235068</v>
      </c>
      <c r="U79" s="1479"/>
      <c r="V79" s="1584">
        <f>T79/T72-1</f>
        <v>0.23796698456361587</v>
      </c>
      <c r="W79" s="1479"/>
      <c r="X79" s="1574">
        <f>turn!Z39</f>
        <v>1.6913149999999999</v>
      </c>
      <c r="Y79" s="1573"/>
      <c r="Z79" s="1574">
        <f>(X79+X75)/2</f>
        <v>1.6581239999999999</v>
      </c>
      <c r="AA79" s="1573"/>
      <c r="AB79" s="1534">
        <f>(Z79/Z72-1)*100</f>
        <v>18.128648721431361</v>
      </c>
      <c r="AC79" s="1573" t="s">
        <v>697</v>
      </c>
      <c r="AD79" s="1535">
        <f>(G79/AB79)*100</f>
        <v>101.22266808663838</v>
      </c>
      <c r="AE79" s="1573" t="s">
        <v>697</v>
      </c>
      <c r="AF79" s="1573"/>
      <c r="AG79" s="1538">
        <f>R79</f>
        <v>145.404</v>
      </c>
      <c r="AH79" s="1557"/>
      <c r="AI79" s="1585">
        <f xml:space="preserve"> AG79/Z79</f>
        <v>87.691873466640615</v>
      </c>
      <c r="AJ79" s="1479"/>
      <c r="AK79" s="1584">
        <f>AI79/AI72-1</f>
        <v>0.23467341328713909</v>
      </c>
      <c r="AL79" s="1470"/>
      <c r="AM79" s="1470"/>
      <c r="AN79" s="1472"/>
      <c r="AO79" s="1470"/>
      <c r="AP79" s="1470"/>
      <c r="AQ79" s="1470"/>
      <c r="AR79" s="1470"/>
      <c r="AS79" s="1470"/>
      <c r="AT79" s="1470"/>
      <c r="AU79" s="1470"/>
      <c r="AV79" s="1473"/>
      <c r="AW79" s="1470"/>
      <c r="AX79" s="1206">
        <f>+I79/$AX$9</f>
        <v>0.32868852459016396</v>
      </c>
      <c r="AY79" s="1470"/>
      <c r="AZ79" s="1470"/>
      <c r="BA79" s="1470"/>
      <c r="BB79" s="1470"/>
      <c r="BC79" s="1470"/>
      <c r="BD79" s="1470"/>
      <c r="BE79" s="1538">
        <f>+'qtrP&amp;L'!S30</f>
        <v>37.107999999999997</v>
      </c>
      <c r="BF79" s="1470"/>
      <c r="BG79" s="1591">
        <f>+BE79/K79</f>
        <v>9.4302414231257931E-2</v>
      </c>
      <c r="BH79" s="1538"/>
      <c r="BI79" s="1561">
        <f>+BG79/BG72-1</f>
        <v>0.20112139546353003</v>
      </c>
      <c r="BJ79" s="1538"/>
      <c r="BK79" s="1538">
        <f>+BE79/Z79</f>
        <v>22.379508408297568</v>
      </c>
      <c r="BL79" s="1538"/>
      <c r="BM79" s="1561">
        <f>+BK79/BK72-1</f>
        <v>0.19792585068972901</v>
      </c>
    </row>
    <row r="80" spans="1:65" ht="10.5" hidden="1" customHeight="1" outlineLevel="1">
      <c r="A80" s="1531" t="s">
        <v>759</v>
      </c>
      <c r="B80" s="1573"/>
      <c r="C80" s="1581">
        <f>(R80/R73-1)*100</f>
        <v>42.034979440233514</v>
      </c>
      <c r="D80" s="1573"/>
      <c r="E80" s="1595">
        <v>19.8</v>
      </c>
      <c r="F80" s="1573"/>
      <c r="G80" s="1565">
        <f>C80-E80</f>
        <v>22.234979440233513</v>
      </c>
      <c r="H80" s="1573"/>
      <c r="I80" s="1582">
        <v>426</v>
      </c>
      <c r="J80" s="1573"/>
      <c r="K80" s="1534">
        <f>AVERAGEA(I79,I80)</f>
        <v>413.5</v>
      </c>
      <c r="L80" s="1573"/>
      <c r="M80" s="1534">
        <f>(K80/K73-1)*100</f>
        <v>21.083455344070281</v>
      </c>
      <c r="N80" s="1573"/>
      <c r="O80" s="1535">
        <f>(G80/M80)*100</f>
        <v>105.46174276166312</v>
      </c>
      <c r="P80" s="1573"/>
      <c r="Q80" s="1573"/>
      <c r="R80" s="1557">
        <f>'qtrP&amp;L'!S11</f>
        <v>178.58199999999999</v>
      </c>
      <c r="S80" s="1557"/>
      <c r="T80" s="1255">
        <f xml:space="preserve"> R80/K80</f>
        <v>0.43187908101571948</v>
      </c>
      <c r="U80" s="1479"/>
      <c r="V80" s="1584">
        <f>T80/T73-1</f>
        <v>0.1730337479767774</v>
      </c>
      <c r="W80" s="1479"/>
      <c r="X80" s="1574">
        <f>turn!Z40</f>
        <v>1.8179380000000001</v>
      </c>
      <c r="Y80" s="1573"/>
      <c r="Z80" s="1574">
        <f>AVERAGEA(X79,X80)</f>
        <v>1.7546265000000001</v>
      </c>
      <c r="AA80" s="1573"/>
      <c r="AB80" s="1534">
        <f>(Z80/Z73-1)*100</f>
        <v>22.015732601407635</v>
      </c>
      <c r="AC80" s="1573"/>
      <c r="AD80" s="1535">
        <f>(G80/AB80)*100</f>
        <v>100.99586437932963</v>
      </c>
      <c r="AE80" s="1573"/>
      <c r="AF80" s="1573"/>
      <c r="AG80" s="1557">
        <f>R80</f>
        <v>178.58199999999999</v>
      </c>
      <c r="AH80" s="1557"/>
      <c r="AI80" s="1587">
        <f xml:space="preserve"> AG80/Z80</f>
        <v>101.77778575668383</v>
      </c>
      <c r="AJ80" s="1479"/>
      <c r="AK80" s="1584">
        <f>AI80/AI73-1</f>
        <v>0.16407102930097839</v>
      </c>
      <c r="AL80" s="1470"/>
      <c r="AM80" s="1470"/>
      <c r="AN80" s="1472"/>
      <c r="AO80" s="1470"/>
      <c r="AP80" s="1470"/>
      <c r="AQ80" s="1470"/>
      <c r="AR80" s="1470"/>
      <c r="AS80" s="1470"/>
      <c r="AT80" s="1470"/>
      <c r="AU80" s="1470"/>
      <c r="AV80" s="1473"/>
      <c r="AW80" s="1470"/>
      <c r="AX80" s="1206">
        <f>+I80/$AX$9</f>
        <v>0.34918032786885245</v>
      </c>
      <c r="AY80" s="1470"/>
      <c r="AZ80" s="1470"/>
      <c r="BA80" s="1470"/>
      <c r="BB80" s="1470"/>
      <c r="BC80" s="1470"/>
      <c r="BD80" s="1470"/>
      <c r="BE80" s="1557">
        <f>+'qtrP&amp;L'!S31</f>
        <v>42.692999999999998</v>
      </c>
      <c r="BF80" s="1470"/>
      <c r="BG80" s="1592">
        <f>+BE80/K80</f>
        <v>0.10324788391777509</v>
      </c>
      <c r="BH80" s="1557"/>
      <c r="BI80" s="1561">
        <f>+BG80/BG73-1</f>
        <v>0.10940634188912579</v>
      </c>
      <c r="BJ80" s="1557"/>
      <c r="BK80" s="1557">
        <f>+BE80/Z80</f>
        <v>24.331674005835428</v>
      </c>
      <c r="BL80" s="1557"/>
      <c r="BM80" s="1561">
        <f>+BK80/BK73-1</f>
        <v>0.1009297767803643</v>
      </c>
    </row>
    <row r="81" spans="1:65" ht="10.5" hidden="1" customHeight="1" outlineLevel="1">
      <c r="A81" s="1531" t="s">
        <v>760</v>
      </c>
      <c r="B81" s="1573"/>
      <c r="C81" s="1581">
        <f>(R81/R74-1)*100</f>
        <v>49.390211178790878</v>
      </c>
      <c r="D81" s="1573"/>
      <c r="E81" s="1595">
        <v>26.4</v>
      </c>
      <c r="F81" s="1573"/>
      <c r="G81" s="1565">
        <f>C81-E81</f>
        <v>22.990211178790879</v>
      </c>
      <c r="H81" s="1573"/>
      <c r="I81" s="1582">
        <v>457</v>
      </c>
      <c r="J81" s="1573"/>
      <c r="K81" s="1534">
        <f>AVERAGEA(I80,I81)</f>
        <v>441.5</v>
      </c>
      <c r="L81" s="1573"/>
      <c r="M81" s="1534">
        <f>(K81/K74-1)*100</f>
        <v>22.809457579972193</v>
      </c>
      <c r="N81" s="1573"/>
      <c r="O81" s="1535">
        <f>(G81/M81)*100</f>
        <v>100.79245022896728</v>
      </c>
      <c r="P81" s="1573"/>
      <c r="Q81" s="1573"/>
      <c r="R81" s="1557">
        <f>'qtrP&amp;L'!S12</f>
        <v>222.69300000000001</v>
      </c>
      <c r="S81" s="1557"/>
      <c r="T81" s="1255">
        <f xml:space="preserve"> R81/K81</f>
        <v>0.50440090600226506</v>
      </c>
      <c r="U81" s="1479"/>
      <c r="V81" s="1584">
        <f>T81/T74-1</f>
        <v>0.21643897890770836</v>
      </c>
      <c r="W81" s="1479"/>
      <c r="X81" s="1574">
        <f>turn!Z41</f>
        <v>1.9903999999999999</v>
      </c>
      <c r="Y81" s="1573"/>
      <c r="Z81" s="1574">
        <f>AVERAGEA(X80,X81)</f>
        <v>1.904169</v>
      </c>
      <c r="AA81" s="1573"/>
      <c r="AB81" s="1534">
        <f>(Z81/Z74-1)*100</f>
        <v>25.726561076292874</v>
      </c>
      <c r="AC81" s="1573"/>
      <c r="AD81" s="1535">
        <f>(G81/AB81)*100</f>
        <v>89.363716785203934</v>
      </c>
      <c r="AE81" s="1573"/>
      <c r="AF81" s="1573"/>
      <c r="AG81" s="1557">
        <f>R81</f>
        <v>222.69300000000001</v>
      </c>
      <c r="AH81" s="1557"/>
      <c r="AI81" s="1587">
        <f xml:space="preserve"> AG81/Z81</f>
        <v>116.95022868243313</v>
      </c>
      <c r="AJ81" s="1479"/>
      <c r="AK81" s="1584">
        <f>AI81/AI74-1</f>
        <v>0.1882152021014758</v>
      </c>
      <c r="AL81" s="1470"/>
      <c r="AM81" s="1470"/>
      <c r="AN81" s="1472"/>
      <c r="AO81" s="1470"/>
      <c r="AP81" s="1470"/>
      <c r="AQ81" s="1470"/>
      <c r="AR81" s="1470"/>
      <c r="AS81" s="1470"/>
      <c r="AT81" s="1470"/>
      <c r="AU81" s="1470"/>
      <c r="AV81" s="1473"/>
      <c r="AW81" s="1470"/>
      <c r="AX81" s="1206">
        <f>+I81/$AX$9</f>
        <v>0.37459016393442623</v>
      </c>
      <c r="AY81" s="1470"/>
      <c r="AZ81" s="1470"/>
      <c r="BA81" s="1470"/>
      <c r="BB81" s="1470"/>
      <c r="BC81" s="1470"/>
      <c r="BD81" s="1470"/>
      <c r="BE81" s="1557">
        <f>+'qtrP&amp;L'!S32</f>
        <v>53.707999999999998</v>
      </c>
      <c r="BF81" s="1470"/>
      <c r="BG81" s="1592">
        <f>+BE81/K81</f>
        <v>0.12164892412231031</v>
      </c>
      <c r="BH81" s="1557"/>
      <c r="BI81" s="1561">
        <f>+BG81/BG74-1</f>
        <v>0.20855546957305471</v>
      </c>
      <c r="BJ81" s="1557"/>
      <c r="BK81" s="1557">
        <f>+BE81/Z81</f>
        <v>28.205479660681377</v>
      </c>
      <c r="BL81" s="1557"/>
      <c r="BM81" s="1561">
        <f>+BK81/BK74-1</f>
        <v>0.18051460568869415</v>
      </c>
    </row>
    <row r="82" spans="1:65" ht="10.5" hidden="1" customHeight="1" outlineLevel="1">
      <c r="A82" s="1531" t="s">
        <v>761</v>
      </c>
      <c r="B82" s="1573"/>
      <c r="C82" s="1570">
        <f>(R82/R75-1)*100</f>
        <v>33.935065483536441</v>
      </c>
      <c r="D82" s="1573"/>
      <c r="E82" s="1596">
        <v>14.4</v>
      </c>
      <c r="F82" s="1573"/>
      <c r="G82" s="1570">
        <f>C82-E82</f>
        <v>19.535065483536442</v>
      </c>
      <c r="H82" s="1573"/>
      <c r="I82" s="1566">
        <f>yrSales!G19</f>
        <v>466</v>
      </c>
      <c r="J82" s="1573"/>
      <c r="K82" s="1545">
        <f>AVERAGEA(I81,I82)</f>
        <v>461.5</v>
      </c>
      <c r="L82" s="1573"/>
      <c r="M82" s="1545">
        <f>(K82/K75-1)*100</f>
        <v>21.767810026385213</v>
      </c>
      <c r="N82" s="1573"/>
      <c r="O82" s="1597">
        <f>(G82/M82)*100</f>
        <v>89.74290688800383</v>
      </c>
      <c r="P82" s="1573"/>
      <c r="Q82" s="1573"/>
      <c r="R82" s="1544">
        <f>'qtrP&amp;L'!S13</f>
        <v>285.42500000000001</v>
      </c>
      <c r="S82" s="1557"/>
      <c r="T82" s="1562">
        <f xml:space="preserve"> R82/K82</f>
        <v>0.61847237269772481</v>
      </c>
      <c r="U82" s="1479"/>
      <c r="V82" s="1589">
        <f>T82/T75-1</f>
        <v>9.9921772876713222E-2</v>
      </c>
      <c r="W82" s="1479"/>
      <c r="X82" s="1574">
        <f>turn!Z42</f>
        <v>2.03938</v>
      </c>
      <c r="Y82" s="1573"/>
      <c r="Z82" s="1577">
        <f>AVERAGEA(X81,X82)</f>
        <v>2.0148899999999998</v>
      </c>
      <c r="AA82" s="1573"/>
      <c r="AB82" s="1545">
        <f>(Z82/Z75-1)*100</f>
        <v>26.250630895999194</v>
      </c>
      <c r="AC82" s="1573"/>
      <c r="AD82" s="1475">
        <f>(G82/AB82)*100</f>
        <v>74.417508519819009</v>
      </c>
      <c r="AE82" s="1573"/>
      <c r="AF82" s="1573"/>
      <c r="AG82" s="1544">
        <f>R82</f>
        <v>285.42500000000001</v>
      </c>
      <c r="AH82" s="1557"/>
      <c r="AI82" s="1590">
        <f xml:space="preserve"> AG82/Z82</f>
        <v>141.65785725275327</v>
      </c>
      <c r="AJ82" s="1479"/>
      <c r="AK82" s="1589">
        <f>AI82/AI75-1</f>
        <v>6.0866504452301795E-2</v>
      </c>
      <c r="AL82" s="1470"/>
      <c r="AM82" s="1470"/>
      <c r="AN82" s="1472"/>
      <c r="AO82" s="1470"/>
      <c r="AP82" s="1470"/>
      <c r="AQ82" s="1470"/>
      <c r="AR82" s="1470"/>
      <c r="AS82" s="1470"/>
      <c r="AT82" s="1470"/>
      <c r="AU82" s="1470"/>
      <c r="AV82" s="1473"/>
      <c r="AW82" s="1470"/>
      <c r="AX82" s="1206">
        <f>(I230+I82)/$AX$9</f>
        <v>0.47131147540983609</v>
      </c>
      <c r="AY82" s="1470"/>
      <c r="AZ82" s="1470"/>
      <c r="BA82" s="1470"/>
      <c r="BB82" s="1470"/>
      <c r="BC82" s="1470"/>
      <c r="BD82" s="1470"/>
      <c r="BE82" s="1544">
        <f>+'qtrP&amp;L'!S33</f>
        <v>61.286000000000001</v>
      </c>
      <c r="BF82" s="1470"/>
      <c r="BG82" s="1593">
        <f>+BE82/K82</f>
        <v>0.13279739978331528</v>
      </c>
      <c r="BH82" s="1557"/>
      <c r="BI82" s="1594">
        <f>+BG82/BG75-1</f>
        <v>0.12706499726523823</v>
      </c>
      <c r="BJ82" s="1557"/>
      <c r="BK82" s="1544">
        <f>+BE82/Z82</f>
        <v>30.416548794226983</v>
      </c>
      <c r="BL82" s="1557"/>
      <c r="BM82" s="1594">
        <f>+BK82/BK75-1</f>
        <v>8.7045945833217786E-2</v>
      </c>
    </row>
    <row r="83" spans="1:65" ht="10.5" hidden="1" customHeight="1" outlineLevel="1">
      <c r="A83" s="1531" t="s">
        <v>762</v>
      </c>
      <c r="B83" s="1578"/>
      <c r="C83" s="1579">
        <f>(R83/R76-1)*100</f>
        <v>41.610619469026553</v>
      </c>
      <c r="D83" s="1529"/>
      <c r="E83" s="1579">
        <f>R79/R83*E79+R80/R83*E80+R81/R83*E81+R82/R83*E82-0.16</f>
        <v>20.899565631219172</v>
      </c>
      <c r="F83" s="1470"/>
      <c r="G83" s="1565">
        <f>C83-E83</f>
        <v>20.711053837807381</v>
      </c>
      <c r="H83" s="1470"/>
      <c r="I83" s="1566"/>
      <c r="J83" s="1470"/>
      <c r="K83" s="1534">
        <f>AVERAGEA(K79:K82)</f>
        <v>427.5</v>
      </c>
      <c r="L83" s="1470"/>
      <c r="M83" s="1534">
        <f>(K83/K76-1)*100</f>
        <v>20.933521923620923</v>
      </c>
      <c r="N83" s="1470"/>
      <c r="O83" s="1535">
        <f>(G83/M83)*100</f>
        <v>98.93726394141774</v>
      </c>
      <c r="P83" s="1472"/>
      <c r="Q83" s="1472"/>
      <c r="R83" s="1537">
        <f>SUM(R79:R82)</f>
        <v>832.10400000000004</v>
      </c>
      <c r="S83" s="1538"/>
      <c r="T83" s="1539">
        <f>SUM(T79:T82)</f>
        <v>1.9242669721680601</v>
      </c>
      <c r="U83" s="1479"/>
      <c r="V83" s="1584">
        <f>T83/T76-1</f>
        <v>0.17076420492050226</v>
      </c>
      <c r="W83" s="1479"/>
      <c r="X83" s="1566"/>
      <c r="Y83" s="1470"/>
      <c r="Z83" s="1574">
        <f>AVERAGEA(Z79:Z82)</f>
        <v>1.8329523750000001</v>
      </c>
      <c r="AA83" s="1470"/>
      <c r="AB83" s="1534">
        <f>(Z83/Z76-1)*100</f>
        <v>23.178785750203001</v>
      </c>
      <c r="AC83" s="1470"/>
      <c r="AD83" s="1535">
        <f>(G83/AB83)*100</f>
        <v>89.353489268202893</v>
      </c>
      <c r="AE83" s="1472"/>
      <c r="AF83" s="1472"/>
      <c r="AG83" s="1537">
        <f>SUM(AG79:AG82)</f>
        <v>832.10400000000004</v>
      </c>
      <c r="AH83" s="1538"/>
      <c r="AI83" s="1585">
        <f>SUM(AI79:AI82)</f>
        <v>448.07774515851088</v>
      </c>
      <c r="AJ83" s="1479"/>
      <c r="AK83" s="1584">
        <f>AI83/AI76-1</f>
        <v>0.14770358655132165</v>
      </c>
      <c r="AL83" s="1470"/>
      <c r="AM83" s="1470"/>
      <c r="AN83" s="1472"/>
      <c r="AO83" s="1470"/>
      <c r="AP83" s="1470"/>
      <c r="AQ83" s="1470"/>
      <c r="AR83" s="1470"/>
      <c r="AS83" s="1470"/>
      <c r="AT83" s="1470"/>
      <c r="AU83" s="1470"/>
      <c r="AV83" s="1473"/>
      <c r="AW83" s="1470"/>
      <c r="AX83" s="1470"/>
      <c r="AY83" s="1470"/>
      <c r="AZ83" s="1470"/>
      <c r="BA83" s="1470"/>
      <c r="BB83" s="1470"/>
      <c r="BC83" s="1470"/>
      <c r="BD83" s="1470"/>
      <c r="BE83" s="1538">
        <f>+'qtrP&amp;L'!S34</f>
        <v>194.79499999999999</v>
      </c>
      <c r="BF83" s="1470"/>
      <c r="BG83" s="1591">
        <f>+BE83/K83</f>
        <v>0.45566081871345027</v>
      </c>
      <c r="BH83" s="1538"/>
      <c r="BI83" s="1561">
        <f>+BG83/BG76-1</f>
        <v>0.16009780128634143</v>
      </c>
      <c r="BJ83" s="1538"/>
      <c r="BK83" s="1538">
        <f>+BE83/Z83</f>
        <v>106.27390141546911</v>
      </c>
      <c r="BL83" s="1538"/>
      <c r="BM83" s="1561">
        <f>+BK83/BK76-1</f>
        <v>0.13895190662061707</v>
      </c>
    </row>
    <row r="84" spans="1:65" ht="10.5" hidden="1" customHeight="1" outlineLevel="1">
      <c r="A84" s="1531"/>
      <c r="B84" s="1578"/>
      <c r="C84" s="1579"/>
      <c r="D84" s="1529"/>
      <c r="E84" s="1579"/>
      <c r="F84" s="1470"/>
      <c r="G84" s="1565"/>
      <c r="H84" s="1470"/>
      <c r="I84" s="1566"/>
      <c r="J84" s="1470"/>
      <c r="K84" s="1534"/>
      <c r="L84" s="1470"/>
      <c r="M84" s="1534"/>
      <c r="N84" s="1470"/>
      <c r="O84" s="1535"/>
      <c r="P84" s="1472"/>
      <c r="Q84" s="1472"/>
      <c r="R84" s="1537"/>
      <c r="S84" s="1538"/>
      <c r="T84" s="1539"/>
      <c r="U84" s="1479"/>
      <c r="V84" s="1555"/>
      <c r="W84" s="1479"/>
      <c r="X84" s="1566"/>
      <c r="Y84" s="1470"/>
      <c r="Z84" s="1534"/>
      <c r="AA84" s="1470"/>
      <c r="AB84" s="1534"/>
      <c r="AC84" s="1470"/>
      <c r="AD84" s="1535"/>
      <c r="AE84" s="1472"/>
      <c r="AF84" s="1472"/>
      <c r="AG84" s="1537"/>
      <c r="AH84" s="1538"/>
      <c r="AI84" s="1539"/>
      <c r="AJ84" s="1479"/>
      <c r="AK84" s="1555"/>
      <c r="AL84" s="1470"/>
      <c r="AM84" s="1598"/>
      <c r="AN84" s="1510"/>
      <c r="AO84" s="1598"/>
      <c r="AP84" s="1598"/>
      <c r="AQ84" s="1598"/>
      <c r="AR84" s="1598"/>
      <c r="AS84" s="1598"/>
      <c r="AT84" s="1598"/>
      <c r="AU84" s="1598"/>
      <c r="AV84" s="1473"/>
      <c r="AW84" s="1598"/>
      <c r="AX84" s="1470"/>
      <c r="AY84" s="1470"/>
      <c r="AZ84" s="1470"/>
      <c r="BA84" s="1470"/>
      <c r="BB84" s="1470"/>
      <c r="BC84" s="1470"/>
      <c r="BD84" s="1470"/>
      <c r="BE84" s="1470"/>
      <c r="BF84" s="1470"/>
      <c r="BG84" s="1470"/>
      <c r="BH84" s="1470"/>
      <c r="BI84" s="1470"/>
      <c r="BJ84" s="1470"/>
      <c r="BK84" s="1470"/>
      <c r="BL84" s="1470"/>
      <c r="BM84" s="1470"/>
    </row>
    <row r="85" spans="1:65" ht="10.5" hidden="1" customHeight="1" outlineLevel="1">
      <c r="A85" s="1580" t="s">
        <v>436</v>
      </c>
      <c r="B85" s="1499"/>
      <c r="C85" s="1499"/>
      <c r="D85" s="1499"/>
      <c r="E85" s="1499"/>
      <c r="F85" s="1499"/>
      <c r="G85" s="1499"/>
      <c r="H85" s="1499"/>
      <c r="I85" s="1571"/>
      <c r="J85" s="1499"/>
      <c r="K85" s="1499"/>
      <c r="L85" s="1499"/>
      <c r="M85" s="1572"/>
      <c r="N85" s="1499"/>
      <c r="O85" s="1551"/>
      <c r="P85" s="1499"/>
      <c r="Q85" s="1499"/>
      <c r="R85" s="1499"/>
      <c r="S85" s="1499"/>
      <c r="T85" s="1530"/>
      <c r="U85" s="1530"/>
      <c r="V85" s="1303"/>
      <c r="W85" s="1479"/>
      <c r="X85" s="1571"/>
      <c r="Y85" s="1499"/>
      <c r="Z85" s="1499"/>
      <c r="AA85" s="1499"/>
      <c r="AB85" s="1572"/>
      <c r="AC85" s="1499"/>
      <c r="AD85" s="1551"/>
      <c r="AE85" s="1499"/>
      <c r="AF85" s="1499"/>
      <c r="AG85" s="1499"/>
      <c r="AH85" s="1499"/>
      <c r="AI85" s="1530"/>
      <c r="AJ85" s="1530"/>
      <c r="AK85" s="1303"/>
      <c r="AL85" s="1487"/>
      <c r="AM85" s="1599"/>
      <c r="AN85" s="1522"/>
      <c r="AO85" s="1599"/>
      <c r="AP85" s="1599"/>
      <c r="AQ85" s="1599"/>
      <c r="AR85" s="1599"/>
      <c r="AS85" s="1599"/>
      <c r="AT85" s="1599"/>
      <c r="AU85" s="1599"/>
      <c r="AV85" s="1473"/>
      <c r="AW85" s="1599"/>
      <c r="AX85" s="1487"/>
      <c r="AY85" s="1487"/>
      <c r="AZ85" s="1487"/>
      <c r="BA85" s="1487"/>
      <c r="BB85" s="1487"/>
      <c r="BC85" s="1487"/>
      <c r="BD85" s="1487"/>
      <c r="BE85" s="1487"/>
      <c r="BF85" s="1487"/>
      <c r="BG85" s="1487"/>
      <c r="BH85" s="1487"/>
      <c r="BI85" s="1487"/>
      <c r="BJ85" s="1487"/>
      <c r="BK85" s="1487"/>
      <c r="BL85" s="1487"/>
      <c r="BM85" s="1487"/>
    </row>
    <row r="86" spans="1:65" ht="10.5" hidden="1" customHeight="1" outlineLevel="1">
      <c r="A86" s="1531" t="s">
        <v>758</v>
      </c>
      <c r="B86" s="1573"/>
      <c r="C86" s="1581">
        <f>(R86/R79-1)*100</f>
        <v>21.385243872245606</v>
      </c>
      <c r="D86" s="1573" t="s">
        <v>697</v>
      </c>
      <c r="E86" s="1565">
        <v>3.9</v>
      </c>
      <c r="F86" s="1573" t="s">
        <v>697</v>
      </c>
      <c r="G86" s="1565">
        <f>C86-E86</f>
        <v>17.485243872245608</v>
      </c>
      <c r="H86" s="1573" t="s">
        <v>697</v>
      </c>
      <c r="I86" s="1582">
        <v>491</v>
      </c>
      <c r="J86" s="1600"/>
      <c r="K86" s="1534">
        <f>(I86+I82)/2</f>
        <v>478.5</v>
      </c>
      <c r="L86" s="1573"/>
      <c r="M86" s="1534">
        <f>(K86/K79-1)*100</f>
        <v>21.601016518424387</v>
      </c>
      <c r="N86" s="1573" t="s">
        <v>697</v>
      </c>
      <c r="O86" s="1535">
        <f>(G86/M86)*100</f>
        <v>80.946393690925291</v>
      </c>
      <c r="P86" s="1573" t="s">
        <v>697</v>
      </c>
      <c r="Q86" s="1573"/>
      <c r="R86" s="1538">
        <f>'qtrP&amp;L'!W10-AM86</f>
        <v>176.499</v>
      </c>
      <c r="S86" s="1557" t="s">
        <v>235</v>
      </c>
      <c r="T86" s="1539">
        <f xml:space="preserve"> R86/K86</f>
        <v>0.36885893416927901</v>
      </c>
      <c r="U86" s="1479"/>
      <c r="V86" s="1584">
        <f>T86/T79-1</f>
        <v>-1.7744312700386233E-3</v>
      </c>
      <c r="W86" s="1479"/>
      <c r="X86" s="1601">
        <f>turn!Z46</f>
        <v>2.1938219999999999</v>
      </c>
      <c r="Y86" s="1600"/>
      <c r="Z86" s="1574">
        <f>(X86+X82)/2</f>
        <v>2.1166010000000002</v>
      </c>
      <c r="AA86" s="1573"/>
      <c r="AB86" s="1534">
        <f>(Z86/Z79-1)*100</f>
        <v>27.65034460631415</v>
      </c>
      <c r="AC86" s="1573" t="s">
        <v>697</v>
      </c>
      <c r="AD86" s="1535">
        <f>(G86/AB86)*100</f>
        <v>63.23698355735042</v>
      </c>
      <c r="AE86" s="1573" t="s">
        <v>697</v>
      </c>
      <c r="AF86" s="1573"/>
      <c r="AG86" s="1538">
        <f>R86</f>
        <v>176.499</v>
      </c>
      <c r="AH86" s="1557"/>
      <c r="AI86" s="1585">
        <f xml:space="preserve"> AG86/Z86</f>
        <v>83.387941326683674</v>
      </c>
      <c r="AJ86" s="1479"/>
      <c r="AK86" s="1584">
        <f>AI86/AI79-1</f>
        <v>-4.908017094188577E-2</v>
      </c>
      <c r="AL86" s="1470"/>
      <c r="AM86" s="1602">
        <v>1.5</v>
      </c>
      <c r="AN86" s="1603"/>
      <c r="AO86" s="1602"/>
      <c r="AP86" s="1602"/>
      <c r="AQ86" s="1291">
        <f>AM86/AM90</f>
        <v>0.14285714285714285</v>
      </c>
      <c r="AR86" s="1602"/>
      <c r="AS86" s="1303">
        <f>AM86/(R86+AM86)</f>
        <v>8.4270136349080607E-3</v>
      </c>
      <c r="AT86" s="1602"/>
      <c r="AU86" s="1303"/>
      <c r="AV86" s="1473"/>
      <c r="AW86" s="1602"/>
      <c r="AX86" s="1206">
        <f>(I86+I234)/$AX$9</f>
        <v>0.49262295081967211</v>
      </c>
      <c r="AY86" s="1470"/>
      <c r="AZ86" s="1470"/>
      <c r="BA86" s="1470"/>
      <c r="BB86" s="1470"/>
      <c r="BC86" s="1470"/>
      <c r="BD86" s="1470"/>
      <c r="BE86" s="1538">
        <f>+'qtrP&amp;L'!W30</f>
        <v>46.707000000000001</v>
      </c>
      <c r="BF86" s="1470"/>
      <c r="BG86" s="1591">
        <f>+BE86/K86</f>
        <v>9.7611285266457681E-2</v>
      </c>
      <c r="BH86" s="1538"/>
      <c r="BI86" s="1561">
        <f>+BG86/BG79-1</f>
        <v>3.508787195082208E-2</v>
      </c>
      <c r="BJ86" s="1538"/>
      <c r="BK86" s="1538">
        <f>+BE86/Z86</f>
        <v>22.06698381036388</v>
      </c>
      <c r="BL86" s="1538"/>
      <c r="BM86" s="1604">
        <f>+BK86/BK79-1</f>
        <v>-1.3964765991813066E-2</v>
      </c>
    </row>
    <row r="87" spans="1:65" ht="10.5" hidden="1" customHeight="1" outlineLevel="1">
      <c r="A87" s="1531" t="s">
        <v>759</v>
      </c>
      <c r="B87" s="1573"/>
      <c r="C87" s="1581">
        <f>(R87/R80-1)*100</f>
        <v>15.900258704684699</v>
      </c>
      <c r="D87" s="1573"/>
      <c r="E87" s="1565">
        <v>-2.9</v>
      </c>
      <c r="F87" s="1573"/>
      <c r="G87" s="1565">
        <f>C87-E87</f>
        <v>18.800258704684698</v>
      </c>
      <c r="H87" s="1573"/>
      <c r="I87" s="1582">
        <f>+I86+22</f>
        <v>513</v>
      </c>
      <c r="J87" s="1600"/>
      <c r="K87" s="1534">
        <f>AVERAGEA(I86,I87)</f>
        <v>502</v>
      </c>
      <c r="L87" s="1573"/>
      <c r="M87" s="1534">
        <f>(K87/K80-1)*100</f>
        <v>21.40266021765418</v>
      </c>
      <c r="N87" s="1573"/>
      <c r="O87" s="1535">
        <f>(G87/M87)*100</f>
        <v>87.840756772735816</v>
      </c>
      <c r="P87" s="1573"/>
      <c r="Q87" s="1573"/>
      <c r="R87" s="1605">
        <f>'qtrP&amp;L'!W11-AM87</f>
        <v>206.977</v>
      </c>
      <c r="S87" s="1557" t="s">
        <v>235</v>
      </c>
      <c r="T87" s="1255">
        <f xml:space="preserve"> R87/K87</f>
        <v>0.41230478087649403</v>
      </c>
      <c r="U87" s="1479"/>
      <c r="V87" s="1584">
        <f>T87/T80-1</f>
        <v>-4.5323566247268632E-2</v>
      </c>
      <c r="W87" s="1479"/>
      <c r="X87" s="1601">
        <f>turn!Z47</f>
        <v>2.3449749999999998</v>
      </c>
      <c r="Y87" s="1600"/>
      <c r="Z87" s="1574">
        <f>AVERAGEA(X86,X87)</f>
        <v>2.2693984999999999</v>
      </c>
      <c r="AA87" s="1573"/>
      <c r="AB87" s="1534">
        <f>(Z87/Z80-1)*100</f>
        <v>29.337981616030518</v>
      </c>
      <c r="AC87" s="1573"/>
      <c r="AD87" s="1535">
        <f>(G87/AB87)*100</f>
        <v>64.08163639455033</v>
      </c>
      <c r="AE87" s="1573"/>
      <c r="AF87" s="1573"/>
      <c r="AG87" s="1557">
        <f>R87</f>
        <v>206.977</v>
      </c>
      <c r="AH87" s="1557"/>
      <c r="AI87" s="1587">
        <f xml:space="preserve"> AG87/Z87</f>
        <v>91.203462062744833</v>
      </c>
      <c r="AJ87" s="1479"/>
      <c r="AK87" s="1584">
        <f>AI87/AI80-1</f>
        <v>-0.10389618535442124</v>
      </c>
      <c r="AL87" s="1470"/>
      <c r="AM87" s="1602">
        <v>2</v>
      </c>
      <c r="AN87" s="1603"/>
      <c r="AO87" s="1602"/>
      <c r="AP87" s="1602"/>
      <c r="AQ87" s="1291">
        <f>AM87/AM90</f>
        <v>0.19047619047619047</v>
      </c>
      <c r="AR87" s="1602"/>
      <c r="AS87" s="1303">
        <f>AM87/(R87+AM87)</f>
        <v>9.5704311957775252E-3</v>
      </c>
      <c r="AT87" s="1602"/>
      <c r="AU87" s="1303"/>
      <c r="AV87" s="1473"/>
      <c r="AW87" s="1602"/>
      <c r="AX87" s="1206">
        <f>(I87+I235)/$AX$9</f>
        <v>0.51065573770491801</v>
      </c>
      <c r="AY87" s="1470"/>
      <c r="AZ87" s="1470"/>
      <c r="BA87" s="1470"/>
      <c r="BB87" s="1470"/>
      <c r="BC87" s="1470"/>
      <c r="BD87" s="1470"/>
      <c r="BE87" s="1557">
        <f>+'qtrP&amp;L'!W31</f>
        <v>55.015999999999998</v>
      </c>
      <c r="BF87" s="1470"/>
      <c r="BG87" s="1592">
        <f>+BE87/K87</f>
        <v>0.10959362549800797</v>
      </c>
      <c r="BH87" s="1557"/>
      <c r="BI87" s="1561">
        <f>+BG87/BG80-1</f>
        <v>6.1461226510816536E-2</v>
      </c>
      <c r="BJ87" s="1557"/>
      <c r="BK87" s="1557">
        <f>+BE87/Z87</f>
        <v>24.242547089019403</v>
      </c>
      <c r="BL87" s="1557"/>
      <c r="BM87" s="1604">
        <f>+BK87/BK80-1</f>
        <v>-3.6629997917384527E-3</v>
      </c>
    </row>
    <row r="88" spans="1:65" ht="10.5" hidden="1" customHeight="1" outlineLevel="1">
      <c r="A88" s="1531" t="s">
        <v>760</v>
      </c>
      <c r="B88" s="1573"/>
      <c r="C88" s="1581">
        <f>(R88/R81-1)*100</f>
        <v>25.629004953007041</v>
      </c>
      <c r="D88" s="1573"/>
      <c r="E88" s="1565">
        <v>6.8</v>
      </c>
      <c r="F88" s="1573"/>
      <c r="G88" s="1565">
        <f>C88-E88</f>
        <v>18.82900495300704</v>
      </c>
      <c r="H88" s="1573"/>
      <c r="I88" s="1582">
        <f>+I87+28</f>
        <v>541</v>
      </c>
      <c r="J88" s="1600"/>
      <c r="K88" s="1534">
        <f>AVERAGEA(I87,I88)</f>
        <v>527</v>
      </c>
      <c r="L88" s="1573"/>
      <c r="M88" s="1534">
        <f>(K88/K81-1)*100</f>
        <v>19.365798414496037</v>
      </c>
      <c r="N88" s="1573"/>
      <c r="O88" s="1535">
        <f>(G88/M88)*100</f>
        <v>97.228136687165005</v>
      </c>
      <c r="P88" s="1573"/>
      <c r="Q88" s="1573"/>
      <c r="R88" s="1605">
        <f>'qtrP&amp;L'!W12-AM88</f>
        <v>279.767</v>
      </c>
      <c r="S88" s="1557" t="s">
        <v>235</v>
      </c>
      <c r="T88" s="1255">
        <f xml:space="preserve"> R88/K88</f>
        <v>0.53086717267552186</v>
      </c>
      <c r="U88" s="1479"/>
      <c r="V88" s="1584">
        <f>T88/T81-1</f>
        <v>5.2470696143313234E-2</v>
      </c>
      <c r="W88" s="1479"/>
      <c r="X88" s="1601">
        <f>turn!Z48</f>
        <v>2.5186959999999998</v>
      </c>
      <c r="Y88" s="1600"/>
      <c r="Z88" s="1574">
        <f>AVERAGEA(X87,X88)</f>
        <v>2.4318355</v>
      </c>
      <c r="AA88" s="1573"/>
      <c r="AB88" s="1534">
        <f>(Z88/Z81-1)*100</f>
        <v>27.711117027952881</v>
      </c>
      <c r="AC88" s="1573"/>
      <c r="AD88" s="1535">
        <f>(G88/AB88)*100</f>
        <v>67.947477303111825</v>
      </c>
      <c r="AE88" s="1573"/>
      <c r="AF88" s="1573"/>
      <c r="AG88" s="1557">
        <f>R88</f>
        <v>279.767</v>
      </c>
      <c r="AH88" s="1557"/>
      <c r="AI88" s="1587">
        <f xml:space="preserve"> AG88/Z88</f>
        <v>115.04355454963955</v>
      </c>
      <c r="AJ88" s="1479"/>
      <c r="AK88" s="1584">
        <f>AI88/AI81-1</f>
        <v>-1.6303295464012879E-2</v>
      </c>
      <c r="AL88" s="1470"/>
      <c r="AM88" s="1602">
        <v>3</v>
      </c>
      <c r="AN88" s="1603"/>
      <c r="AO88" s="1602"/>
      <c r="AP88" s="1602"/>
      <c r="AQ88" s="1291">
        <f>AM88/AM90</f>
        <v>0.2857142857142857</v>
      </c>
      <c r="AR88" s="1602"/>
      <c r="AS88" s="1303">
        <f>AM88/(R88+AM88)</f>
        <v>1.0609441695813161E-2</v>
      </c>
      <c r="AT88" s="1602"/>
      <c r="AU88" s="1303"/>
      <c r="AV88" s="1473"/>
      <c r="AW88" s="1602"/>
      <c r="AX88" s="1206">
        <f>(I88+I236)/$AX$9</f>
        <v>0.53524590163934427</v>
      </c>
      <c r="AY88" s="1470"/>
      <c r="AZ88" s="1470"/>
      <c r="BA88" s="1470"/>
      <c r="BB88" s="1470"/>
      <c r="BC88" s="1470"/>
      <c r="BD88" s="1470"/>
      <c r="BE88" s="1557">
        <f>+'qtrP&amp;L'!W32</f>
        <v>67.644000000000005</v>
      </c>
      <c r="BF88" s="1470"/>
      <c r="BG88" s="1592">
        <f>+BE88/K88</f>
        <v>0.12835673624288427</v>
      </c>
      <c r="BH88" s="1557"/>
      <c r="BI88" s="1561">
        <f>+BG88/BG81-1</f>
        <v>5.5140743487625654E-2</v>
      </c>
      <c r="BJ88" s="1557"/>
      <c r="BK88" s="1557">
        <f>+BE88/Z88</f>
        <v>27.816026207364768</v>
      </c>
      <c r="BL88" s="1557"/>
      <c r="BM88" s="1604">
        <f>+BK88/BK81-1</f>
        <v>-1.3807723109191095E-2</v>
      </c>
    </row>
    <row r="89" spans="1:65" ht="10.5" hidden="1" customHeight="1" outlineLevel="1">
      <c r="A89" s="1531" t="s">
        <v>761</v>
      </c>
      <c r="B89" s="1510" t="s">
        <v>495</v>
      </c>
      <c r="C89" s="1570">
        <f>(R89/R82-1)*100</f>
        <v>34.478059034772699</v>
      </c>
      <c r="D89" s="1573"/>
      <c r="E89" s="1570">
        <v>11.3</v>
      </c>
      <c r="F89" s="1573"/>
      <c r="G89" s="1570">
        <f>C89-E89</f>
        <v>23.178059034772698</v>
      </c>
      <c r="H89" s="1573"/>
      <c r="I89" s="1606">
        <f>yrSales!H19</f>
        <v>554</v>
      </c>
      <c r="J89" s="1600"/>
      <c r="K89" s="1545">
        <f>AVERAGEA(I88,I89)</f>
        <v>547.5</v>
      </c>
      <c r="L89" s="1573"/>
      <c r="M89" s="1545">
        <f>(K89/K82-1)*100</f>
        <v>18.634886240520053</v>
      </c>
      <c r="N89" s="1573"/>
      <c r="O89" s="1597">
        <f>(G89/M89)*100</f>
        <v>124.37993307613482</v>
      </c>
      <c r="P89" s="1573"/>
      <c r="Q89" s="1573"/>
      <c r="R89" s="1607">
        <v>383.834</v>
      </c>
      <c r="S89" s="1557" t="s">
        <v>235</v>
      </c>
      <c r="T89" s="1562">
        <f xml:space="preserve"> R89/K89</f>
        <v>0.70106666666666673</v>
      </c>
      <c r="U89" s="1479"/>
      <c r="V89" s="1589">
        <f>T89/T82-1</f>
        <v>0.13354564830223947</v>
      </c>
      <c r="W89" s="1479"/>
      <c r="X89" s="1601">
        <f>+yrSales!H34</f>
        <v>2.5968629999999999</v>
      </c>
      <c r="Y89" s="1600"/>
      <c r="Z89" s="1577">
        <f>AVERAGEA(X88,X89)</f>
        <v>2.5577794999999997</v>
      </c>
      <c r="AA89" s="1573"/>
      <c r="AB89" s="1545">
        <f>(Z89/Z82-1)*100</f>
        <v>26.943877829558915</v>
      </c>
      <c r="AC89" s="1573"/>
      <c r="AD89" s="1475">
        <f>(G89/AB89)*100</f>
        <v>86.023471385195691</v>
      </c>
      <c r="AE89" s="1573"/>
      <c r="AF89" s="1573"/>
      <c r="AG89" s="1544">
        <f>R89</f>
        <v>383.834</v>
      </c>
      <c r="AH89" s="1557"/>
      <c r="AI89" s="1590">
        <f xml:space="preserve"> AG89/Z89</f>
        <v>150.06532032960624</v>
      </c>
      <c r="AJ89" s="1479"/>
      <c r="AK89" s="1589">
        <f>AI89/AI82-1</f>
        <v>5.9350488846177774E-2</v>
      </c>
      <c r="AL89" s="1470"/>
      <c r="AM89" s="1608">
        <v>4</v>
      </c>
      <c r="AN89" s="1603"/>
      <c r="AO89" s="1603"/>
      <c r="AP89" s="1603"/>
      <c r="AQ89" s="1609">
        <f>AM89/AM90</f>
        <v>0.38095238095238093</v>
      </c>
      <c r="AR89" s="1603"/>
      <c r="AS89" s="1594">
        <f>AM89/(R89+AM89)</f>
        <v>1.0313690908997149E-2</v>
      </c>
      <c r="AT89" s="1603"/>
      <c r="AU89" s="1561"/>
      <c r="AV89" s="1473"/>
      <c r="AW89" s="1603"/>
      <c r="AX89" s="1206">
        <f>(I89+I237)/$AX$9</f>
        <v>0.54590163934426228</v>
      </c>
      <c r="AY89" s="1470"/>
      <c r="AZ89" s="1470"/>
      <c r="BA89" s="1470"/>
      <c r="BB89" s="1470"/>
      <c r="BC89" s="1470"/>
      <c r="BD89" s="1470"/>
      <c r="BE89" s="1544">
        <f>+'qtrP&amp;L'!W33</f>
        <v>97.106999999999999</v>
      </c>
      <c r="BF89" s="1470"/>
      <c r="BG89" s="1593">
        <f>+BE89/K89</f>
        <v>0.17736438356164383</v>
      </c>
      <c r="BH89" s="1557"/>
      <c r="BI89" s="1594">
        <f>+BG89/BG82-1</f>
        <v>0.33560132842245571</v>
      </c>
      <c r="BJ89" s="1557"/>
      <c r="BK89" s="1544">
        <f>+BE89/Z89</f>
        <v>37.965352369115479</v>
      </c>
      <c r="BL89" s="1557"/>
      <c r="BM89" s="1594">
        <f>+BK89/BK82-1</f>
        <v>0.24818080532270148</v>
      </c>
    </row>
    <row r="90" spans="1:65" ht="10.5" hidden="1" customHeight="1" outlineLevel="1">
      <c r="A90" s="1531" t="s">
        <v>762</v>
      </c>
      <c r="B90" s="1578"/>
      <c r="C90" s="1579">
        <f>(R90/R83-1)*100</f>
        <v>25.834871602588127</v>
      </c>
      <c r="D90" s="1529"/>
      <c r="E90" s="1610">
        <v>5.8</v>
      </c>
      <c r="F90" s="1470"/>
      <c r="G90" s="1565">
        <f>C90-E90</f>
        <v>20.034871602588126</v>
      </c>
      <c r="H90" s="1470"/>
      <c r="I90" s="1566"/>
      <c r="J90" s="1470"/>
      <c r="K90" s="1534">
        <f>AVERAGEA(K86:K89)</f>
        <v>513.75</v>
      </c>
      <c r="L90" s="1470"/>
      <c r="M90" s="1534">
        <f>(K90/K83-1)*100</f>
        <v>20.175438596491226</v>
      </c>
      <c r="N90" s="1470"/>
      <c r="O90" s="1535">
        <f>(G90/M90)*100</f>
        <v>99.303276638915065</v>
      </c>
      <c r="P90" s="1472"/>
      <c r="Q90" s="1472"/>
      <c r="R90" s="1537">
        <f>SUM(R86:R89)</f>
        <v>1047.077</v>
      </c>
      <c r="S90" s="1538"/>
      <c r="T90" s="1539">
        <f>SUM(T86:T89)</f>
        <v>2.0130975543879615</v>
      </c>
      <c r="U90" s="1479"/>
      <c r="V90" s="1584">
        <f>T90/T83-1</f>
        <v>4.6163335703785613E-2</v>
      </c>
      <c r="W90" s="1479"/>
      <c r="X90" s="1611"/>
      <c r="Y90" s="1470"/>
      <c r="Z90" s="1574">
        <f>AVERAGEA(Z86:Z89)</f>
        <v>2.3439036250000003</v>
      </c>
      <c r="AA90" s="1470"/>
      <c r="AB90" s="1534">
        <f>(Z90/Z83-1)*100</f>
        <v>27.875860658954664</v>
      </c>
      <c r="AC90" s="1470"/>
      <c r="AD90" s="1535">
        <f>(G90/AB90)*100</f>
        <v>71.871759755522575</v>
      </c>
      <c r="AE90" s="1472"/>
      <c r="AF90" s="1472"/>
      <c r="AG90" s="1537">
        <f>SUM(AG86:AG89)</f>
        <v>1047.077</v>
      </c>
      <c r="AH90" s="1538"/>
      <c r="AI90" s="1585">
        <f>SUM(AI86:AI89)</f>
        <v>439.70027826867431</v>
      </c>
      <c r="AJ90" s="1479"/>
      <c r="AK90" s="1584">
        <f>AI90/AI83-1</f>
        <v>-1.8696458327500665E-2</v>
      </c>
      <c r="AL90" s="1470"/>
      <c r="AM90" s="1470">
        <f>SUM(AM86:AM89)</f>
        <v>10.5</v>
      </c>
      <c r="AN90" s="1472"/>
      <c r="AO90" s="1470"/>
      <c r="AP90" s="1470"/>
      <c r="AQ90" s="1291">
        <f>AM90/AM90</f>
        <v>1</v>
      </c>
      <c r="AR90" s="1470"/>
      <c r="AS90" s="1303">
        <f>AM90/(R90+AM90)</f>
        <v>9.9283550984940096E-3</v>
      </c>
      <c r="AT90" s="1470"/>
      <c r="AU90" s="1303"/>
      <c r="AV90" s="1473"/>
      <c r="AW90" s="1470"/>
      <c r="AX90" s="1470"/>
      <c r="AY90" s="1470"/>
      <c r="AZ90" s="1470"/>
      <c r="BA90" s="1470"/>
      <c r="BB90" s="1470"/>
      <c r="BC90" s="1470"/>
      <c r="BD90" s="1470"/>
      <c r="BE90" s="1538">
        <f>+'qtrP&amp;L'!W34</f>
        <v>266.47400000000005</v>
      </c>
      <c r="BF90" s="1470"/>
      <c r="BG90" s="1591">
        <f>+BE90/K90</f>
        <v>0.51868418491484192</v>
      </c>
      <c r="BH90" s="1538"/>
      <c r="BI90" s="1561">
        <f>+BG90/BG83-1</f>
        <v>0.13831201545776284</v>
      </c>
      <c r="BJ90" s="1538"/>
      <c r="BK90" s="1538">
        <f>+BE90/Z90</f>
        <v>113.6881214559323</v>
      </c>
      <c r="BL90" s="1538"/>
      <c r="BM90" s="1561">
        <f>+BK90/BK83-1</f>
        <v>6.9765200502782898E-2</v>
      </c>
    </row>
    <row r="91" spans="1:65" ht="10.5" hidden="1" customHeight="1" outlineLevel="1">
      <c r="A91" s="1531"/>
      <c r="B91" s="1578"/>
      <c r="C91" s="1579"/>
      <c r="D91" s="1529"/>
      <c r="E91" s="1579"/>
      <c r="F91" s="1470"/>
      <c r="G91" s="1565"/>
      <c r="H91" s="1470"/>
      <c r="I91" s="1566"/>
      <c r="J91" s="1470"/>
      <c r="K91" s="1534"/>
      <c r="L91" s="1470"/>
      <c r="M91" s="1534"/>
      <c r="N91" s="1470"/>
      <c r="O91" s="1535"/>
      <c r="P91" s="1472"/>
      <c r="Q91" s="1472"/>
      <c r="R91" s="1537"/>
      <c r="S91" s="1538"/>
      <c r="T91" s="1539"/>
      <c r="U91" s="1479"/>
      <c r="V91" s="1584"/>
      <c r="W91" s="1479"/>
      <c r="X91" s="1611"/>
      <c r="Y91" s="1470"/>
      <c r="Z91" s="1574"/>
      <c r="AA91" s="1470"/>
      <c r="AB91" s="1534"/>
      <c r="AC91" s="1470"/>
      <c r="AD91" s="1535"/>
      <c r="AE91" s="1472"/>
      <c r="AF91" s="1472"/>
      <c r="AG91" s="1537"/>
      <c r="AH91" s="1538"/>
      <c r="AI91" s="1585"/>
      <c r="AJ91" s="1479"/>
      <c r="AK91" s="1584"/>
      <c r="AL91" s="1470"/>
      <c r="AM91" s="1470"/>
      <c r="AN91" s="1472"/>
      <c r="AO91" s="1470"/>
      <c r="AP91" s="1470"/>
      <c r="AQ91" s="1470"/>
      <c r="AR91" s="1470"/>
      <c r="AS91" s="1470"/>
      <c r="AT91" s="1470"/>
      <c r="AU91" s="1470"/>
      <c r="AV91" s="1473"/>
      <c r="AW91" s="1470"/>
      <c r="AX91" s="1470"/>
      <c r="AY91" s="1470"/>
      <c r="AZ91" s="1470"/>
      <c r="BA91" s="1470"/>
      <c r="BB91" s="1470"/>
      <c r="BC91" s="1470"/>
      <c r="BD91" s="1470"/>
      <c r="BE91" s="1470"/>
      <c r="BF91" s="1470"/>
      <c r="BG91" s="1470"/>
      <c r="BH91" s="1470"/>
      <c r="BI91" s="1470"/>
      <c r="BJ91" s="1470"/>
      <c r="BK91" s="1470"/>
      <c r="BL91" s="1470"/>
      <c r="BM91" s="1470"/>
    </row>
    <row r="92" spans="1:65" ht="10.5" hidden="1" customHeight="1" outlineLevel="1">
      <c r="A92" s="1580" t="s">
        <v>520</v>
      </c>
      <c r="B92" s="1499"/>
      <c r="C92" s="1499"/>
      <c r="D92" s="1499"/>
      <c r="E92" s="1499"/>
      <c r="F92" s="1499"/>
      <c r="G92" s="1499"/>
      <c r="H92" s="1499"/>
      <c r="I92" s="1571"/>
      <c r="J92" s="1499"/>
      <c r="K92" s="1499"/>
      <c r="L92" s="1499"/>
      <c r="M92" s="1572"/>
      <c r="N92" s="1499"/>
      <c r="O92" s="1551"/>
      <c r="P92" s="1499"/>
      <c r="Q92" s="1499"/>
      <c r="R92" s="1499"/>
      <c r="S92" s="1499"/>
      <c r="T92" s="1530"/>
      <c r="U92" s="1530"/>
      <c r="V92" s="1303"/>
      <c r="W92" s="1479"/>
      <c r="X92" s="1571"/>
      <c r="Y92" s="1499"/>
      <c r="Z92" s="1499"/>
      <c r="AA92" s="1499"/>
      <c r="AB92" s="1572"/>
      <c r="AC92" s="1499"/>
      <c r="AD92" s="1551"/>
      <c r="AE92" s="1499"/>
      <c r="AF92" s="1499"/>
      <c r="AG92" s="1499"/>
      <c r="AH92" s="1499"/>
      <c r="AI92" s="1530"/>
      <c r="AJ92" s="1530"/>
      <c r="AK92" s="1303"/>
      <c r="AL92" s="1487"/>
      <c r="AM92" s="1487"/>
      <c r="AN92" s="1496"/>
      <c r="AO92" s="1487"/>
      <c r="AP92" s="1487"/>
      <c r="AQ92" s="1487"/>
      <c r="AR92" s="1487"/>
      <c r="AS92" s="1487"/>
      <c r="AT92" s="1487"/>
      <c r="AU92" s="1487"/>
      <c r="AV92" s="1473"/>
      <c r="AW92" s="1487"/>
      <c r="AX92" s="1487"/>
      <c r="AY92" s="1487"/>
      <c r="AZ92" s="1487"/>
      <c r="BA92" s="1487"/>
      <c r="BB92" s="1487"/>
      <c r="BC92" s="1487"/>
      <c r="BD92" s="1487"/>
      <c r="BE92" s="1487"/>
      <c r="BF92" s="1487"/>
      <c r="BG92" s="1487"/>
      <c r="BH92" s="1487"/>
      <c r="BI92" s="1487"/>
      <c r="BJ92" s="1487"/>
      <c r="BK92" s="1487"/>
      <c r="BL92" s="1487"/>
      <c r="BM92" s="1487"/>
    </row>
    <row r="93" spans="1:65" ht="10.5" hidden="1" customHeight="1" outlineLevel="1">
      <c r="A93" s="1531" t="s">
        <v>758</v>
      </c>
      <c r="B93" s="1573" t="s">
        <v>422</v>
      </c>
      <c r="C93" s="1581">
        <f>(R93/R86-1)*100</f>
        <v>28.129904418721917</v>
      </c>
      <c r="D93" s="1573" t="s">
        <v>697</v>
      </c>
      <c r="E93" s="1565">
        <f>+'qtrP&amp;L'!AD10</f>
        <v>8.1999999999999993</v>
      </c>
      <c r="F93" s="1573" t="s">
        <v>697</v>
      </c>
      <c r="G93" s="1565">
        <f>C93-E93</f>
        <v>19.929904418721918</v>
      </c>
      <c r="H93" s="1573" t="s">
        <v>697</v>
      </c>
      <c r="I93" s="1582">
        <f>+I89+17+1</f>
        <v>572</v>
      </c>
      <c r="J93" s="1600"/>
      <c r="K93" s="1534">
        <f>(I93+I89)/2</f>
        <v>563</v>
      </c>
      <c r="L93" s="1573"/>
      <c r="M93" s="1534">
        <f>(K93/K86-1)*100</f>
        <v>17.659352142110762</v>
      </c>
      <c r="N93" s="1573" t="s">
        <v>697</v>
      </c>
      <c r="O93" s="1535">
        <f>(G93/M93)*100</f>
        <v>112.85750608708211</v>
      </c>
      <c r="P93" s="1573" t="s">
        <v>697</v>
      </c>
      <c r="Q93" s="1573"/>
      <c r="R93" s="1538">
        <v>226.148</v>
      </c>
      <c r="S93" s="1557" t="s">
        <v>235</v>
      </c>
      <c r="T93" s="1539">
        <f xml:space="preserve"> R93/K93</f>
        <v>0.40168383658969803</v>
      </c>
      <c r="U93" s="1479"/>
      <c r="V93" s="1584">
        <f>T93/T86-1</f>
        <v>8.8990395459297211E-2</v>
      </c>
      <c r="W93" s="1479"/>
      <c r="X93" s="1612">
        <v>2.7111529999999999</v>
      </c>
      <c r="Y93" s="1600"/>
      <c r="Z93" s="1574">
        <f>(X93+X89)/2</f>
        <v>2.6540080000000001</v>
      </c>
      <c r="AA93" s="1573"/>
      <c r="AB93" s="1534">
        <f>(Z93/Z86-1)*100</f>
        <v>25.39009477931835</v>
      </c>
      <c r="AC93" s="1573" t="s">
        <v>697</v>
      </c>
      <c r="AD93" s="1535">
        <f>(G93/AB93)*100</f>
        <v>78.494801188989399</v>
      </c>
      <c r="AE93" s="1573" t="s">
        <v>697</v>
      </c>
      <c r="AF93" s="1573"/>
      <c r="AG93" s="1538">
        <f>R93</f>
        <v>226.148</v>
      </c>
      <c r="AH93" s="1557"/>
      <c r="AI93" s="1585">
        <f xml:space="preserve"> AG93/Z93</f>
        <v>85.209991831222808</v>
      </c>
      <c r="AJ93" s="1479"/>
      <c r="AK93" s="1584">
        <f>AI93/AI86-1</f>
        <v>2.1850287650117206E-2</v>
      </c>
      <c r="AL93" s="1470"/>
      <c r="AM93" s="1602">
        <v>5</v>
      </c>
      <c r="AN93" s="1603"/>
      <c r="AO93" s="1613">
        <f>+AM93/AM86-1</f>
        <v>2.3333333333333335</v>
      </c>
      <c r="AP93" s="1613"/>
      <c r="AQ93" s="1291">
        <f>AM93/AM97</f>
        <v>0.15625</v>
      </c>
      <c r="AR93" s="1602"/>
      <c r="AS93" s="1303">
        <f>AM93/(R93+AM93)</f>
        <v>2.1631162718258431E-2</v>
      </c>
      <c r="AT93" s="1602"/>
      <c r="AU93" s="1303"/>
      <c r="AV93" s="1473"/>
      <c r="AW93" s="1613"/>
      <c r="AX93" s="1206">
        <f>(I93+I241)/$AX$9</f>
        <v>0.56065573770491806</v>
      </c>
      <c r="AY93" s="1470"/>
      <c r="AZ93" s="1470"/>
      <c r="BA93" s="1470"/>
      <c r="BB93" s="1470"/>
      <c r="BC93" s="1470"/>
      <c r="BD93" s="1470"/>
      <c r="BE93" s="1538">
        <f>+'qtrP&amp;L'!AB30</f>
        <v>69.614999999999995</v>
      </c>
      <c r="BF93" s="1470"/>
      <c r="BG93" s="1591">
        <f>+BE93/K93</f>
        <v>0.1236500888099467</v>
      </c>
      <c r="BH93" s="1538"/>
      <c r="BI93" s="1561">
        <f>+BG93/BG86-1</f>
        <v>0.26676017503927674</v>
      </c>
      <c r="BJ93" s="1538"/>
      <c r="BK93" s="1538">
        <f>+BE93/Z93</f>
        <v>26.230139472073933</v>
      </c>
      <c r="BL93" s="1538"/>
      <c r="BM93" s="1604">
        <f>+BK93/BK86-1</f>
        <v>0.18865993184600094</v>
      </c>
    </row>
    <row r="94" spans="1:65" ht="10.5" hidden="1" customHeight="1" outlineLevel="1">
      <c r="A94" s="1531" t="s">
        <v>759</v>
      </c>
      <c r="B94" s="1573"/>
      <c r="C94" s="1581">
        <f>(R94/R87-1)*100</f>
        <v>28.126313551747305</v>
      </c>
      <c r="D94" s="1573"/>
      <c r="E94" s="1565">
        <f>+'qtrP&amp;L'!AD11</f>
        <v>4.5999999999999996</v>
      </c>
      <c r="F94" s="1573"/>
      <c r="G94" s="1565">
        <f>C94-E94</f>
        <v>23.526313551747307</v>
      </c>
      <c r="H94" s="1573"/>
      <c r="I94" s="1582">
        <f>+I93+15+36</f>
        <v>623</v>
      </c>
      <c r="J94" s="1600"/>
      <c r="K94" s="1534">
        <f>AVERAGEA(I93,I94)</f>
        <v>597.5</v>
      </c>
      <c r="L94" s="1573"/>
      <c r="M94" s="1534">
        <f>(K94/K87-1)*100</f>
        <v>19.023904382470125</v>
      </c>
      <c r="N94" s="1573"/>
      <c r="O94" s="1535">
        <f>(G94/M94)*100</f>
        <v>123.66711416729994</v>
      </c>
      <c r="P94" s="1573"/>
      <c r="Q94" s="1573"/>
      <c r="R94" s="1605">
        <v>265.19200000000001</v>
      </c>
      <c r="S94" s="1557" t="s">
        <v>235</v>
      </c>
      <c r="T94" s="1255">
        <f xml:space="preserve"> R94/K94</f>
        <v>0.44383598326359835</v>
      </c>
      <c r="U94" s="1479"/>
      <c r="V94" s="1584">
        <f>T94/T87-1</f>
        <v>7.6475471179533905E-2</v>
      </c>
      <c r="W94" s="1479"/>
      <c r="X94" s="1612">
        <v>2.9796529999999999</v>
      </c>
      <c r="Y94" s="1600"/>
      <c r="Z94" s="1574">
        <f>AVERAGEA(X93,X94)</f>
        <v>2.8454030000000001</v>
      </c>
      <c r="AA94" s="1573"/>
      <c r="AB94" s="1534">
        <f>(Z94/Z87-1)*100</f>
        <v>25.38137308189814</v>
      </c>
      <c r="AC94" s="1573"/>
      <c r="AD94" s="1535">
        <f>(G94/AB94)*100</f>
        <v>92.691256205229294</v>
      </c>
      <c r="AE94" s="1573"/>
      <c r="AF94" s="1573"/>
      <c r="AG94" s="1557">
        <f>R94</f>
        <v>265.19200000000001</v>
      </c>
      <c r="AH94" s="1557"/>
      <c r="AI94" s="1587">
        <f xml:space="preserve"> AG94/Z94</f>
        <v>93.200154775966709</v>
      </c>
      <c r="AJ94" s="1479"/>
      <c r="AK94" s="1584">
        <f>AI94/AI87-1</f>
        <v>2.1892729377402498E-2</v>
      </c>
      <c r="AL94" s="1470"/>
      <c r="AM94" s="1602">
        <v>6</v>
      </c>
      <c r="AN94" s="1603"/>
      <c r="AO94" s="1613">
        <f>+AM94/AM87-1</f>
        <v>2</v>
      </c>
      <c r="AP94" s="1613"/>
      <c r="AQ94" s="1291">
        <f>AM94/AM97</f>
        <v>0.1875</v>
      </c>
      <c r="AR94" s="1602"/>
      <c r="AS94" s="1303">
        <f>AM94/(R94+AM94)</f>
        <v>2.212454644679784E-2</v>
      </c>
      <c r="AT94" s="1602"/>
      <c r="AU94" s="1303"/>
      <c r="AV94" s="1473"/>
      <c r="AW94" s="1613"/>
      <c r="AX94" s="1206">
        <f>(I94+I242)/$AX$9</f>
        <v>0.60163934426229504</v>
      </c>
      <c r="AY94" s="1470"/>
      <c r="AZ94" s="1470"/>
      <c r="BA94" s="1470"/>
      <c r="BB94" s="1470"/>
      <c r="BC94" s="1470"/>
      <c r="BD94" s="1470"/>
      <c r="BE94" s="1557">
        <f>+'qtrP&amp;L'!AB31</f>
        <v>75.284000000000006</v>
      </c>
      <c r="BF94" s="1470"/>
      <c r="BG94" s="1592">
        <f>+BE94/K94</f>
        <v>0.12599832635983266</v>
      </c>
      <c r="BH94" s="1557"/>
      <c r="BI94" s="1561">
        <f>+BG94/BG87-1</f>
        <v>0.14968663357270606</v>
      </c>
      <c r="BJ94" s="1557"/>
      <c r="BK94" s="1557">
        <f>+BE94/Z94</f>
        <v>26.458115071924787</v>
      </c>
      <c r="BL94" s="1557"/>
      <c r="BM94" s="1604">
        <f>+BK94/BK87-1</f>
        <v>9.13917161744493E-2</v>
      </c>
    </row>
    <row r="95" spans="1:65" ht="10.5" hidden="1" customHeight="1" outlineLevel="1">
      <c r="A95" s="1531" t="s">
        <v>760</v>
      </c>
      <c r="B95" s="1573"/>
      <c r="C95" s="1581">
        <f>(R95/R88-1)*100</f>
        <v>16.618114359449109</v>
      </c>
      <c r="D95" s="1573"/>
      <c r="E95" s="1565">
        <f>+'qtrP&amp;L'!AD12</f>
        <v>2.6</v>
      </c>
      <c r="F95" s="1573"/>
      <c r="G95" s="1565">
        <f>C95-E95</f>
        <v>14.018114359449109</v>
      </c>
      <c r="H95" s="1573"/>
      <c r="I95" s="1582">
        <f>+I94+44+9</f>
        <v>676</v>
      </c>
      <c r="J95" s="1600"/>
      <c r="K95" s="1534">
        <f>AVERAGEA(I94,I95)</f>
        <v>649.5</v>
      </c>
      <c r="L95" s="1573"/>
      <c r="M95" s="1534">
        <f>(K95/K88-1)*100</f>
        <v>23.244781783681212</v>
      </c>
      <c r="N95" s="1573"/>
      <c r="O95" s="1535">
        <f>(G95/M95)*100</f>
        <v>60.306500142283113</v>
      </c>
      <c r="P95" s="1573"/>
      <c r="Q95" s="1573"/>
      <c r="R95" s="1605">
        <v>326.25900000000001</v>
      </c>
      <c r="S95" s="1557" t="s">
        <v>235</v>
      </c>
      <c r="T95" s="1255">
        <f xml:space="preserve"> R95/K95</f>
        <v>0.50232332563510396</v>
      </c>
      <c r="U95" s="1479"/>
      <c r="V95" s="1584">
        <f>T95/T88-1</f>
        <v>-5.3768340763207356E-2</v>
      </c>
      <c r="W95" s="1479"/>
      <c r="X95" s="1612">
        <v>3.3120039999999999</v>
      </c>
      <c r="Y95" s="1600"/>
      <c r="Z95" s="1574">
        <f>AVERAGEA(X94,X95)</f>
        <v>3.1458284999999999</v>
      </c>
      <c r="AA95" s="1573"/>
      <c r="AB95" s="1534">
        <f>(Z95/Z88-1)*100</f>
        <v>29.360250724195769</v>
      </c>
      <c r="AC95" s="1573"/>
      <c r="AD95" s="1535">
        <f>(G95/AB95)*100</f>
        <v>47.745213387761666</v>
      </c>
      <c r="AE95" s="1573"/>
      <c r="AF95" s="1573"/>
      <c r="AG95" s="1557">
        <f>R95</f>
        <v>326.25900000000001</v>
      </c>
      <c r="AH95" s="1557"/>
      <c r="AI95" s="1587">
        <f xml:space="preserve"> AG95/Z95</f>
        <v>103.71162954369574</v>
      </c>
      <c r="AJ95" s="1479"/>
      <c r="AK95" s="1584">
        <f>AI95/AI88-1</f>
        <v>-9.850117244990253E-2</v>
      </c>
      <c r="AL95" s="1470"/>
      <c r="AM95" s="1602">
        <v>8</v>
      </c>
      <c r="AN95" s="1603"/>
      <c r="AO95" s="1613">
        <f>+AM95/AM88-1</f>
        <v>1.6666666666666665</v>
      </c>
      <c r="AP95" s="1613"/>
      <c r="AQ95" s="1291">
        <f>AM95/AM97</f>
        <v>0.25</v>
      </c>
      <c r="AR95" s="1602"/>
      <c r="AS95" s="1303">
        <f>AM95/(R95+AM95)</f>
        <v>2.3933536568948029E-2</v>
      </c>
      <c r="AT95" s="1602"/>
      <c r="AU95" s="1303"/>
      <c r="AV95" s="1473"/>
      <c r="AW95" s="1613"/>
      <c r="AX95" s="1206">
        <f>(I95+I243)/$AX$9</f>
        <v>0.64508196721311473</v>
      </c>
      <c r="AY95" s="1470"/>
      <c r="AZ95" s="1470"/>
      <c r="BA95" s="1470"/>
      <c r="BB95" s="1470"/>
      <c r="BC95" s="1470"/>
      <c r="BD95" s="1470"/>
      <c r="BE95" s="1557">
        <f>+'qtrP&amp;L'!AB32</f>
        <v>88.61</v>
      </c>
      <c r="BF95" s="1470"/>
      <c r="BG95" s="1592">
        <f>+BE95/K95</f>
        <v>0.13642802155504233</v>
      </c>
      <c r="BH95" s="1557"/>
      <c r="BI95" s="1561">
        <f>+BG95/BG88-1</f>
        <v>6.2881665181055091E-2</v>
      </c>
      <c r="BJ95" s="1557"/>
      <c r="BK95" s="1557">
        <f>+BE95/Z95</f>
        <v>28.167460495700894</v>
      </c>
      <c r="BL95" s="1557"/>
      <c r="BM95" s="1604">
        <f>+BK95/BK88-1</f>
        <v>1.2634237748995192E-2</v>
      </c>
    </row>
    <row r="96" spans="1:65" ht="10.5" hidden="1" customHeight="1" outlineLevel="1">
      <c r="A96" s="1531" t="s">
        <v>761</v>
      </c>
      <c r="B96" s="1573"/>
      <c r="C96" s="1570">
        <f>(R96/R89-1)*100</f>
        <v>9.8391492155463176</v>
      </c>
      <c r="D96" s="1573"/>
      <c r="E96" s="1614">
        <f>+'qtrP&amp;L'!AD13</f>
        <v>-2.1</v>
      </c>
      <c r="F96" s="1573"/>
      <c r="G96" s="1570">
        <f>C96-E96</f>
        <v>11.939149215546317</v>
      </c>
      <c r="H96" s="1573"/>
      <c r="I96" s="1566">
        <f>+yrSales!I19</f>
        <v>678</v>
      </c>
      <c r="J96" s="1600"/>
      <c r="K96" s="1545">
        <f>AVERAGEA(I95,I96)</f>
        <v>677</v>
      </c>
      <c r="L96" s="1573"/>
      <c r="M96" s="1545">
        <f>(K96/K89-1)*100</f>
        <v>23.652968036529675</v>
      </c>
      <c r="N96" s="1573"/>
      <c r="O96" s="1597">
        <f>(G96/M96)*100</f>
        <v>50.476325834066493</v>
      </c>
      <c r="P96" s="1573"/>
      <c r="Q96" s="1573"/>
      <c r="R96" s="1607">
        <v>421.6</v>
      </c>
      <c r="S96" s="1557" t="s">
        <v>235</v>
      </c>
      <c r="T96" s="1562">
        <f xml:space="preserve"> R96/K96</f>
        <v>0.6227474150664698</v>
      </c>
      <c r="U96" s="1479"/>
      <c r="V96" s="1589">
        <f>T96/T89-1</f>
        <v>-0.11171441365566315</v>
      </c>
      <c r="W96" s="1479"/>
      <c r="X96" s="1601">
        <f>+yrSales!I34</f>
        <v>3.3346939999999998</v>
      </c>
      <c r="Y96" s="1600"/>
      <c r="Z96" s="1577">
        <f>AVERAGEA(X95,X96)</f>
        <v>3.3233489999999999</v>
      </c>
      <c r="AA96" s="1573"/>
      <c r="AB96" s="1545">
        <f>(Z96/Z89-1)*100</f>
        <v>29.931020246272212</v>
      </c>
      <c r="AC96" s="1573"/>
      <c r="AD96" s="1475">
        <f>(G96/AB96)*100</f>
        <v>39.888881559369132</v>
      </c>
      <c r="AE96" s="1573"/>
      <c r="AF96" s="1573"/>
      <c r="AG96" s="1544">
        <f>R96</f>
        <v>421.6</v>
      </c>
      <c r="AH96" s="1557"/>
      <c r="AI96" s="1590">
        <f xml:space="preserve"> AG96/Z96</f>
        <v>126.85998370920419</v>
      </c>
      <c r="AJ96" s="1479"/>
      <c r="AK96" s="1589">
        <f>AI96/AI89-1</f>
        <v>-0.1546349054493964</v>
      </c>
      <c r="AL96" s="1470"/>
      <c r="AM96" s="1608">
        <v>13</v>
      </c>
      <c r="AN96" s="1603"/>
      <c r="AO96" s="1615">
        <f>+AM96/AM89-1</f>
        <v>2.25</v>
      </c>
      <c r="AP96" s="1616"/>
      <c r="AQ96" s="1609">
        <f>AM96/AM97</f>
        <v>0.40625</v>
      </c>
      <c r="AR96" s="1603"/>
      <c r="AS96" s="1594">
        <f>AM96/(R96+AM96)</f>
        <v>2.9912563276576161E-2</v>
      </c>
      <c r="AT96" s="1603"/>
      <c r="AU96" s="1561"/>
      <c r="AV96" s="1473"/>
      <c r="AW96" s="1613"/>
      <c r="AX96" s="1206">
        <f>(I96+I244)/$AX$9</f>
        <v>0.64672131147540979</v>
      </c>
      <c r="AY96" s="1470"/>
      <c r="AZ96" s="1470"/>
      <c r="BA96" s="1470"/>
      <c r="BB96" s="1470"/>
      <c r="BC96" s="1470"/>
      <c r="BD96" s="1470"/>
      <c r="BE96" s="1544">
        <f>+'qtrP&amp;L'!AB33</f>
        <v>105.511</v>
      </c>
      <c r="BF96" s="1470"/>
      <c r="BG96" s="1593">
        <f>+BE96/K96</f>
        <v>0.15585081240768095</v>
      </c>
      <c r="BH96" s="1557"/>
      <c r="BI96" s="1594">
        <f>+BG96/BG89-1</f>
        <v>-0.12129589223016546</v>
      </c>
      <c r="BJ96" s="1557"/>
      <c r="BK96" s="1544">
        <f>+BE96/Z96</f>
        <v>31.748395970450289</v>
      </c>
      <c r="BL96" s="1557"/>
      <c r="BM96" s="1617">
        <f>+BK96/BK89-1</f>
        <v>-0.16375342281091632</v>
      </c>
    </row>
    <row r="97" spans="1:65" ht="10.5" hidden="1" customHeight="1" outlineLevel="1">
      <c r="A97" s="1531" t="s">
        <v>762</v>
      </c>
      <c r="B97" s="1578"/>
      <c r="C97" s="1579">
        <f>(R97/R90-1)*100</f>
        <v>18.348411816895993</v>
      </c>
      <c r="D97" s="1529"/>
      <c r="E97" s="1579">
        <f>+'qtrP&amp;L'!AD14</f>
        <v>2.2999999999999998</v>
      </c>
      <c r="F97" s="1470"/>
      <c r="G97" s="1565">
        <f>C97-E97</f>
        <v>16.048411816895992</v>
      </c>
      <c r="H97" s="1470"/>
      <c r="I97" s="1566"/>
      <c r="J97" s="1470"/>
      <c r="K97" s="1534">
        <f>AVERAGEA(K93:K96)</f>
        <v>621.75</v>
      </c>
      <c r="L97" s="1470"/>
      <c r="M97" s="1534">
        <f>(K97/K90-1)*100</f>
        <v>21.02189781021897</v>
      </c>
      <c r="N97" s="1470"/>
      <c r="O97" s="1535">
        <f>(G97/M97)*100</f>
        <v>76.341403434539984</v>
      </c>
      <c r="P97" s="1472"/>
      <c r="Q97" s="1472"/>
      <c r="R97" s="1537">
        <f>SUM(R93:R96)</f>
        <v>1239.1990000000001</v>
      </c>
      <c r="S97" s="1538"/>
      <c r="T97" s="1539">
        <f>SUM(T93:T96)</f>
        <v>1.9705905605548701</v>
      </c>
      <c r="U97" s="1479"/>
      <c r="V97" s="1584">
        <f>T97/T90-1</f>
        <v>-2.111521805808092E-2</v>
      </c>
      <c r="W97" s="1479"/>
      <c r="X97" s="1611"/>
      <c r="Y97" s="1470"/>
      <c r="Z97" s="1574">
        <f>AVERAGEA(Z93:Z96)</f>
        <v>2.9921471250000002</v>
      </c>
      <c r="AA97" s="1470"/>
      <c r="AB97" s="1534">
        <f>(Z97/Z90-1)*100</f>
        <v>27.656576536929922</v>
      </c>
      <c r="AC97" s="1470"/>
      <c r="AD97" s="1535">
        <f>(G97/AB97)*100</f>
        <v>58.027470592632802</v>
      </c>
      <c r="AE97" s="1472"/>
      <c r="AF97" s="1472"/>
      <c r="AG97" s="1537">
        <f>SUM(AG93:AG96)</f>
        <v>1239.1990000000001</v>
      </c>
      <c r="AH97" s="1538"/>
      <c r="AI97" s="1585">
        <f>SUM(AI93:AI96)</f>
        <v>408.98175986008943</v>
      </c>
      <c r="AJ97" s="1479"/>
      <c r="AK97" s="1584">
        <f>AI97/AI90-1</f>
        <v>-6.9862403839132114E-2</v>
      </c>
      <c r="AL97" s="1470"/>
      <c r="AM97" s="1470">
        <f>SUM(AM93:AM96)</f>
        <v>32</v>
      </c>
      <c r="AN97" s="1472"/>
      <c r="AO97" s="1613">
        <f>+AM97/AM90-1</f>
        <v>2.0476190476190474</v>
      </c>
      <c r="AP97" s="1613"/>
      <c r="AQ97" s="1291">
        <f>AM97/AM97</f>
        <v>1</v>
      </c>
      <c r="AR97" s="1470"/>
      <c r="AS97" s="1303">
        <f>AM97/(R97+AM97)</f>
        <v>2.5173084623257253E-2</v>
      </c>
      <c r="AT97" s="1470"/>
      <c r="AU97" s="1303"/>
      <c r="AV97" s="1473"/>
      <c r="AW97" s="1613"/>
      <c r="AX97" s="1470"/>
      <c r="AY97" s="1470"/>
      <c r="AZ97" s="1470"/>
      <c r="BA97" s="1470"/>
      <c r="BB97" s="1470"/>
      <c r="BC97" s="1470"/>
      <c r="BD97" s="1470"/>
      <c r="BE97" s="1538">
        <f>+'qtrP&amp;L'!AB34</f>
        <v>339.02</v>
      </c>
      <c r="BF97" s="1470"/>
      <c r="BG97" s="1591">
        <f>+BE97/K97</f>
        <v>0.5452673904302372</v>
      </c>
      <c r="BH97" s="1538"/>
      <c r="BI97" s="1561">
        <f>+BG97/BG90-1</f>
        <v>5.1251235893686964E-2</v>
      </c>
      <c r="BJ97" s="1538"/>
      <c r="BK97" s="1538">
        <f>+BE97/Z97</f>
        <v>113.30325209192377</v>
      </c>
      <c r="BL97" s="1538"/>
      <c r="BM97" s="1561">
        <f>+BK97/BK90-1</f>
        <v>-3.385308500833295E-3</v>
      </c>
    </row>
    <row r="98" spans="1:65" ht="10.5" hidden="1" customHeight="1" outlineLevel="1">
      <c r="A98" s="1531"/>
      <c r="B98" s="1578"/>
      <c r="C98" s="1579"/>
      <c r="D98" s="1529"/>
      <c r="E98" s="1579"/>
      <c r="F98" s="1470"/>
      <c r="G98" s="1565"/>
      <c r="H98" s="1470"/>
      <c r="I98" s="1566"/>
      <c r="J98" s="1470"/>
      <c r="K98" s="1534"/>
      <c r="L98" s="1470"/>
      <c r="M98" s="1534"/>
      <c r="N98" s="1470"/>
      <c r="O98" s="1535"/>
      <c r="P98" s="1472"/>
      <c r="Q98" s="1472"/>
      <c r="R98" s="1537"/>
      <c r="S98" s="1538"/>
      <c r="T98" s="1539"/>
      <c r="U98" s="1479"/>
      <c r="V98" s="1584"/>
      <c r="W98" s="1479"/>
      <c r="X98" s="1611"/>
      <c r="Y98" s="1470"/>
      <c r="Z98" s="1574"/>
      <c r="AA98" s="1470"/>
      <c r="AB98" s="1534"/>
      <c r="AC98" s="1470"/>
      <c r="AD98" s="1535"/>
      <c r="AE98" s="1472"/>
      <c r="AF98" s="1472"/>
      <c r="AG98" s="1537"/>
      <c r="AH98" s="1538"/>
      <c r="AI98" s="1585"/>
      <c r="AJ98" s="1479"/>
      <c r="AK98" s="1584"/>
      <c r="AL98" s="1470"/>
      <c r="AM98" s="1470"/>
      <c r="AN98" s="1472"/>
      <c r="AO98" s="1470"/>
      <c r="AP98" s="1470"/>
      <c r="AQ98" s="1470"/>
      <c r="AR98" s="1470"/>
      <c r="AS98" s="1470"/>
      <c r="AT98" s="1470"/>
      <c r="AU98" s="1470"/>
      <c r="AV98" s="1473"/>
      <c r="AW98" s="1470"/>
      <c r="AX98" s="1470"/>
      <c r="AY98" s="1470"/>
      <c r="AZ98" s="1470"/>
      <c r="BA98" s="1470"/>
      <c r="BB98" s="1470"/>
      <c r="BC98" s="1470"/>
      <c r="BD98" s="1470"/>
      <c r="BE98" s="1470"/>
      <c r="BF98" s="1470"/>
      <c r="BG98" s="1470"/>
      <c r="BH98" s="1470"/>
      <c r="BI98" s="1470"/>
      <c r="BJ98" s="1470"/>
      <c r="BK98" s="1470"/>
      <c r="BL98" s="1470"/>
      <c r="BM98" s="1470"/>
    </row>
    <row r="99" spans="1:65" ht="10.5" hidden="1" customHeight="1" outlineLevel="1">
      <c r="A99" s="1580" t="s">
        <v>568</v>
      </c>
      <c r="B99" s="1499"/>
      <c r="C99" s="1499"/>
      <c r="D99" s="1499"/>
      <c r="E99" s="1499"/>
      <c r="F99" s="1499"/>
      <c r="G99" s="1499"/>
      <c r="H99" s="1499"/>
      <c r="I99" s="1571"/>
      <c r="J99" s="1499"/>
      <c r="K99" s="1499"/>
      <c r="L99" s="1499"/>
      <c r="M99" s="1572"/>
      <c r="N99" s="1499"/>
      <c r="O99" s="1551"/>
      <c r="P99" s="1499"/>
      <c r="Q99" s="1499"/>
      <c r="R99" s="1499"/>
      <c r="S99" s="1499"/>
      <c r="T99" s="1530"/>
      <c r="U99" s="1530"/>
      <c r="V99" s="1303"/>
      <c r="W99" s="1479"/>
      <c r="X99" s="1571"/>
      <c r="Y99" s="1499"/>
      <c r="Z99" s="1499"/>
      <c r="AA99" s="1499"/>
      <c r="AB99" s="1572"/>
      <c r="AC99" s="1499"/>
      <c r="AD99" s="1551"/>
      <c r="AE99" s="1499"/>
      <c r="AF99" s="1499"/>
      <c r="AG99" s="1499"/>
      <c r="AH99" s="1499"/>
      <c r="AI99" s="1530"/>
      <c r="AJ99" s="1530"/>
      <c r="AK99" s="1303"/>
      <c r="AL99" s="1487"/>
      <c r="AM99" s="1487"/>
      <c r="AN99" s="1496"/>
      <c r="AO99" s="1487"/>
      <c r="AP99" s="1487"/>
      <c r="AQ99" s="1487"/>
      <c r="AR99" s="1487"/>
      <c r="AS99" s="1487"/>
      <c r="AT99" s="1487"/>
      <c r="AU99" s="1487"/>
      <c r="AV99" s="1473"/>
      <c r="AW99" s="1487"/>
      <c r="AX99" s="1487"/>
      <c r="AY99" s="1487"/>
      <c r="AZ99" s="1487"/>
      <c r="BA99" s="1487"/>
      <c r="BB99" s="1487"/>
      <c r="BC99" s="1487"/>
      <c r="BD99" s="1487"/>
      <c r="BE99" s="1487"/>
      <c r="BF99" s="1487"/>
      <c r="BG99" s="1487"/>
      <c r="BH99" s="1487"/>
      <c r="BI99" s="1487"/>
      <c r="BJ99" s="1487"/>
      <c r="BK99" s="1487"/>
      <c r="BL99" s="1487"/>
      <c r="BM99" s="1487"/>
    </row>
    <row r="100" spans="1:65" ht="10.5" hidden="1" customHeight="1" outlineLevel="1">
      <c r="A100" s="1531" t="s">
        <v>758</v>
      </c>
      <c r="B100" s="1573"/>
      <c r="C100" s="1581">
        <f>(R100/R93-1)*100</f>
        <v>19.785715549109419</v>
      </c>
      <c r="D100" s="1573" t="s">
        <v>697</v>
      </c>
      <c r="E100" s="1618">
        <v>-5</v>
      </c>
      <c r="F100" s="1573" t="s">
        <v>697</v>
      </c>
      <c r="G100" s="1565">
        <f>C100-E100</f>
        <v>24.785715549109419</v>
      </c>
      <c r="H100" s="1573" t="s">
        <v>697</v>
      </c>
      <c r="I100" s="1582">
        <f>+I96+11</f>
        <v>689</v>
      </c>
      <c r="J100" s="1600"/>
      <c r="K100" s="1534">
        <f>(I100+I96)/2</f>
        <v>683.5</v>
      </c>
      <c r="L100" s="1573"/>
      <c r="M100" s="1534">
        <f>(K100/K93-1)*100</f>
        <v>21.403197158081699</v>
      </c>
      <c r="N100" s="1573" t="s">
        <v>697</v>
      </c>
      <c r="O100" s="1619">
        <f>(G100/M100)*100</f>
        <v>115.80379961949052</v>
      </c>
      <c r="P100" s="1573" t="s">
        <v>697</v>
      </c>
      <c r="Q100" s="1573"/>
      <c r="R100" s="1538">
        <f>'qtrP&amp;L'!AF10-qtrSales!R241-qtrSales!AM100</f>
        <v>270.89299999999997</v>
      </c>
      <c r="S100" s="1557" t="s">
        <v>235</v>
      </c>
      <c r="T100" s="1539">
        <f xml:space="preserve"> R100/K100</f>
        <v>0.39633211411850766</v>
      </c>
      <c r="U100" s="1479"/>
      <c r="V100" s="1584">
        <f>T100/T93-1</f>
        <v>-1.3323220861029883E-2</v>
      </c>
      <c r="W100" s="1479"/>
      <c r="X100" s="1612">
        <f>3.185868+0.228065</f>
        <v>3.4139330000000001</v>
      </c>
      <c r="Y100" s="1600"/>
      <c r="Z100" s="1574">
        <f>(X100+X96)/2</f>
        <v>3.3743135</v>
      </c>
      <c r="AA100" s="1573"/>
      <c r="AB100" s="1534">
        <f>(Z100/Z93-1)*100</f>
        <v>27.140291212385193</v>
      </c>
      <c r="AC100" s="1573" t="s">
        <v>697</v>
      </c>
      <c r="AD100" s="1535">
        <f>(G100/AB100)*100</f>
        <v>91.32442741733999</v>
      </c>
      <c r="AE100" s="1573" t="s">
        <v>697</v>
      </c>
      <c r="AF100" s="1573"/>
      <c r="AG100" s="1538">
        <f>R100</f>
        <v>270.89299999999997</v>
      </c>
      <c r="AH100" s="1557"/>
      <c r="AI100" s="1585">
        <f xml:space="preserve"> AG100/Z100</f>
        <v>80.280922326867369</v>
      </c>
      <c r="AJ100" s="1479"/>
      <c r="AK100" s="1584">
        <f>AI100/AI93-1</f>
        <v>-5.7846144547444078E-2</v>
      </c>
      <c r="AL100" s="1470"/>
      <c r="AM100" s="1602">
        <v>7</v>
      </c>
      <c r="AN100" s="1603"/>
      <c r="AO100" s="1613">
        <f>+AM100/AM93-1</f>
        <v>0.39999999999999991</v>
      </c>
      <c r="AP100" s="1613"/>
      <c r="AQ100" s="1291">
        <f>AM100/AM104</f>
        <v>0.15267175572519084</v>
      </c>
      <c r="AR100" s="1602"/>
      <c r="AS100" s="1303">
        <f>AM100/(R100+AM100)</f>
        <v>2.5189551374090031E-2</v>
      </c>
      <c r="AT100" s="1602"/>
      <c r="AU100" s="1303"/>
      <c r="AV100" s="1473"/>
      <c r="AW100" s="1613"/>
      <c r="AX100" s="1206"/>
      <c r="AY100" s="1470"/>
      <c r="AZ100" s="1470"/>
      <c r="BA100" s="1470"/>
      <c r="BB100" s="1470"/>
      <c r="BC100" s="1470"/>
      <c r="BD100" s="1470"/>
      <c r="BE100" s="1538"/>
      <c r="BF100" s="1472"/>
      <c r="BG100" s="1591">
        <f>0.724*492</f>
        <v>356.20799999999997</v>
      </c>
      <c r="BH100" s="1538"/>
      <c r="BI100" s="1561"/>
      <c r="BJ100" s="1538"/>
      <c r="BK100" s="1538"/>
      <c r="BL100" s="1538"/>
      <c r="BM100" s="1604"/>
    </row>
    <row r="101" spans="1:65" ht="10.5" hidden="1" customHeight="1" outlineLevel="1">
      <c r="A101" s="1531" t="s">
        <v>759</v>
      </c>
      <c r="B101" s="1573"/>
      <c r="C101" s="1581">
        <f>(R101/R94-1)*100</f>
        <v>17.537482276991767</v>
      </c>
      <c r="D101" s="1573"/>
      <c r="E101" s="1618">
        <v>-4.8</v>
      </c>
      <c r="F101" s="1573"/>
      <c r="G101" s="1565">
        <f>C101-E101</f>
        <v>22.337482276991768</v>
      </c>
      <c r="H101" s="1573"/>
      <c r="I101" s="1582">
        <f>+I100+22</f>
        <v>711</v>
      </c>
      <c r="J101" s="1600"/>
      <c r="K101" s="1534">
        <f>AVERAGEA(I100,I101)</f>
        <v>700</v>
      </c>
      <c r="L101" s="1573"/>
      <c r="M101" s="1534">
        <f>(K101/K94-1)*100</f>
        <v>17.154811715481166</v>
      </c>
      <c r="N101" s="1573"/>
      <c r="O101" s="1535">
        <f>(G101/M101)*100</f>
        <v>130.21117717563499</v>
      </c>
      <c r="P101" s="1573"/>
      <c r="Q101" s="1573"/>
      <c r="R101" s="1605">
        <f>'qtrP&amp;L'!AF11-qtrSales!R242-qtrSales!AM101</f>
        <v>311.7</v>
      </c>
      <c r="S101" s="1557" t="s">
        <v>235</v>
      </c>
      <c r="T101" s="1255">
        <f xml:space="preserve"> R101/K101</f>
        <v>0.44528571428571428</v>
      </c>
      <c r="U101" s="1479"/>
      <c r="V101" s="1584">
        <f>T101/T94-1</f>
        <v>3.2663665786081264E-3</v>
      </c>
      <c r="W101" s="1479"/>
      <c r="X101" s="1612">
        <v>3.5521950000000002</v>
      </c>
      <c r="Y101" s="1600"/>
      <c r="Z101" s="1574">
        <f>AVERAGEA(X100,X101)</f>
        <v>3.4830640000000002</v>
      </c>
      <c r="AA101" s="1573"/>
      <c r="AB101" s="1534">
        <f>(Z101/Z94-1)*100</f>
        <v>22.410217463044766</v>
      </c>
      <c r="AC101" s="1573"/>
      <c r="AD101" s="1535">
        <f>(G101/AB101)*100</f>
        <v>99.675437392908208</v>
      </c>
      <c r="AE101" s="1573"/>
      <c r="AF101" s="1573"/>
      <c r="AG101" s="1557">
        <f>R101</f>
        <v>311.7</v>
      </c>
      <c r="AH101" s="1557"/>
      <c r="AI101" s="1587">
        <f xml:space="preserve"> AG101/Z101</f>
        <v>89.490173020076568</v>
      </c>
      <c r="AJ101" s="1479"/>
      <c r="AK101" s="1584">
        <f>AI101/AI94-1</f>
        <v>-3.9806605094252712E-2</v>
      </c>
      <c r="AL101" s="1470"/>
      <c r="AM101" s="1602">
        <v>7.5</v>
      </c>
      <c r="AN101" s="1603"/>
      <c r="AO101" s="1613">
        <f>+AM101/AM94-1</f>
        <v>0.25</v>
      </c>
      <c r="AP101" s="1613"/>
      <c r="AQ101" s="1291">
        <f>AM101/AM104</f>
        <v>0.16357688113413305</v>
      </c>
      <c r="AR101" s="1602"/>
      <c r="AS101" s="1303">
        <f>AM101/(R101+AM101)</f>
        <v>2.3496240601503762E-2</v>
      </c>
      <c r="AT101" s="1602"/>
      <c r="AU101" s="1303"/>
      <c r="AV101" s="1473"/>
      <c r="AW101" s="1613"/>
      <c r="AX101" s="1206"/>
      <c r="AY101" s="1470"/>
      <c r="AZ101" s="1470"/>
      <c r="BA101" s="1470"/>
      <c r="BB101" s="1470"/>
      <c r="BC101" s="1470"/>
      <c r="BD101" s="1470"/>
      <c r="BE101" s="1557"/>
      <c r="BF101" s="1472"/>
      <c r="BG101" s="1592"/>
      <c r="BH101" s="1557"/>
      <c r="BI101" s="1561"/>
      <c r="BJ101" s="1557"/>
      <c r="BK101" s="1557"/>
      <c r="BL101" s="1557"/>
      <c r="BM101" s="1604"/>
    </row>
    <row r="102" spans="1:65" ht="10.5" hidden="1" customHeight="1" outlineLevel="1">
      <c r="A102" s="1531" t="s">
        <v>760</v>
      </c>
      <c r="B102" s="1573"/>
      <c r="C102" s="1581">
        <f>(R102/R95-1)*100</f>
        <v>11.305435252360851</v>
      </c>
      <c r="D102" s="1573"/>
      <c r="E102" s="1618">
        <v>-5.2</v>
      </c>
      <c r="F102" s="1573"/>
      <c r="G102" s="1565">
        <f>C102-E102</f>
        <v>16.505435252360851</v>
      </c>
      <c r="H102" s="1573"/>
      <c r="I102" s="1582">
        <f>+I101+27+5</f>
        <v>743</v>
      </c>
      <c r="J102" s="1600"/>
      <c r="K102" s="1534">
        <f>AVERAGEA(I101,I102)</f>
        <v>727</v>
      </c>
      <c r="L102" s="1573"/>
      <c r="M102" s="1534">
        <f>(K102/K95-1)*100</f>
        <v>11.93225558121631</v>
      </c>
      <c r="N102" s="1573"/>
      <c r="O102" s="1535">
        <f>(G102/M102)*100</f>
        <v>138.3261960826888</v>
      </c>
      <c r="P102" s="1573"/>
      <c r="Q102" s="1573"/>
      <c r="R102" s="1605">
        <f>'qtrP&amp;L'!AF12-qtrSales!R243-qtrSales!AM102</f>
        <v>363.14400000000001</v>
      </c>
      <c r="S102" s="1557" t="s">
        <v>235</v>
      </c>
      <c r="T102" s="1255">
        <f xml:space="preserve"> R102/K102</f>
        <v>0.49951031636863824</v>
      </c>
      <c r="U102" s="1479"/>
      <c r="V102" s="1584">
        <f>T102/T95-1</f>
        <v>-5.5999972983717949E-3</v>
      </c>
      <c r="W102" s="1479"/>
      <c r="X102" s="1612">
        <v>3.7436769999999999</v>
      </c>
      <c r="Y102" s="1600"/>
      <c r="Z102" s="1574">
        <f>AVERAGEA(X101,X102)</f>
        <v>3.6479360000000001</v>
      </c>
      <c r="AA102" s="1573"/>
      <c r="AB102" s="1534">
        <f>(Z102/Z95-1)*100</f>
        <v>15.96105763553226</v>
      </c>
      <c r="AC102" s="1573"/>
      <c r="AD102" s="1535">
        <f>(G102/AB102)*100</f>
        <v>103.41066130615746</v>
      </c>
      <c r="AE102" s="1573"/>
      <c r="AF102" s="1573"/>
      <c r="AG102" s="1557">
        <f>R102</f>
        <v>363.14400000000001</v>
      </c>
      <c r="AH102" s="1557"/>
      <c r="AI102" s="1587">
        <f xml:space="preserve"> AG102/Z102</f>
        <v>99.547799084194466</v>
      </c>
      <c r="AJ102" s="1479"/>
      <c r="AK102" s="1584">
        <f>AI102/AI95-1</f>
        <v>-4.014815385527204E-2</v>
      </c>
      <c r="AL102" s="1470"/>
      <c r="AM102" s="1602">
        <v>11.35</v>
      </c>
      <c r="AN102" s="1603"/>
      <c r="AO102" s="1613">
        <f>+AM102/AM95-1</f>
        <v>0.41874999999999996</v>
      </c>
      <c r="AP102" s="1613"/>
      <c r="AQ102" s="1291">
        <f>AM102/AM104</f>
        <v>0.24754634678298798</v>
      </c>
      <c r="AR102" s="1602"/>
      <c r="AS102" s="1303">
        <f>AM102/(R102+AM102)</f>
        <v>3.0307561669879888E-2</v>
      </c>
      <c r="AT102" s="1602"/>
      <c r="AU102" s="1303"/>
      <c r="AV102" s="1473"/>
      <c r="AW102" s="1613"/>
      <c r="AX102" s="1206"/>
      <c r="AY102" s="1470"/>
      <c r="AZ102" s="1470"/>
      <c r="BA102" s="1470"/>
      <c r="BB102" s="1470"/>
      <c r="BC102" s="1470"/>
      <c r="BD102" s="1470"/>
      <c r="BE102" s="1557"/>
      <c r="BF102" s="1472"/>
      <c r="BG102" s="1592"/>
      <c r="BH102" s="1557"/>
      <c r="BI102" s="1561"/>
      <c r="BJ102" s="1557"/>
      <c r="BK102" s="1557"/>
      <c r="BL102" s="1557"/>
      <c r="BM102" s="1604"/>
    </row>
    <row r="103" spans="1:65" ht="10.5" hidden="1" customHeight="1" outlineLevel="1">
      <c r="A103" s="1531" t="s">
        <v>761</v>
      </c>
      <c r="B103" s="1573"/>
      <c r="C103" s="1570">
        <f>(R103/R96-1)*100</f>
        <v>11.84867172675521</v>
      </c>
      <c r="D103" s="1573"/>
      <c r="E103" s="1614">
        <v>-3</v>
      </c>
      <c r="F103" s="1573"/>
      <c r="G103" s="1570">
        <f>C103-E103</f>
        <v>14.84867172675521</v>
      </c>
      <c r="H103" s="1573"/>
      <c r="I103" s="1566">
        <f>+yrSales!J19</f>
        <v>753</v>
      </c>
      <c r="J103" s="1600"/>
      <c r="K103" s="1545">
        <f>AVERAGEA(I102,I103)</f>
        <v>748</v>
      </c>
      <c r="L103" s="1573"/>
      <c r="M103" s="1545">
        <f>(K103/K96-1)*100</f>
        <v>10.487444608567209</v>
      </c>
      <c r="N103" s="1573"/>
      <c r="O103" s="1597">
        <f>(G103/M103)*100</f>
        <v>141.58522195793347</v>
      </c>
      <c r="P103" s="1573"/>
      <c r="Q103" s="1573"/>
      <c r="R103" s="1607">
        <f>'qtrP&amp;L'!AF13-qtrSales!R244-qtrSales!AM103</f>
        <v>471.55399999999997</v>
      </c>
      <c r="S103" s="1557" t="s">
        <v>235</v>
      </c>
      <c r="T103" s="1562">
        <f xml:space="preserve"> R103/K103</f>
        <v>0.6304197860962566</v>
      </c>
      <c r="U103" s="1479"/>
      <c r="V103" s="1589">
        <f>T103/T96-1</f>
        <v>1.2320197313011594E-2</v>
      </c>
      <c r="W103" s="1479"/>
      <c r="X103" s="1601">
        <f>+yrSales!J34</f>
        <v>3.8174419999999998</v>
      </c>
      <c r="Y103" s="1600"/>
      <c r="Z103" s="1577">
        <f>AVERAGEA(X102,X103)</f>
        <v>3.7805594999999999</v>
      </c>
      <c r="AA103" s="1573"/>
      <c r="AB103" s="1545">
        <f>(Z103/Z96-1)*100</f>
        <v>13.757522908367426</v>
      </c>
      <c r="AC103" s="1573"/>
      <c r="AD103" s="1475">
        <f>(G103/AB103)*100</f>
        <v>107.93128839875774</v>
      </c>
      <c r="AE103" s="1573"/>
      <c r="AF103" s="1573"/>
      <c r="AG103" s="1544">
        <f>R103</f>
        <v>471.55399999999997</v>
      </c>
      <c r="AH103" s="1557"/>
      <c r="AI103" s="1590">
        <f xml:space="preserve"> AG103/Z103</f>
        <v>124.73127324143424</v>
      </c>
      <c r="AJ103" s="1479"/>
      <c r="AK103" s="1589">
        <f>AI103/AI96-1</f>
        <v>-1.6779999535941115E-2</v>
      </c>
      <c r="AL103" s="1470"/>
      <c r="AM103" s="1608">
        <v>20</v>
      </c>
      <c r="AN103" s="1603"/>
      <c r="AO103" s="1615">
        <f>+AM103/AM96-1</f>
        <v>0.53846153846153855</v>
      </c>
      <c r="AP103" s="1616"/>
      <c r="AQ103" s="1609">
        <f>AM103/AM104</f>
        <v>0.4362050163576881</v>
      </c>
      <c r="AR103" s="1603"/>
      <c r="AS103" s="1594">
        <f>AM103/(R103+AM103)</f>
        <v>4.0687289697571377E-2</v>
      </c>
      <c r="AT103" s="1603"/>
      <c r="AU103" s="1561"/>
      <c r="AV103" s="1473"/>
      <c r="AW103" s="1613"/>
      <c r="AX103" s="1206"/>
      <c r="AY103" s="1470"/>
      <c r="AZ103" s="1470"/>
      <c r="BA103" s="1470"/>
      <c r="BB103" s="1470"/>
      <c r="BC103" s="1470"/>
      <c r="BD103" s="1470"/>
      <c r="BE103" s="1557"/>
      <c r="BF103" s="1472"/>
      <c r="BG103" s="1592"/>
      <c r="BH103" s="1557"/>
      <c r="BI103" s="1561"/>
      <c r="BJ103" s="1557"/>
      <c r="BK103" s="1557"/>
      <c r="BL103" s="1557"/>
      <c r="BM103" s="1604"/>
    </row>
    <row r="104" spans="1:65" ht="10.5" hidden="1" customHeight="1" outlineLevel="1">
      <c r="A104" s="1531" t="s">
        <v>762</v>
      </c>
      <c r="B104" s="1578"/>
      <c r="C104" s="1579">
        <f>(R104/R97-1)*100</f>
        <v>14.371541616802453</v>
      </c>
      <c r="D104" s="1529"/>
      <c r="E104" s="1618">
        <f>R100/R104*E100+R101/R104*E101+R102/R104*E102+R103/R104*E103</f>
        <v>-4.3418294478692099</v>
      </c>
      <c r="F104" s="1470"/>
      <c r="G104" s="1565">
        <f>C104-E104</f>
        <v>18.713371064671662</v>
      </c>
      <c r="H104" s="1470"/>
      <c r="I104" s="1566"/>
      <c r="J104" s="1470"/>
      <c r="K104" s="1534">
        <f>AVERAGEA(K100:K103)</f>
        <v>714.625</v>
      </c>
      <c r="L104" s="1470"/>
      <c r="M104" s="1534">
        <f>(K104/K97-1)*100</f>
        <v>14.937675914756742</v>
      </c>
      <c r="N104" s="1470"/>
      <c r="O104" s="1535">
        <f>(G104/M104)*100</f>
        <v>125.27632257829988</v>
      </c>
      <c r="P104" s="1472"/>
      <c r="Q104" s="1472"/>
      <c r="R104" s="1537">
        <f>SUM(R100:R103)</f>
        <v>1417.2909999999999</v>
      </c>
      <c r="S104" s="1538"/>
      <c r="T104" s="1539">
        <f>SUM(T100:T103)</f>
        <v>1.9715479308691168</v>
      </c>
      <c r="U104" s="1479"/>
      <c r="V104" s="1584">
        <f>T104/T97-1</f>
        <v>4.858291384370883E-4</v>
      </c>
      <c r="W104" s="1479"/>
      <c r="X104" s="1611"/>
      <c r="Y104" s="1470"/>
      <c r="Z104" s="1574">
        <f>AVERAGEA(Z100:Z103)</f>
        <v>3.5714682499999997</v>
      </c>
      <c r="AA104" s="1470"/>
      <c r="AB104" s="1534">
        <f>(Z104/Z97-1)*100</f>
        <v>19.361385012108979</v>
      </c>
      <c r="AC104" s="1470"/>
      <c r="AD104" s="1535">
        <f>(G104/AB104)*100</f>
        <v>96.653059959129806</v>
      </c>
      <c r="AE104" s="1472"/>
      <c r="AF104" s="1472"/>
      <c r="AG104" s="1537">
        <f>SUM(AG100:AG103)</f>
        <v>1417.2909999999999</v>
      </c>
      <c r="AH104" s="1538"/>
      <c r="AI104" s="1585">
        <f>SUM(AI100:AI103)</f>
        <v>394.05016767257263</v>
      </c>
      <c r="AJ104" s="1479"/>
      <c r="AK104" s="1584">
        <f>AI104/AI97-1</f>
        <v>-3.6509188558005223E-2</v>
      </c>
      <c r="AL104" s="1470"/>
      <c r="AM104" s="1470">
        <f>SUM(AM100:AM103)</f>
        <v>45.85</v>
      </c>
      <c r="AN104" s="1472"/>
      <c r="AO104" s="1613">
        <f>+AM104/AM97-1</f>
        <v>0.43281250000000004</v>
      </c>
      <c r="AP104" s="1613"/>
      <c r="AQ104" s="1291">
        <f>AM104/AM104</f>
        <v>1</v>
      </c>
      <c r="AR104" s="1470"/>
      <c r="AS104" s="1303">
        <f>AM104/(R104+AM104)</f>
        <v>3.1336692772603598E-2</v>
      </c>
      <c r="AT104" s="1470"/>
      <c r="AU104" s="1303"/>
      <c r="AV104" s="1473"/>
      <c r="AW104" s="1613"/>
      <c r="AX104" s="1470"/>
      <c r="AY104" s="1470"/>
      <c r="AZ104" s="1470"/>
      <c r="BA104" s="1470"/>
      <c r="BB104" s="1470"/>
      <c r="BC104" s="1470"/>
      <c r="BD104" s="1470"/>
      <c r="BE104" s="1538"/>
      <c r="BF104" s="1472"/>
      <c r="BG104" s="1591"/>
      <c r="BH104" s="1538"/>
      <c r="BI104" s="1561"/>
      <c r="BJ104" s="1538"/>
      <c r="BK104" s="1538"/>
      <c r="BL104" s="1538"/>
      <c r="BM104" s="1561"/>
    </row>
    <row r="105" spans="1:65" ht="10.5" hidden="1" customHeight="1" outlineLevel="1">
      <c r="A105" s="1531"/>
      <c r="B105" s="1578"/>
      <c r="C105" s="1579"/>
      <c r="D105" s="1529"/>
      <c r="E105" s="1579"/>
      <c r="F105" s="1470"/>
      <c r="G105" s="1565"/>
      <c r="H105" s="1470"/>
      <c r="I105" s="1566"/>
      <c r="J105" s="1470"/>
      <c r="K105" s="1534"/>
      <c r="L105" s="1470"/>
      <c r="M105" s="1620"/>
      <c r="N105" s="1470"/>
      <c r="O105" s="1535"/>
      <c r="P105" s="1472"/>
      <c r="Q105" s="1472"/>
      <c r="R105" s="1537"/>
      <c r="S105" s="1538"/>
      <c r="T105" s="1539"/>
      <c r="U105" s="1479"/>
      <c r="V105" s="1555"/>
      <c r="W105" s="1479"/>
      <c r="X105" s="1612"/>
      <c r="Y105" s="1470"/>
      <c r="Z105" s="1534"/>
      <c r="AA105" s="1470"/>
      <c r="AB105" s="1534"/>
      <c r="AC105" s="1470"/>
      <c r="AD105" s="1535"/>
      <c r="AE105" s="1472"/>
      <c r="AF105" s="1472"/>
      <c r="AG105" s="1537"/>
      <c r="AH105" s="1538"/>
      <c r="AI105" s="1539"/>
      <c r="AJ105" s="1479"/>
      <c r="AK105" s="1555"/>
      <c r="AL105" s="1470"/>
      <c r="AM105" s="1470"/>
      <c r="AN105" s="1472"/>
      <c r="AO105" s="1470"/>
      <c r="AP105" s="1470"/>
      <c r="AQ105" s="1470"/>
      <c r="AR105" s="1470"/>
      <c r="AS105" s="1470"/>
      <c r="AT105" s="1470"/>
      <c r="AU105" s="1470"/>
      <c r="AV105" s="1473"/>
      <c r="AW105" s="1470"/>
      <c r="AX105" s="1470"/>
      <c r="AY105" s="1470"/>
      <c r="AZ105" s="1470"/>
      <c r="BA105" s="1470"/>
      <c r="BB105" s="1470"/>
      <c r="BC105" s="1470"/>
      <c r="BD105" s="1470"/>
      <c r="BE105" s="1470"/>
      <c r="BF105" s="1470"/>
      <c r="BG105" s="1470"/>
      <c r="BH105" s="1470"/>
      <c r="BI105" s="1470"/>
      <c r="BJ105" s="1470"/>
      <c r="BK105" s="1470"/>
      <c r="BL105" s="1470"/>
      <c r="BM105" s="1470"/>
    </row>
    <row r="106" spans="1:65" ht="10.5" hidden="1" customHeight="1" outlineLevel="1">
      <c r="A106" s="1580" t="s">
        <v>585</v>
      </c>
      <c r="B106" s="1499"/>
      <c r="C106" s="1499"/>
      <c r="D106" s="1499"/>
      <c r="E106" s="1499"/>
      <c r="F106" s="1499"/>
      <c r="G106" s="1499"/>
      <c r="H106" s="1499"/>
      <c r="I106" s="1571"/>
      <c r="J106" s="1499"/>
      <c r="K106" s="1499"/>
      <c r="L106" s="1499"/>
      <c r="M106" s="1621"/>
      <c r="N106" s="1499"/>
      <c r="O106" s="1622"/>
      <c r="P106" s="1499"/>
      <c r="Q106" s="1499"/>
      <c r="R106" s="1499"/>
      <c r="S106" s="1499"/>
      <c r="T106" s="1530"/>
      <c r="U106" s="1530"/>
      <c r="V106" s="1303"/>
      <c r="W106" s="1479"/>
      <c r="X106" s="1571"/>
      <c r="Y106" s="1499"/>
      <c r="Z106" s="1499"/>
      <c r="AA106" s="1499"/>
      <c r="AB106" s="1572"/>
      <c r="AC106" s="1499"/>
      <c r="AD106" s="1551"/>
      <c r="AE106" s="1499"/>
      <c r="AF106" s="1499"/>
      <c r="AG106" s="1499"/>
      <c r="AH106" s="1499"/>
      <c r="AI106" s="1530"/>
      <c r="AJ106" s="1530"/>
      <c r="AK106" s="1303"/>
      <c r="AL106" s="1487"/>
      <c r="AM106" s="1487"/>
      <c r="AN106" s="1496"/>
      <c r="AO106" s="1487"/>
      <c r="AP106" s="1487"/>
      <c r="AQ106" s="1487"/>
      <c r="AR106" s="1487"/>
      <c r="AS106" s="1487"/>
      <c r="AT106" s="1487"/>
      <c r="AU106" s="1487"/>
      <c r="AV106" s="1473"/>
      <c r="AW106" s="1487"/>
      <c r="AX106" s="1487"/>
      <c r="AY106" s="1487"/>
      <c r="AZ106" s="1487"/>
      <c r="BA106" s="1487"/>
      <c r="BB106" s="1487"/>
      <c r="BC106" s="1487"/>
      <c r="BD106" s="1487"/>
      <c r="BE106" s="1487"/>
      <c r="BF106" s="1487"/>
      <c r="BG106" s="1487"/>
      <c r="BH106" s="1487"/>
      <c r="BI106" s="1487"/>
      <c r="BJ106" s="1487"/>
      <c r="BK106" s="1487"/>
      <c r="BL106" s="1487"/>
      <c r="BM106" s="1487"/>
    </row>
    <row r="107" spans="1:65" ht="10.5" hidden="1" customHeight="1" outlineLevel="1">
      <c r="A107" s="1531" t="s">
        <v>758</v>
      </c>
      <c r="B107" s="1573"/>
      <c r="C107" s="1581">
        <f>(R107/R100-1)*100</f>
        <v>4.970597246883468</v>
      </c>
      <c r="D107" s="1573" t="s">
        <v>697</v>
      </c>
      <c r="E107" s="1623">
        <v>-5.8</v>
      </c>
      <c r="F107" s="1573" t="s">
        <v>697</v>
      </c>
      <c r="G107" s="1565">
        <f>C107-E107</f>
        <v>10.770597246883469</v>
      </c>
      <c r="H107" s="1573" t="s">
        <v>697</v>
      </c>
      <c r="I107" s="1582">
        <f>+I103+8</f>
        <v>761</v>
      </c>
      <c r="J107" s="1600"/>
      <c r="K107" s="1534">
        <f>(I107+I103)/2</f>
        <v>757</v>
      </c>
      <c r="L107" s="1573"/>
      <c r="M107" s="1534">
        <f>(K107/K100-1)*100</f>
        <v>10.753474762253102</v>
      </c>
      <c r="N107" s="1573" t="s">
        <v>697</v>
      </c>
      <c r="O107" s="1535">
        <f>(G107/M107)*100</f>
        <v>100.15922745911368</v>
      </c>
      <c r="P107" s="1573" t="s">
        <v>697</v>
      </c>
      <c r="Q107" s="1573"/>
      <c r="R107" s="1538">
        <f>+'qtrP&amp;L'!AJ10-qtrSales!AM107-R248</f>
        <v>284.358</v>
      </c>
      <c r="S107" s="1557" t="s">
        <v>235</v>
      </c>
      <c r="T107" s="1539">
        <f xml:space="preserve"> R107/K107</f>
        <v>0.37563804491413477</v>
      </c>
      <c r="U107" s="1479"/>
      <c r="V107" s="1584">
        <f>T107/T100-1</f>
        <v>-5.2213960128865922E-2</v>
      </c>
      <c r="W107" s="1479"/>
      <c r="X107" s="1612">
        <v>3.8834680000000001</v>
      </c>
      <c r="Y107" s="1600"/>
      <c r="Z107" s="1574">
        <f>(X107+X103)/2</f>
        <v>3.8504550000000002</v>
      </c>
      <c r="AA107" s="1573"/>
      <c r="AB107" s="1534">
        <f>(Z107/Z100-1)*100</f>
        <v>14.110766530732842</v>
      </c>
      <c r="AC107" s="1573" t="s">
        <v>697</v>
      </c>
      <c r="AD107" s="1535">
        <f>(G107/AB107)*100</f>
        <v>76.328930986317573</v>
      </c>
      <c r="AE107" s="1573" t="s">
        <v>697</v>
      </c>
      <c r="AF107" s="1573"/>
      <c r="AG107" s="1538">
        <f>R107</f>
        <v>284.358</v>
      </c>
      <c r="AH107" s="1557"/>
      <c r="AI107" s="1585">
        <f xml:space="preserve"> AG107/Z107</f>
        <v>73.850492993685165</v>
      </c>
      <c r="AJ107" s="1479"/>
      <c r="AK107" s="1584">
        <f>AI107/AI100-1</f>
        <v>-8.0099096358166144E-2</v>
      </c>
      <c r="AL107" s="1470"/>
      <c r="AM107" s="1602">
        <v>7.5</v>
      </c>
      <c r="AN107" s="1603"/>
      <c r="AO107" s="1206">
        <f>+AM107/AM100-1</f>
        <v>7.1428571428571397E-2</v>
      </c>
      <c r="AP107" s="1206"/>
      <c r="AQ107" s="1291">
        <f>AM107/AM111</f>
        <v>0.14591439688715954</v>
      </c>
      <c r="AR107" s="1602"/>
      <c r="AS107" s="1303">
        <f>AM107/(R107+AM107)</f>
        <v>2.5697428201385604E-2</v>
      </c>
      <c r="AT107" s="1602"/>
      <c r="AU107" s="1303"/>
      <c r="AV107" s="1473"/>
      <c r="AW107" s="1206"/>
      <c r="AX107" s="1206"/>
      <c r="AY107" s="1470"/>
      <c r="AZ107" s="1470"/>
      <c r="BA107" s="1470"/>
      <c r="BB107" s="1470"/>
      <c r="BC107" s="1470"/>
      <c r="BD107" s="1470"/>
      <c r="BE107" s="1538"/>
      <c r="BF107" s="1472"/>
      <c r="BG107" s="1591">
        <f>0.724*492</f>
        <v>356.20799999999997</v>
      </c>
      <c r="BH107" s="1538"/>
      <c r="BI107" s="1561"/>
      <c r="BJ107" s="1538"/>
      <c r="BK107" s="1538"/>
      <c r="BL107" s="1538"/>
      <c r="BM107" s="1604"/>
    </row>
    <row r="108" spans="1:65" ht="10.5" hidden="1" customHeight="1" outlineLevel="1">
      <c r="A108" s="1531" t="s">
        <v>759</v>
      </c>
      <c r="B108" s="1573"/>
      <c r="C108" s="1581">
        <f>(R108/R101-1)*100</f>
        <v>5.1187038819377806</v>
      </c>
      <c r="D108" s="1573"/>
      <c r="E108" s="1623">
        <v>-5.3</v>
      </c>
      <c r="F108" s="1573"/>
      <c r="G108" s="1565">
        <f>C108-E108</f>
        <v>10.41870388193778</v>
      </c>
      <c r="H108" s="1573"/>
      <c r="I108" s="1582">
        <f>+I107+15</f>
        <v>776</v>
      </c>
      <c r="J108" s="1600"/>
      <c r="K108" s="1534">
        <f>AVERAGEA(I107,I108)</f>
        <v>768.5</v>
      </c>
      <c r="L108" s="1573"/>
      <c r="M108" s="1534">
        <f>(K108/K101-1)*100</f>
        <v>9.7857142857142865</v>
      </c>
      <c r="N108" s="1573"/>
      <c r="O108" s="1535">
        <f>(G108/M108)*100</f>
        <v>106.46850682272185</v>
      </c>
      <c r="P108" s="1573"/>
      <c r="Q108" s="1573"/>
      <c r="R108" s="1605">
        <f>+'qtrP&amp;L'!AJ11-qtrSales!AM108-R249</f>
        <v>327.65500000000003</v>
      </c>
      <c r="S108" s="1557" t="s">
        <v>235</v>
      </c>
      <c r="T108" s="1255">
        <f xml:space="preserve"> R108/K108</f>
        <v>0.4263565387117762</v>
      </c>
      <c r="U108" s="1479"/>
      <c r="V108" s="1584">
        <f>T108/T101-1</f>
        <v>-4.2510179344743881E-2</v>
      </c>
      <c r="W108" s="1479"/>
      <c r="X108" s="1612">
        <v>4.0097269999999998</v>
      </c>
      <c r="Y108" s="1600"/>
      <c r="Z108" s="1574">
        <f>AVERAGEA(X107,X108)</f>
        <v>3.9465975000000002</v>
      </c>
      <c r="AA108" s="1573"/>
      <c r="AB108" s="1534">
        <f>(Z108/Z101-1)*100</f>
        <v>13.308210816683253</v>
      </c>
      <c r="AC108" s="1573"/>
      <c r="AD108" s="1535">
        <f>(G108/AB108)*100</f>
        <v>78.287788084006223</v>
      </c>
      <c r="AE108" s="1573"/>
      <c r="AF108" s="1573"/>
      <c r="AG108" s="1557">
        <f>R108</f>
        <v>327.65500000000003</v>
      </c>
      <c r="AH108" s="1557"/>
      <c r="AI108" s="1587">
        <f xml:space="preserve"> AG108/Z108</f>
        <v>83.022147558751556</v>
      </c>
      <c r="AJ108" s="1479"/>
      <c r="AK108" s="1584">
        <f>AI108/AI101-1</f>
        <v>-7.2276376757858696E-2</v>
      </c>
      <c r="AL108" s="1470"/>
      <c r="AM108" s="1602">
        <v>9.4</v>
      </c>
      <c r="AN108" s="1603"/>
      <c r="AO108" s="1206">
        <f>+AM108/AM101-1</f>
        <v>0.25333333333333341</v>
      </c>
      <c r="AP108" s="1206"/>
      <c r="AQ108" s="1291">
        <f>AM108/AM111</f>
        <v>0.18287937743190663</v>
      </c>
      <c r="AR108" s="1602"/>
      <c r="AS108" s="1303">
        <f>AM108/(R108+AM108)</f>
        <v>2.7888623518416877E-2</v>
      </c>
      <c r="AT108" s="1602"/>
      <c r="AU108" s="1303"/>
      <c r="AV108" s="1473"/>
      <c r="AW108" s="1206"/>
      <c r="AX108" s="1206"/>
      <c r="AY108" s="1470"/>
      <c r="AZ108" s="1470"/>
      <c r="BA108" s="1470"/>
      <c r="BB108" s="1470"/>
      <c r="BC108" s="1470"/>
      <c r="BD108" s="1470"/>
      <c r="BE108" s="1557"/>
      <c r="BF108" s="1472"/>
      <c r="BG108" s="1592"/>
      <c r="BH108" s="1557"/>
      <c r="BI108" s="1561"/>
      <c r="BJ108" s="1557"/>
      <c r="BK108" s="1557"/>
      <c r="BL108" s="1557"/>
      <c r="BM108" s="1604"/>
    </row>
    <row r="109" spans="1:65" ht="10.5" hidden="1" customHeight="1" outlineLevel="1">
      <c r="A109" s="1531" t="s">
        <v>760</v>
      </c>
      <c r="B109" s="1573"/>
      <c r="C109" s="1581">
        <f>(R109/R102-1)*100</f>
        <v>-0.50778754433502549</v>
      </c>
      <c r="D109" s="1573"/>
      <c r="E109" s="1624">
        <v>-10.4</v>
      </c>
      <c r="F109" s="1573"/>
      <c r="G109" s="1565">
        <f>C109-E109</f>
        <v>9.8922124556649749</v>
      </c>
      <c r="H109" s="1573"/>
      <c r="I109" s="1582">
        <f>+I108+22</f>
        <v>798</v>
      </c>
      <c r="J109" s="1600"/>
      <c r="K109" s="1534">
        <f>AVERAGEA(I108,I109)</f>
        <v>787</v>
      </c>
      <c r="L109" s="1573"/>
      <c r="M109" s="1534">
        <f>(K109/K102-1)*100</f>
        <v>8.253094910591475</v>
      </c>
      <c r="N109" s="1573"/>
      <c r="O109" s="1535">
        <f>(G109/M109)*100</f>
        <v>119.86064092114057</v>
      </c>
      <c r="P109" s="1573"/>
      <c r="Q109" s="1573"/>
      <c r="R109" s="1605">
        <f>+'qtrP&amp;L'!AJ12-qtrSales!AM109-R250</f>
        <v>361.3</v>
      </c>
      <c r="S109" s="1557" t="s">
        <v>235</v>
      </c>
      <c r="T109" s="1255">
        <f xml:space="preserve"> R109/K109</f>
        <v>0.45908513341804319</v>
      </c>
      <c r="U109" s="1479"/>
      <c r="V109" s="1584">
        <f>T109/T102-1</f>
        <v>-8.0929625727211851E-2</v>
      </c>
      <c r="W109" s="1479"/>
      <c r="X109" s="1612">
        <v>4.1570460000000002</v>
      </c>
      <c r="Y109" s="1600"/>
      <c r="Z109" s="1574">
        <f>AVERAGEA(X108,X109)</f>
        <v>4.0833864999999996</v>
      </c>
      <c r="AA109" s="1573"/>
      <c r="AB109" s="1534">
        <f>(Z109/Z102-1)*100</f>
        <v>11.936900757030822</v>
      </c>
      <c r="AC109" s="1573"/>
      <c r="AD109" s="1535">
        <f>(G109/AB109)*100</f>
        <v>82.870861180934867</v>
      </c>
      <c r="AE109" s="1573"/>
      <c r="AF109" s="1573"/>
      <c r="AG109" s="1557">
        <f>R109</f>
        <v>361.3</v>
      </c>
      <c r="AH109" s="1557"/>
      <c r="AI109" s="1587">
        <f xml:space="preserve"> AG109/Z109</f>
        <v>88.480480601089326</v>
      </c>
      <c r="AJ109" s="1479"/>
      <c r="AK109" s="1584">
        <f>AI109/AI102-1</f>
        <v>-0.11117592337470705</v>
      </c>
      <c r="AL109" s="1470"/>
      <c r="AM109" s="1602">
        <v>12.5</v>
      </c>
      <c r="AN109" s="1603"/>
      <c r="AO109" s="1206">
        <f>+AM109/AM102-1</f>
        <v>0.10132158590308382</v>
      </c>
      <c r="AP109" s="1206"/>
      <c r="AQ109" s="1291">
        <f>AM109/AM111</f>
        <v>0.24319066147859922</v>
      </c>
      <c r="AR109" s="1602"/>
      <c r="AS109" s="1303">
        <f>AM109/(R109+AM109)</f>
        <v>3.344034242910647E-2</v>
      </c>
      <c r="AT109" s="1602"/>
      <c r="AU109" s="1303"/>
      <c r="AV109" s="1473"/>
      <c r="AW109" s="1206"/>
      <c r="AX109" s="1206"/>
      <c r="AY109" s="1470"/>
      <c r="AZ109" s="1470"/>
      <c r="BA109" s="1470"/>
      <c r="BB109" s="1470"/>
      <c r="BC109" s="1470"/>
      <c r="BD109" s="1470"/>
      <c r="BE109" s="1557"/>
      <c r="BF109" s="1472"/>
      <c r="BG109" s="1592"/>
      <c r="BH109" s="1557"/>
      <c r="BI109" s="1561"/>
      <c r="BJ109" s="1557"/>
      <c r="BK109" s="1557"/>
      <c r="BL109" s="1557"/>
      <c r="BM109" s="1604"/>
    </row>
    <row r="110" spans="1:65" ht="10.5" hidden="1" customHeight="1" outlineLevel="1">
      <c r="A110" s="1531" t="s">
        <v>761</v>
      </c>
      <c r="B110" s="1573"/>
      <c r="C110" s="1570">
        <f>(R110/R103-1)*100</f>
        <v>-0.63068068556305645</v>
      </c>
      <c r="D110" s="1573"/>
      <c r="E110" s="1625">
        <v>-5.0999999999999996</v>
      </c>
      <c r="F110" s="1573"/>
      <c r="G110" s="1570">
        <f>C110-E110</f>
        <v>4.4693193144369427</v>
      </c>
      <c r="H110" s="1573"/>
      <c r="I110" s="1606">
        <f>+yrSales!K19</f>
        <v>805</v>
      </c>
      <c r="J110" s="1600"/>
      <c r="K110" s="1545">
        <f>AVERAGEA(I109,I110)</f>
        <v>801.5</v>
      </c>
      <c r="L110" s="1573"/>
      <c r="M110" s="1545">
        <f>(K110/K103-1)*100</f>
        <v>7.1524064171123003</v>
      </c>
      <c r="N110" s="1573"/>
      <c r="O110" s="1597">
        <f>(G110/M110)*100</f>
        <v>62.486931723342664</v>
      </c>
      <c r="P110" s="1573"/>
      <c r="Q110" s="1573"/>
      <c r="R110" s="1607">
        <f>+'qtrP&amp;L'!AJ13-qtrSales!AM110-R251</f>
        <v>468.58</v>
      </c>
      <c r="S110" s="1557" t="s">
        <v>235</v>
      </c>
      <c r="T110" s="1562">
        <f xml:space="preserve"> R110/K110</f>
        <v>0.58462882096069868</v>
      </c>
      <c r="U110" s="1479"/>
      <c r="V110" s="1589">
        <f>T110/T103-1</f>
        <v>-7.2635672524031913E-2</v>
      </c>
      <c r="W110" s="1479"/>
      <c r="X110" s="1601">
        <f>+yrSales!K34</f>
        <v>4.2394970000000001</v>
      </c>
      <c r="Y110" s="1600"/>
      <c r="Z110" s="1577">
        <f>AVERAGEA(X109,X110)</f>
        <v>4.1982715000000006</v>
      </c>
      <c r="AA110" s="1573"/>
      <c r="AB110" s="1545">
        <f>(Z110/Z103-1)*100</f>
        <v>11.048946591106446</v>
      </c>
      <c r="AC110" s="1573"/>
      <c r="AD110" s="1475">
        <f>(G110/AB110)*100</f>
        <v>40.450184798923743</v>
      </c>
      <c r="AE110" s="1573"/>
      <c r="AF110" s="1573"/>
      <c r="AG110" s="1544">
        <f>R110</f>
        <v>468.58</v>
      </c>
      <c r="AH110" s="1557"/>
      <c r="AI110" s="1590">
        <f xml:space="preserve"> AG110/Z110</f>
        <v>111.61260056668559</v>
      </c>
      <c r="AJ110" s="1479"/>
      <c r="AK110" s="1589">
        <f>AI110/AI103-1</f>
        <v>-0.10517548914421559</v>
      </c>
      <c r="AL110" s="1470"/>
      <c r="AM110" s="1608">
        <v>22</v>
      </c>
      <c r="AN110" s="1603"/>
      <c r="AO110" s="1626">
        <f>+AM110/AM103-1</f>
        <v>0.10000000000000009</v>
      </c>
      <c r="AP110" s="1308"/>
      <c r="AQ110" s="1609">
        <f>AM110/AM111</f>
        <v>0.42801556420233466</v>
      </c>
      <c r="AR110" s="1603"/>
      <c r="AS110" s="1594">
        <f>AM110/(R110+AM110)</f>
        <v>4.4844877491948307E-2</v>
      </c>
      <c r="AT110" s="1603"/>
      <c r="AU110" s="1561"/>
      <c r="AV110" s="1473"/>
      <c r="AW110" s="1206"/>
      <c r="AX110" s="1206"/>
      <c r="AY110" s="1470"/>
      <c r="AZ110" s="1470"/>
      <c r="BA110" s="1470"/>
      <c r="BB110" s="1470"/>
      <c r="BC110" s="1470"/>
      <c r="BD110" s="1470"/>
      <c r="BE110" s="1557"/>
      <c r="BF110" s="1472"/>
      <c r="BG110" s="1592"/>
      <c r="BH110" s="1557"/>
      <c r="BI110" s="1561"/>
      <c r="BJ110" s="1557"/>
      <c r="BK110" s="1557"/>
      <c r="BL110" s="1557"/>
      <c r="BM110" s="1604"/>
    </row>
    <row r="111" spans="1:65" ht="10.5" hidden="1" customHeight="1" outlineLevel="1">
      <c r="A111" s="1531" t="s">
        <v>762</v>
      </c>
      <c r="B111" s="1578"/>
      <c r="C111" s="1579">
        <f>(R111/R104-1)*100</f>
        <v>1.7358467668248778</v>
      </c>
      <c r="D111" s="1529"/>
      <c r="E111" s="1627">
        <f>R107/R111*E107+R108/R111*E108+R109/R111*E109+R110/R111*E110</f>
        <v>-6.6115349058494637</v>
      </c>
      <c r="F111" s="1470"/>
      <c r="G111" s="1565">
        <f>C111-E111</f>
        <v>8.3473816726743415</v>
      </c>
      <c r="H111" s="1470"/>
      <c r="I111" s="1566"/>
      <c r="J111" s="1470"/>
      <c r="K111" s="1534">
        <f>AVERAGEA(K107:K110)</f>
        <v>778.5</v>
      </c>
      <c r="L111" s="1470"/>
      <c r="M111" s="1534">
        <f>(K111/K104-1)*100</f>
        <v>8.93825432919364</v>
      </c>
      <c r="N111" s="1470"/>
      <c r="O111" s="1535">
        <f>(G111/M111)*100</f>
        <v>93.389395347708742</v>
      </c>
      <c r="P111" s="1472"/>
      <c r="Q111" s="1472"/>
      <c r="R111" s="1537">
        <f>SUM(R107:R110)</f>
        <v>1441.893</v>
      </c>
      <c r="S111" s="1538"/>
      <c r="T111" s="1539">
        <f>SUM(T107:T110)</f>
        <v>1.845708538004653</v>
      </c>
      <c r="U111" s="1479"/>
      <c r="V111" s="1584">
        <f>T111/T104-1</f>
        <v>-6.3827711664605657E-2</v>
      </c>
      <c r="W111" s="1479"/>
      <c r="X111" s="1611"/>
      <c r="Y111" s="1470"/>
      <c r="Z111" s="1574">
        <f>AVERAGEA(Z107:Z110)</f>
        <v>4.0196776249999999</v>
      </c>
      <c r="AA111" s="1470"/>
      <c r="AB111" s="1534">
        <f>(Z111/Z104-1)*100</f>
        <v>12.549723072576668</v>
      </c>
      <c r="AC111" s="1470"/>
      <c r="AD111" s="1535">
        <f>(G111/AB111)*100</f>
        <v>66.514469079519571</v>
      </c>
      <c r="AE111" s="1472"/>
      <c r="AF111" s="1472"/>
      <c r="AG111" s="1537">
        <f>SUM(AG107:AG110)</f>
        <v>1441.893</v>
      </c>
      <c r="AH111" s="1538"/>
      <c r="AI111" s="1585">
        <f>SUM(AI107:AI110)</f>
        <v>356.9657217202116</v>
      </c>
      <c r="AJ111" s="1479"/>
      <c r="AK111" s="1584">
        <f>AI111/AI104-1</f>
        <v>-9.4110976202338659E-2</v>
      </c>
      <c r="AL111" s="1470"/>
      <c r="AM111" s="1470">
        <f>SUM(AM107:AM110)</f>
        <v>51.4</v>
      </c>
      <c r="AN111" s="1472"/>
      <c r="AO111" s="1206">
        <f>+AM111/AM104-1</f>
        <v>0.12104689203925845</v>
      </c>
      <c r="AP111" s="1206"/>
      <c r="AQ111" s="1291">
        <f>AM111/AM111</f>
        <v>1</v>
      </c>
      <c r="AR111" s="1470"/>
      <c r="AS111" s="1303">
        <f>AM111/(R111+AM111)</f>
        <v>3.4420572519927431E-2</v>
      </c>
      <c r="AT111" s="1470"/>
      <c r="AU111" s="1303"/>
      <c r="AV111" s="1473"/>
      <c r="AW111" s="1206"/>
      <c r="AX111" s="1470"/>
      <c r="AY111" s="1470"/>
      <c r="AZ111" s="1470"/>
      <c r="BA111" s="1470"/>
      <c r="BB111" s="1470"/>
      <c r="BC111" s="1470"/>
      <c r="BD111" s="1470"/>
      <c r="BE111" s="1538"/>
      <c r="BF111" s="1472"/>
      <c r="BG111" s="1591"/>
      <c r="BH111" s="1538"/>
      <c r="BI111" s="1561"/>
      <c r="BJ111" s="1538"/>
      <c r="BK111" s="1538"/>
      <c r="BL111" s="1538"/>
      <c r="BM111" s="1561"/>
    </row>
    <row r="112" spans="1:65" ht="10.5" hidden="1" customHeight="1" outlineLevel="1">
      <c r="A112" s="1531"/>
      <c r="B112" s="1578"/>
      <c r="C112" s="1579"/>
      <c r="D112" s="1529"/>
      <c r="E112" s="1579"/>
      <c r="F112" s="1470"/>
      <c r="G112" s="1565"/>
      <c r="H112" s="1470"/>
      <c r="I112" s="1566"/>
      <c r="J112" s="1470"/>
      <c r="K112" s="1534"/>
      <c r="L112" s="1470"/>
      <c r="M112" s="1534"/>
      <c r="N112" s="1470"/>
      <c r="O112" s="1535"/>
      <c r="P112" s="1472"/>
      <c r="Q112" s="1472"/>
      <c r="R112" s="1537"/>
      <c r="S112" s="1538"/>
      <c r="T112" s="1539"/>
      <c r="U112" s="1479"/>
      <c r="V112" s="1555"/>
      <c r="W112" s="1479"/>
      <c r="X112" s="1612"/>
      <c r="Y112" s="1470"/>
      <c r="Z112" s="1534"/>
      <c r="AA112" s="1470"/>
      <c r="AB112" s="1534"/>
      <c r="AC112" s="1470"/>
      <c r="AD112" s="1535"/>
      <c r="AE112" s="1472"/>
      <c r="AF112" s="1472"/>
      <c r="AG112" s="1537"/>
      <c r="AH112" s="1538"/>
      <c r="AI112" s="1539"/>
      <c r="AJ112" s="1479"/>
      <c r="AK112" s="1555"/>
      <c r="AL112" s="1470"/>
      <c r="AM112" s="1470"/>
      <c r="AN112" s="1472"/>
      <c r="AO112" s="1470"/>
      <c r="AP112" s="1470"/>
      <c r="AQ112" s="1470"/>
      <c r="AR112" s="1470"/>
      <c r="AS112" s="1470"/>
      <c r="AT112" s="1470"/>
      <c r="AU112" s="1470"/>
      <c r="AV112" s="1473"/>
      <c r="AW112" s="1470"/>
      <c r="AX112" s="1470"/>
      <c r="AY112" s="1470"/>
      <c r="AZ112" s="1470"/>
      <c r="BA112" s="1470"/>
      <c r="BB112" s="1470"/>
      <c r="BC112" s="1470"/>
      <c r="BD112" s="1470"/>
      <c r="BE112" s="1470"/>
      <c r="BF112" s="1470"/>
      <c r="BG112" s="1470"/>
      <c r="BH112" s="1470"/>
      <c r="BI112" s="1470"/>
      <c r="BJ112" s="1470"/>
      <c r="BK112" s="1470"/>
      <c r="BL112" s="1470"/>
      <c r="BM112" s="1470"/>
    </row>
    <row r="113" spans="1:65" ht="10.5" hidden="1" customHeight="1" outlineLevel="1">
      <c r="A113" s="1580" t="s">
        <v>691</v>
      </c>
      <c r="B113" s="1499"/>
      <c r="C113" s="1499"/>
      <c r="D113" s="1499"/>
      <c r="E113" s="1499"/>
      <c r="F113" s="1499"/>
      <c r="G113" s="1499"/>
      <c r="H113" s="1499"/>
      <c r="I113" s="1571"/>
      <c r="J113" s="1499"/>
      <c r="K113" s="1499"/>
      <c r="L113" s="1499"/>
      <c r="M113" s="1572"/>
      <c r="N113" s="1499"/>
      <c r="O113" s="1628"/>
      <c r="P113" s="1499"/>
      <c r="Q113" s="1499"/>
      <c r="R113" s="1499"/>
      <c r="S113" s="1499"/>
      <c r="T113" s="1530"/>
      <c r="U113" s="1530"/>
      <c r="V113" s="1303"/>
      <c r="W113" s="1479"/>
      <c r="X113" s="1571"/>
      <c r="Y113" s="1499"/>
      <c r="Z113" s="1499"/>
      <c r="AA113" s="1499"/>
      <c r="AB113" s="1572"/>
      <c r="AC113" s="1499"/>
      <c r="AD113" s="1551"/>
      <c r="AE113" s="1499"/>
      <c r="AF113" s="1499"/>
      <c r="AG113" s="1499"/>
      <c r="AH113" s="1499"/>
      <c r="AI113" s="1530"/>
      <c r="AJ113" s="1530"/>
      <c r="AK113" s="1303"/>
      <c r="AL113" s="1487"/>
      <c r="AM113" s="1487"/>
      <c r="AN113" s="1496"/>
      <c r="AO113" s="1487"/>
      <c r="AP113" s="1487"/>
      <c r="AQ113" s="1487"/>
      <c r="AR113" s="1487"/>
      <c r="AS113" s="1487"/>
      <c r="AT113" s="1487"/>
      <c r="AU113" s="1487"/>
      <c r="AV113" s="1473"/>
      <c r="AW113" s="1487"/>
      <c r="AX113" s="1487"/>
      <c r="AY113" s="1487"/>
      <c r="AZ113" s="1487"/>
      <c r="BA113" s="1487"/>
      <c r="BB113" s="1487"/>
      <c r="BC113" s="1487"/>
      <c r="BD113" s="1487"/>
      <c r="BE113" s="1487"/>
      <c r="BF113" s="1487"/>
      <c r="BG113" s="1487"/>
      <c r="BH113" s="1487"/>
      <c r="BI113" s="1487"/>
      <c r="BJ113" s="1487"/>
      <c r="BK113" s="1487"/>
      <c r="BL113" s="1487"/>
      <c r="BM113" s="1487"/>
    </row>
    <row r="114" spans="1:65" ht="10.5" hidden="1" customHeight="1" outlineLevel="1">
      <c r="A114" s="1531" t="s">
        <v>758</v>
      </c>
      <c r="B114" s="1573"/>
      <c r="C114" s="1581">
        <f>(R114/R107-1)*100</f>
        <v>13.670091926374495</v>
      </c>
      <c r="D114" s="1573" t="s">
        <v>697</v>
      </c>
      <c r="E114" s="1629">
        <v>9.3000000000000007</v>
      </c>
      <c r="F114" s="1573" t="s">
        <v>697</v>
      </c>
      <c r="G114" s="1565">
        <f>C114-E114</f>
        <v>4.370091926374494</v>
      </c>
      <c r="H114" s="1573" t="s">
        <v>697</v>
      </c>
      <c r="I114" s="1582">
        <f>+I110+4</f>
        <v>809</v>
      </c>
      <c r="J114" s="1600"/>
      <c r="K114" s="1534">
        <f>(I114+I110)/2</f>
        <v>807</v>
      </c>
      <c r="L114" s="1573"/>
      <c r="M114" s="1534">
        <f>(K114/K107-1)*100</f>
        <v>6.6050198150594541</v>
      </c>
      <c r="N114" s="1573" t="s">
        <v>697</v>
      </c>
      <c r="O114" s="1535">
        <f>(G114/M114)*100</f>
        <v>66.163191765309747</v>
      </c>
      <c r="P114" s="1573" t="s">
        <v>697</v>
      </c>
      <c r="Q114" s="1573"/>
      <c r="R114" s="1630">
        <f>+'qtrP&amp;L'!AN10-qtrSales!AM114</f>
        <v>323.23</v>
      </c>
      <c r="S114" s="1557"/>
      <c r="T114" s="1539">
        <f xml:space="preserve"> R114/K114</f>
        <v>0.40053283767038417</v>
      </c>
      <c r="U114" s="1479"/>
      <c r="V114" s="1584">
        <f>T114/T107-1</f>
        <v>6.6273353014442371E-2</v>
      </c>
      <c r="W114" s="1479"/>
      <c r="X114" s="1612">
        <v>4.2851819999999998</v>
      </c>
      <c r="Y114" s="1600"/>
      <c r="Z114" s="1574">
        <f>(X114+X110)/2</f>
        <v>4.2623394999999995</v>
      </c>
      <c r="AA114" s="1573"/>
      <c r="AB114" s="1534">
        <f>(Z114/Z107-1)*100</f>
        <v>10.697034506311564</v>
      </c>
      <c r="AC114" s="1573" t="s">
        <v>697</v>
      </c>
      <c r="AD114" s="1535">
        <f>(G114/AB114)*100</f>
        <v>40.853303070079953</v>
      </c>
      <c r="AE114" s="1573" t="s">
        <v>697</v>
      </c>
      <c r="AF114" s="1573"/>
      <c r="AG114" s="1538">
        <f>R114</f>
        <v>323.23</v>
      </c>
      <c r="AH114" s="1557"/>
      <c r="AI114" s="1585">
        <f xml:space="preserve"> AG114/Z114</f>
        <v>75.833940492070155</v>
      </c>
      <c r="AJ114" s="1479"/>
      <c r="AK114" s="1584">
        <f>AI114/AI107-1</f>
        <v>2.6857606740074091E-2</v>
      </c>
      <c r="AL114" s="1470"/>
      <c r="AM114" s="1602">
        <v>9</v>
      </c>
      <c r="AN114" s="1603"/>
      <c r="AO114" s="1206">
        <f>+AM114/AM107-1</f>
        <v>0.19999999999999996</v>
      </c>
      <c r="AP114" s="1206"/>
      <c r="AQ114" s="1291">
        <f>AM114/AM118</f>
        <v>0.140625</v>
      </c>
      <c r="AR114" s="1602"/>
      <c r="AS114" s="1303">
        <f>AM114/(R114+AM114)</f>
        <v>2.7089666797098393E-2</v>
      </c>
      <c r="AT114" s="1602"/>
      <c r="AU114" s="1303"/>
      <c r="AV114" s="1473"/>
      <c r="AW114" s="1206"/>
      <c r="AX114" s="1206"/>
      <c r="AY114" s="1470"/>
      <c r="AZ114" s="1470"/>
      <c r="BA114" s="1470"/>
      <c r="BB114" s="1470"/>
      <c r="BC114" s="1470"/>
      <c r="BD114" s="1470"/>
      <c r="BE114" s="1538"/>
      <c r="BF114" s="1472"/>
      <c r="BG114" s="1591">
        <f>0.724*492</f>
        <v>356.20799999999997</v>
      </c>
      <c r="BH114" s="1538"/>
      <c r="BI114" s="1561"/>
      <c r="BJ114" s="1538"/>
      <c r="BK114" s="1538"/>
      <c r="BL114" s="1538"/>
      <c r="BM114" s="1604"/>
    </row>
    <row r="115" spans="1:65" ht="10.5" hidden="1" customHeight="1" outlineLevel="1">
      <c r="A115" s="1531" t="s">
        <v>759</v>
      </c>
      <c r="B115" s="1573"/>
      <c r="C115" s="1581">
        <f>(R115/R108-1)*100</f>
        <v>17.013932337367031</v>
      </c>
      <c r="D115" s="1573"/>
      <c r="E115" s="1629">
        <v>12.7</v>
      </c>
      <c r="F115" s="1573"/>
      <c r="G115" s="1565">
        <f>C115-E115</f>
        <v>4.3139323373670315</v>
      </c>
      <c r="H115" s="1573"/>
      <c r="I115" s="1582">
        <f>+I114+16</f>
        <v>825</v>
      </c>
      <c r="J115" s="1600"/>
      <c r="K115" s="1534">
        <f>AVERAGEA(I114,I115)</f>
        <v>817</v>
      </c>
      <c r="L115" s="1573"/>
      <c r="M115" s="1534">
        <f>(K115/K108-1)*100</f>
        <v>6.3109954456733952</v>
      </c>
      <c r="N115" s="1573"/>
      <c r="O115" s="1535">
        <f>(G115/M115)*100</f>
        <v>68.355814459104351</v>
      </c>
      <c r="P115" s="1573"/>
      <c r="Q115" s="1573"/>
      <c r="R115" s="1605">
        <f>+'qtrP&amp;L'!AN11-qtrSales!AM115</f>
        <v>383.40199999999999</v>
      </c>
      <c r="S115" s="1557"/>
      <c r="T115" s="1255">
        <f xml:space="preserve"> R115/K115</f>
        <v>0.4692802937576499</v>
      </c>
      <c r="U115" s="1479"/>
      <c r="V115" s="1584">
        <f>T115/T108-1</f>
        <v>0.10067572828967641</v>
      </c>
      <c r="W115" s="1479"/>
      <c r="X115" s="1612">
        <f>4.045723+0.345</f>
        <v>4.3907229999999995</v>
      </c>
      <c r="Y115" s="1600"/>
      <c r="Z115" s="1574">
        <f>AVERAGEA(X114,X115)</f>
        <v>4.3379525000000001</v>
      </c>
      <c r="AA115" s="1573"/>
      <c r="AB115" s="1534">
        <f>(Z115/Z108-1)*100</f>
        <v>9.9162633128916831</v>
      </c>
      <c r="AC115" s="1573"/>
      <c r="AD115" s="1535">
        <f>(G115/AB115)*100</f>
        <v>43.50360817626418</v>
      </c>
      <c r="AE115" s="1573"/>
      <c r="AF115" s="1573"/>
      <c r="AG115" s="1557">
        <f>R115</f>
        <v>383.40199999999999</v>
      </c>
      <c r="AH115" s="1557"/>
      <c r="AI115" s="1587">
        <f xml:space="preserve"> AG115/Z115</f>
        <v>88.383171553860947</v>
      </c>
      <c r="AJ115" s="1479"/>
      <c r="AK115" s="1584">
        <f>AI115/AI108-1</f>
        <v>6.4573419897571371E-2</v>
      </c>
      <c r="AL115" s="1470"/>
      <c r="AM115" s="1631">
        <v>12</v>
      </c>
      <c r="AN115" s="1632"/>
      <c r="AO115" s="1206">
        <f>+AM115/AM108-1</f>
        <v>0.27659574468085091</v>
      </c>
      <c r="AP115" s="1206"/>
      <c r="AQ115" s="1291">
        <f>AM115/AM118</f>
        <v>0.1875</v>
      </c>
      <c r="AR115" s="1602"/>
      <c r="AS115" s="1303">
        <f>AM115/(R115+AM115)</f>
        <v>3.03488601473943E-2</v>
      </c>
      <c r="AT115" s="1602"/>
      <c r="AU115" s="1303"/>
      <c r="AV115" s="1473"/>
      <c r="AW115" s="1206"/>
      <c r="AX115" s="1206"/>
      <c r="AY115" s="1470"/>
      <c r="AZ115" s="1470"/>
      <c r="BA115" s="1470"/>
      <c r="BB115" s="1470"/>
      <c r="BC115" s="1470"/>
      <c r="BD115" s="1470"/>
      <c r="BE115" s="1557"/>
      <c r="BF115" s="1472"/>
      <c r="BG115" s="1592"/>
      <c r="BH115" s="1557"/>
      <c r="BI115" s="1561"/>
      <c r="BJ115" s="1557"/>
      <c r="BK115" s="1557"/>
      <c r="BL115" s="1557"/>
      <c r="BM115" s="1604"/>
    </row>
    <row r="116" spans="1:65" ht="10.5" hidden="1" customHeight="1" outlineLevel="1">
      <c r="A116" s="1531" t="s">
        <v>760</v>
      </c>
      <c r="B116" s="1573"/>
      <c r="C116" s="1581">
        <f>(R116/R109-1)*100</f>
        <v>28.587046775532787</v>
      </c>
      <c r="D116" s="1573"/>
      <c r="E116" s="1629">
        <v>26.8</v>
      </c>
      <c r="F116" s="1573"/>
      <c r="G116" s="1565">
        <f>C116-E116</f>
        <v>1.7870467755327866</v>
      </c>
      <c r="H116" s="1573"/>
      <c r="I116" s="1582">
        <f>771+68</f>
        <v>839</v>
      </c>
      <c r="J116" s="1600"/>
      <c r="K116" s="1534">
        <f>AVERAGEA(I115,I116)</f>
        <v>832</v>
      </c>
      <c r="L116" s="1573"/>
      <c r="M116" s="1534">
        <f>(K116/K109-1)*100</f>
        <v>5.7179161372299836</v>
      </c>
      <c r="N116" s="1573"/>
      <c r="O116" s="1535">
        <f>(G116/M116)*100</f>
        <v>31.253462496540084</v>
      </c>
      <c r="P116" s="1573"/>
      <c r="Q116" s="1573"/>
      <c r="R116" s="1605">
        <f>+'qtrP&amp;L'!AN12-qtrSales!AM116</f>
        <v>464.58499999999998</v>
      </c>
      <c r="S116" s="1557"/>
      <c r="T116" s="1255">
        <f xml:space="preserve"> R116/K116</f>
        <v>0.55839543269230763</v>
      </c>
      <c r="U116" s="1479"/>
      <c r="V116" s="1584">
        <f>T116/T109-1</f>
        <v>0.21632218524452296</v>
      </c>
      <c r="W116" s="1479"/>
      <c r="X116" s="1612">
        <v>4.4896060000000002</v>
      </c>
      <c r="Y116" s="1600"/>
      <c r="Z116" s="1574">
        <f>AVERAGEA(X115,X116)</f>
        <v>4.4401644999999998</v>
      </c>
      <c r="AA116" s="1573"/>
      <c r="AB116" s="1534">
        <f>(Z116/Z109-1)*100</f>
        <v>8.7373066448645176</v>
      </c>
      <c r="AC116" s="1573"/>
      <c r="AD116" s="1535">
        <f>(G116/AB116)*100</f>
        <v>20.453062347115285</v>
      </c>
      <c r="AE116" s="1573"/>
      <c r="AF116" s="1573"/>
      <c r="AG116" s="1557">
        <f>R116</f>
        <v>464.58499999999998</v>
      </c>
      <c r="AH116" s="1557"/>
      <c r="AI116" s="1587">
        <f xml:space="preserve"> AG116/Z116</f>
        <v>104.63238467854063</v>
      </c>
      <c r="AJ116" s="1479"/>
      <c r="AK116" s="1584">
        <f>AI116/AI109-1</f>
        <v>0.18254765308375198</v>
      </c>
      <c r="AL116" s="1470"/>
      <c r="AM116" s="1631">
        <v>15</v>
      </c>
      <c r="AN116" s="1632"/>
      <c r="AO116" s="1206">
        <f>+AM116/AM109-1</f>
        <v>0.19999999999999996</v>
      </c>
      <c r="AP116" s="1206"/>
      <c r="AQ116" s="1291">
        <f>AM116/AM118</f>
        <v>0.234375</v>
      </c>
      <c r="AR116" s="1602"/>
      <c r="AS116" s="1303">
        <f>AM116/(R116+AM116)</f>
        <v>3.1277041608891019E-2</v>
      </c>
      <c r="AT116" s="1602"/>
      <c r="AU116" s="1303"/>
      <c r="AV116" s="1473"/>
      <c r="AW116" s="1206"/>
      <c r="AX116" s="1206"/>
      <c r="AY116" s="1470"/>
      <c r="AZ116" s="1470"/>
      <c r="BA116" s="1470"/>
      <c r="BB116" s="1470"/>
      <c r="BC116" s="1470"/>
      <c r="BD116" s="1470"/>
      <c r="BE116" s="1557"/>
      <c r="BF116" s="1472"/>
      <c r="BG116" s="1592"/>
      <c r="BH116" s="1557"/>
      <c r="BI116" s="1561"/>
      <c r="BJ116" s="1557"/>
      <c r="BK116" s="1557"/>
      <c r="BL116" s="1557"/>
      <c r="BM116" s="1604"/>
    </row>
    <row r="117" spans="1:65" ht="10.5" hidden="1" customHeight="1" outlineLevel="1">
      <c r="A117" s="1531" t="s">
        <v>761</v>
      </c>
      <c r="B117" s="1573"/>
      <c r="C117" s="1570">
        <f>(R117/R110-1)*100</f>
        <v>37.868453625848318</v>
      </c>
      <c r="D117" s="1573"/>
      <c r="E117" s="1633">
        <v>28.6</v>
      </c>
      <c r="F117" s="1573"/>
      <c r="G117" s="1570">
        <f>C117-E117</f>
        <v>9.2684536258483163</v>
      </c>
      <c r="H117" s="1573"/>
      <c r="I117" s="1566">
        <f>yrSales!L19</f>
        <v>846</v>
      </c>
      <c r="J117" s="1600"/>
      <c r="K117" s="1545">
        <f>AVERAGEA(I116,I117)</f>
        <v>842.5</v>
      </c>
      <c r="L117" s="1573"/>
      <c r="M117" s="1545">
        <f>(K117/K110-1)*100</f>
        <v>5.1154086088583961</v>
      </c>
      <c r="N117" s="1573"/>
      <c r="O117" s="1475">
        <f>(G117/M117)*100</f>
        <v>181.18696539310776</v>
      </c>
      <c r="P117" s="1573"/>
      <c r="Q117" s="1573"/>
      <c r="R117" s="1607">
        <f>+'qtrP&amp;L'!AN13-qtrSales!AM117</f>
        <v>646.024</v>
      </c>
      <c r="S117" s="1557"/>
      <c r="T117" s="1562">
        <f xml:space="preserve"> R117/K117</f>
        <v>0.76679406528189908</v>
      </c>
      <c r="U117" s="1479"/>
      <c r="V117" s="1589">
        <f>T117/T110-1</f>
        <v>0.31159128286192783</v>
      </c>
      <c r="W117" s="1479"/>
      <c r="X117" s="1601">
        <f>+yrSales!L$34</f>
        <v>4.540095</v>
      </c>
      <c r="Y117" s="1600"/>
      <c r="Z117" s="1577">
        <f>AVERAGEA(X116,X117)</f>
        <v>4.5148504999999997</v>
      </c>
      <c r="AA117" s="1573"/>
      <c r="AB117" s="1545">
        <f>(Z117/Z110-1)*100</f>
        <v>7.5406985946477878</v>
      </c>
      <c r="AC117" s="1573"/>
      <c r="AD117" s="1475">
        <f>(G117/AB117)*100</f>
        <v>122.91240008487871</v>
      </c>
      <c r="AE117" s="1573"/>
      <c r="AF117" s="1573"/>
      <c r="AG117" s="1544">
        <f>R117</f>
        <v>646.024</v>
      </c>
      <c r="AH117" s="1557"/>
      <c r="AI117" s="1590">
        <f xml:space="preserve"> AG117/Z117</f>
        <v>143.0886803450081</v>
      </c>
      <c r="AJ117" s="1479"/>
      <c r="AK117" s="1589">
        <f>AI117/AI110-1</f>
        <v>0.28201188412876732</v>
      </c>
      <c r="AL117" s="1470"/>
      <c r="AM117" s="1634">
        <v>28</v>
      </c>
      <c r="AN117" s="1632"/>
      <c r="AO117" s="1626">
        <f>+AM117/AM110-1</f>
        <v>0.27272727272727271</v>
      </c>
      <c r="AP117" s="1308"/>
      <c r="AQ117" s="1609">
        <f>AM117/AM118</f>
        <v>0.4375</v>
      </c>
      <c r="AR117" s="1603"/>
      <c r="AS117" s="1594">
        <f>AM117/(R117+AM117)</f>
        <v>4.1541547481988773E-2</v>
      </c>
      <c r="AT117" s="1603"/>
      <c r="AU117" s="1561"/>
      <c r="AV117" s="1473"/>
      <c r="AW117" s="1206"/>
      <c r="AX117" s="1206"/>
      <c r="AY117" s="1470"/>
      <c r="AZ117" s="1470"/>
      <c r="BA117" s="1470"/>
      <c r="BB117" s="1470"/>
      <c r="BC117" s="1470"/>
      <c r="BD117" s="1470"/>
      <c r="BE117" s="1557"/>
      <c r="BF117" s="1472"/>
      <c r="BG117" s="1592"/>
      <c r="BH117" s="1557"/>
      <c r="BI117" s="1561"/>
      <c r="BJ117" s="1557"/>
      <c r="BK117" s="1557"/>
      <c r="BL117" s="1557"/>
      <c r="BM117" s="1604"/>
    </row>
    <row r="118" spans="1:65" ht="10.5" hidden="1" customHeight="1" outlineLevel="1">
      <c r="A118" s="1531" t="s">
        <v>762</v>
      </c>
      <c r="B118" s="1578"/>
      <c r="C118" s="1579">
        <f>(R118/R111-1)*100</f>
        <v>26.031612609257415</v>
      </c>
      <c r="D118" s="1529"/>
      <c r="E118" s="1635">
        <f>'qtrP&amp;L'!AP14</f>
        <v>21.4</v>
      </c>
      <c r="F118" s="1470"/>
      <c r="G118" s="1565">
        <f>C118-E118</f>
        <v>4.6316126092574166</v>
      </c>
      <c r="H118" s="1470"/>
      <c r="I118" s="1566"/>
      <c r="J118" s="1470"/>
      <c r="K118" s="1534">
        <f>AVERAGEA(K114:K117)</f>
        <v>824.625</v>
      </c>
      <c r="L118" s="1470"/>
      <c r="M118" s="1534">
        <f>(K118/K111-1)*100</f>
        <v>5.9248554913294837</v>
      </c>
      <c r="N118" s="1470"/>
      <c r="O118" s="1535">
        <f>(G118/M118)*100</f>
        <v>78.17258355136903</v>
      </c>
      <c r="P118" s="1472"/>
      <c r="Q118" s="1472"/>
      <c r="R118" s="1537">
        <f>SUM(R114:R117)</f>
        <v>1817.241</v>
      </c>
      <c r="S118" s="1538"/>
      <c r="T118" s="1539">
        <f>SUM(T114:T117)</f>
        <v>2.1950026294022407</v>
      </c>
      <c r="U118" s="1479"/>
      <c r="V118" s="1584">
        <f>T118/T111-1</f>
        <v>0.18924661408089949</v>
      </c>
      <c r="W118" s="1479"/>
      <c r="X118" s="1611"/>
      <c r="Y118" s="1470"/>
      <c r="Z118" s="1574">
        <f>AVERAGEA(Z114:Z117)</f>
        <v>4.3888267499999998</v>
      </c>
      <c r="AA118" s="1470"/>
      <c r="AB118" s="1534">
        <f>(Z118/Z111-1)*100</f>
        <v>9.1835505092277003</v>
      </c>
      <c r="AC118" s="1470"/>
      <c r="AD118" s="1535">
        <f>(G118/AB118)*100</f>
        <v>50.433790336357788</v>
      </c>
      <c r="AE118" s="1472"/>
      <c r="AF118" s="1472"/>
      <c r="AG118" s="1537">
        <f>SUM(AG114:AG117)</f>
        <v>1817.241</v>
      </c>
      <c r="AH118" s="1538"/>
      <c r="AI118" s="1585">
        <f>SUM(AI114:AI117)</f>
        <v>411.93817706947982</v>
      </c>
      <c r="AJ118" s="1479"/>
      <c r="AK118" s="1584">
        <f>AI118/AI111-1</f>
        <v>0.15399925540289106</v>
      </c>
      <c r="AL118" s="1470"/>
      <c r="AM118" s="1636">
        <f>SUM(AM114:AM117)</f>
        <v>64</v>
      </c>
      <c r="AN118" s="1637"/>
      <c r="AO118" s="1206">
        <f>+AM118/AM111-1</f>
        <v>0.24513618677042803</v>
      </c>
      <c r="AP118" s="1206"/>
      <c r="AQ118" s="1291">
        <f>AM118/AM118</f>
        <v>1</v>
      </c>
      <c r="AR118" s="1470"/>
      <c r="AS118" s="1303">
        <f>AM118/(R118+AM118)</f>
        <v>3.4020096308766394E-2</v>
      </c>
      <c r="AT118" s="1470"/>
      <c r="AU118" s="1303"/>
      <c r="AV118" s="1473"/>
      <c r="AW118" s="1206"/>
      <c r="AX118" s="1470"/>
      <c r="AY118" s="1470"/>
      <c r="AZ118" s="1470"/>
      <c r="BA118" s="1470"/>
      <c r="BB118" s="1470"/>
      <c r="BC118" s="1470"/>
      <c r="BD118" s="1470"/>
      <c r="BE118" s="1538"/>
      <c r="BF118" s="1472"/>
      <c r="BG118" s="1591"/>
      <c r="BH118" s="1538"/>
      <c r="BI118" s="1561"/>
      <c r="BJ118" s="1538"/>
      <c r="BK118" s="1538"/>
      <c r="BL118" s="1538"/>
      <c r="BM118" s="1561"/>
    </row>
    <row r="119" spans="1:65" ht="10.5" hidden="1" customHeight="1" outlineLevel="1">
      <c r="A119" s="1531"/>
      <c r="B119" s="1578"/>
      <c r="C119" s="1579"/>
      <c r="D119" s="1529"/>
      <c r="E119" s="1579"/>
      <c r="F119" s="1470"/>
      <c r="G119" s="1565"/>
      <c r="H119" s="1470"/>
      <c r="I119" s="1566"/>
      <c r="J119" s="1470"/>
      <c r="K119" s="1534"/>
      <c r="L119" s="1470"/>
      <c r="M119" s="1534"/>
      <c r="N119" s="1470"/>
      <c r="O119" s="1535"/>
      <c r="P119" s="1472"/>
      <c r="Q119" s="1472"/>
      <c r="R119" s="1537"/>
      <c r="S119" s="1538"/>
      <c r="T119" s="1539"/>
      <c r="U119" s="1479"/>
      <c r="V119" s="1555"/>
      <c r="W119" s="1479"/>
      <c r="X119" s="1601"/>
      <c r="Y119" s="1470"/>
      <c r="Z119" s="1534"/>
      <c r="AA119" s="1470"/>
      <c r="AB119" s="1534"/>
      <c r="AC119" s="1470"/>
      <c r="AD119" s="1535"/>
      <c r="AE119" s="1472"/>
      <c r="AF119" s="1472"/>
      <c r="AG119" s="1537"/>
      <c r="AH119" s="1538"/>
      <c r="AI119" s="1539"/>
      <c r="AJ119" s="1479"/>
      <c r="AK119" s="1555"/>
      <c r="AL119" s="1470"/>
      <c r="AM119" s="1636"/>
      <c r="AN119" s="1637"/>
      <c r="AO119" s="1470"/>
      <c r="AP119" s="1470"/>
      <c r="AQ119" s="1470"/>
      <c r="AR119" s="1470"/>
      <c r="AS119" s="1470"/>
      <c r="AT119" s="1470"/>
      <c r="AU119" s="1470"/>
      <c r="AV119" s="1473"/>
      <c r="AW119" s="1470"/>
      <c r="AX119" s="1470"/>
      <c r="AY119" s="1470"/>
      <c r="AZ119" s="1470"/>
      <c r="BA119" s="1470"/>
      <c r="BB119" s="1470"/>
      <c r="BC119" s="1470"/>
      <c r="BD119" s="1470"/>
      <c r="BE119" s="1470"/>
      <c r="BF119" s="1470"/>
      <c r="BG119" s="1470"/>
      <c r="BH119" s="1470"/>
      <c r="BI119" s="1470"/>
      <c r="BJ119" s="1470"/>
      <c r="BK119" s="1470"/>
      <c r="BL119" s="1470"/>
      <c r="BM119" s="1470"/>
    </row>
    <row r="120" spans="1:65" ht="10.5" hidden="1" customHeight="1" outlineLevel="1">
      <c r="A120" s="1580" t="s">
        <v>260</v>
      </c>
      <c r="B120" s="1499"/>
      <c r="C120" s="1499"/>
      <c r="D120" s="1499"/>
      <c r="E120" s="1499"/>
      <c r="F120" s="1499"/>
      <c r="G120" s="1499"/>
      <c r="H120" s="1499"/>
      <c r="I120" s="1571"/>
      <c r="J120" s="1499"/>
      <c r="K120" s="1499"/>
      <c r="L120" s="1499"/>
      <c r="M120" s="1572"/>
      <c r="N120" s="1499"/>
      <c r="O120" s="1628"/>
      <c r="P120" s="1499"/>
      <c r="Q120" s="1499"/>
      <c r="R120" s="1499"/>
      <c r="S120" s="1499"/>
      <c r="T120" s="1530"/>
      <c r="U120" s="1530"/>
      <c r="V120" s="1303"/>
      <c r="W120" s="1479"/>
      <c r="X120" s="1571"/>
      <c r="Y120" s="1499"/>
      <c r="Z120" s="1499"/>
      <c r="AA120" s="1499"/>
      <c r="AB120" s="1572"/>
      <c r="AC120" s="1499"/>
      <c r="AD120" s="1551"/>
      <c r="AE120" s="1499"/>
      <c r="AF120" s="1499"/>
      <c r="AG120" s="1499"/>
      <c r="AH120" s="1499"/>
      <c r="AI120" s="1530"/>
      <c r="AJ120" s="1530"/>
      <c r="AK120" s="1303"/>
      <c r="AL120" s="1487"/>
      <c r="AM120" s="1512"/>
      <c r="AN120" s="1514"/>
      <c r="AO120" s="1487"/>
      <c r="AP120" s="1487"/>
      <c r="AQ120" s="1487"/>
      <c r="AR120" s="1487"/>
      <c r="AS120" s="1487"/>
      <c r="AT120" s="1487"/>
      <c r="AU120" s="1487"/>
      <c r="AV120" s="1473"/>
      <c r="AW120" s="1487"/>
      <c r="AX120" s="1487"/>
      <c r="AY120" s="1487"/>
      <c r="AZ120" s="1487"/>
      <c r="BA120" s="1487"/>
      <c r="BB120" s="1487"/>
      <c r="BC120" s="1487"/>
      <c r="BD120" s="1487"/>
      <c r="BE120" s="1487"/>
      <c r="BF120" s="1487"/>
      <c r="BG120" s="1487"/>
      <c r="BH120" s="1487"/>
      <c r="BI120" s="1487"/>
      <c r="BJ120" s="1487"/>
      <c r="BK120" s="1487"/>
      <c r="BL120" s="1487"/>
      <c r="BM120" s="1487"/>
    </row>
    <row r="121" spans="1:65" ht="10.5" hidden="1" customHeight="1" outlineLevel="1">
      <c r="A121" s="1531" t="s">
        <v>758</v>
      </c>
      <c r="B121" s="1573"/>
      <c r="C121" s="1581">
        <f>(R121/R114-1)*100</f>
        <v>36.582928564799033</v>
      </c>
      <c r="D121" s="1573" t="s">
        <v>697</v>
      </c>
      <c r="E121" s="1638">
        <v>27.1</v>
      </c>
      <c r="F121" s="1573" t="s">
        <v>697</v>
      </c>
      <c r="G121" s="1565">
        <f>C121-E121</f>
        <v>9.4829285647990318</v>
      </c>
      <c r="H121" s="1573" t="s">
        <v>697</v>
      </c>
      <c r="I121" s="1639">
        <f>774+71</f>
        <v>845</v>
      </c>
      <c r="J121" s="1600"/>
      <c r="K121" s="1534">
        <f>(I121+I117)/2</f>
        <v>845.5</v>
      </c>
      <c r="L121" s="1573"/>
      <c r="M121" s="1534">
        <f>(K121/K114-1)*100</f>
        <v>4.770755885997513</v>
      </c>
      <c r="N121" s="1573" t="s">
        <v>697</v>
      </c>
      <c r="O121" s="1535">
        <f>(G121/M121)*100</f>
        <v>198.77203511150213</v>
      </c>
      <c r="P121" s="1573" t="s">
        <v>697</v>
      </c>
      <c r="Q121" s="1573"/>
      <c r="R121" s="1630">
        <f>'qtrP&amp;L'!AR10-AM121</f>
        <v>441.47699999999998</v>
      </c>
      <c r="S121" s="1557"/>
      <c r="T121" s="1539">
        <f xml:space="preserve"> R121/K121</f>
        <v>0.52214902424600829</v>
      </c>
      <c r="U121" s="1479"/>
      <c r="V121" s="1584">
        <f>T121/T114-1</f>
        <v>0.30363599469891001</v>
      </c>
      <c r="W121" s="1479"/>
      <c r="X121" s="1612">
        <v>4.5497290000000001</v>
      </c>
      <c r="Y121" s="1600"/>
      <c r="Z121" s="1574">
        <f>(X121+X117)/2</f>
        <v>4.5449120000000001</v>
      </c>
      <c r="AA121" s="1573"/>
      <c r="AB121" s="1534">
        <f>(Z121/Z114-1)*100</f>
        <v>6.6295164897118175</v>
      </c>
      <c r="AC121" s="1573" t="s">
        <v>697</v>
      </c>
      <c r="AD121" s="1535">
        <f>(G121/AB121)*100</f>
        <v>143.0410283995123</v>
      </c>
      <c r="AE121" s="1573" t="s">
        <v>697</v>
      </c>
      <c r="AF121" s="1573"/>
      <c r="AG121" s="1538">
        <f>R121</f>
        <v>441.47699999999998</v>
      </c>
      <c r="AH121" s="1557"/>
      <c r="AI121" s="1640">
        <f xml:space="preserve"> AG121/Z121</f>
        <v>97.136534216724101</v>
      </c>
      <c r="AJ121" s="1479"/>
      <c r="AK121" s="1584">
        <f>AI121/AI114-1</f>
        <v>0.28091107473020638</v>
      </c>
      <c r="AL121" s="1470"/>
      <c r="AM121" s="1631">
        <v>15</v>
      </c>
      <c r="AN121" s="1632"/>
      <c r="AO121" s="1206">
        <f>+AM121/AM114-1</f>
        <v>0.66666666666666674</v>
      </c>
      <c r="AP121" s="1206"/>
      <c r="AQ121" s="1291">
        <f>AM121/AM125</f>
        <v>0.14285714285714285</v>
      </c>
      <c r="AR121" s="1602"/>
      <c r="AS121" s="1303">
        <f>AM121/(R121+AM121)</f>
        <v>3.2860363172733789E-2</v>
      </c>
      <c r="AT121" s="1602"/>
      <c r="AU121" s="1303"/>
      <c r="AV121" s="1473"/>
      <c r="AW121" s="1206"/>
      <c r="AX121" s="1206"/>
      <c r="AY121" s="1470"/>
      <c r="AZ121" s="1470"/>
      <c r="BA121" s="1470"/>
      <c r="BB121" s="1470"/>
      <c r="BC121" s="1470"/>
      <c r="BD121" s="1470"/>
      <c r="BE121" s="1538"/>
      <c r="BF121" s="1472"/>
      <c r="BG121" s="1591">
        <f>0.724*492</f>
        <v>356.20799999999997</v>
      </c>
      <c r="BH121" s="1538"/>
      <c r="BI121" s="1561"/>
      <c r="BJ121" s="1538"/>
      <c r="BK121" s="1538"/>
      <c r="BL121" s="1538"/>
      <c r="BM121" s="1604"/>
    </row>
    <row r="122" spans="1:65" ht="10.5" hidden="1" customHeight="1" outlineLevel="1">
      <c r="A122" s="1531" t="s">
        <v>759</v>
      </c>
      <c r="B122" s="1573"/>
      <c r="C122" s="1581">
        <f>(R122/R115-1)*100</f>
        <v>29.333701962952752</v>
      </c>
      <c r="D122" s="1573"/>
      <c r="E122" s="1638">
        <v>21.1</v>
      </c>
      <c r="F122" s="1573"/>
      <c r="G122" s="1565">
        <f>C122-E122</f>
        <v>8.2337019629527504</v>
      </c>
      <c r="H122" s="1573"/>
      <c r="I122" s="1639">
        <f>+I121+9</f>
        <v>854</v>
      </c>
      <c r="J122" s="1600"/>
      <c r="K122" s="1534">
        <f>AVERAGEA(I121,I122)</f>
        <v>849.5</v>
      </c>
      <c r="L122" s="1573"/>
      <c r="M122" s="1534">
        <f>(K122/K115-1)*100</f>
        <v>3.9779681762545982</v>
      </c>
      <c r="N122" s="1573"/>
      <c r="O122" s="1535">
        <f>(G122/M122)*100</f>
        <v>206.98260011484257</v>
      </c>
      <c r="P122" s="1573"/>
      <c r="Q122" s="1573"/>
      <c r="R122" s="1605">
        <f>'qtrP&amp;L'!AR11-AM122</f>
        <v>495.86800000000005</v>
      </c>
      <c r="S122" s="1557"/>
      <c r="T122" s="1255">
        <f xml:space="preserve"> R122/K122</f>
        <v>0.58371748087110076</v>
      </c>
      <c r="U122" s="1479"/>
      <c r="V122" s="1584">
        <f>T122/T115-1</f>
        <v>0.24385679227466039</v>
      </c>
      <c r="W122" s="1479"/>
      <c r="X122" s="1641">
        <v>4.6314609999999998</v>
      </c>
      <c r="Y122" s="1600"/>
      <c r="Z122" s="1574">
        <f>AVERAGEA(X121,X122)</f>
        <v>4.5905950000000004</v>
      </c>
      <c r="AA122" s="1573"/>
      <c r="AB122" s="1534">
        <f>(Z122/Z115-1)*100</f>
        <v>5.8240033748640618</v>
      </c>
      <c r="AC122" s="1573"/>
      <c r="AD122" s="1535">
        <f>(G122/AB122)*100</f>
        <v>141.37529518764973</v>
      </c>
      <c r="AE122" s="1573"/>
      <c r="AF122" s="1573"/>
      <c r="AG122" s="1557">
        <f>R122</f>
        <v>495.86800000000005</v>
      </c>
      <c r="AH122" s="1557"/>
      <c r="AI122" s="1587">
        <f xml:space="preserve"> AG122/Z122</f>
        <v>108.01824164405704</v>
      </c>
      <c r="AJ122" s="1479"/>
      <c r="AK122" s="1584">
        <f>AI122/AI115-1</f>
        <v>0.22215846914059223</v>
      </c>
      <c r="AL122" s="1470"/>
      <c r="AM122" s="1631">
        <v>20</v>
      </c>
      <c r="AN122" s="1632"/>
      <c r="AO122" s="1206">
        <f>+AM122/AM115-1</f>
        <v>0.66666666666666674</v>
      </c>
      <c r="AP122" s="1206"/>
      <c r="AQ122" s="1291">
        <f>AM122/AM125</f>
        <v>0.19047619047619047</v>
      </c>
      <c r="AR122" s="1602"/>
      <c r="AS122" s="1303">
        <f>AM122/(R122+AM122)</f>
        <v>3.8769607729108993E-2</v>
      </c>
      <c r="AT122" s="1602"/>
      <c r="AU122" s="1303"/>
      <c r="AV122" s="1473"/>
      <c r="AW122" s="1206"/>
      <c r="AX122" s="1206"/>
      <c r="AY122" s="1470"/>
      <c r="AZ122" s="1470"/>
      <c r="BA122" s="1470"/>
      <c r="BB122" s="1470"/>
      <c r="BC122" s="1470"/>
      <c r="BD122" s="1470"/>
      <c r="BE122" s="1557"/>
      <c r="BF122" s="1472"/>
      <c r="BG122" s="1592"/>
      <c r="BH122" s="1557"/>
      <c r="BI122" s="1561"/>
      <c r="BJ122" s="1557"/>
      <c r="BK122" s="1557"/>
      <c r="BL122" s="1557"/>
      <c r="BM122" s="1604"/>
    </row>
    <row r="123" spans="1:65" ht="10.5" hidden="1" customHeight="1" outlineLevel="1">
      <c r="A123" s="1531" t="s">
        <v>760</v>
      </c>
      <c r="B123" s="1573"/>
      <c r="C123" s="1581">
        <f>(R123/R116-1)*100</f>
        <v>19.579194334728854</v>
      </c>
      <c r="D123" s="1573"/>
      <c r="E123" s="1638">
        <v>13.6</v>
      </c>
      <c r="F123" s="1573"/>
      <c r="G123" s="1565">
        <f>C123-E123</f>
        <v>5.9791943347288541</v>
      </c>
      <c r="H123" s="1573"/>
      <c r="I123" s="1639">
        <v>866</v>
      </c>
      <c r="J123" s="1600"/>
      <c r="K123" s="1534">
        <f>AVERAGEA(I122,I123)</f>
        <v>860</v>
      </c>
      <c r="L123" s="1573"/>
      <c r="M123" s="1534">
        <f>(K123/K116-1)*100</f>
        <v>3.3653846153846256</v>
      </c>
      <c r="N123" s="1573"/>
      <c r="O123" s="1535">
        <f>(G123/M123)*100</f>
        <v>177.66748880337113</v>
      </c>
      <c r="P123" s="1573"/>
      <c r="Q123" s="1573"/>
      <c r="R123" s="1605">
        <f>'qtrP&amp;L'!AR12-AM123</f>
        <v>555.54700000000003</v>
      </c>
      <c r="S123" s="1557"/>
      <c r="T123" s="1255">
        <f xml:space="preserve"> R123/K123</f>
        <v>0.64598488372093021</v>
      </c>
      <c r="U123" s="1479"/>
      <c r="V123" s="1584">
        <f>T123/T116-1</f>
        <v>0.15685918240109786</v>
      </c>
      <c r="W123" s="1479"/>
      <c r="X123" s="1641">
        <v>4.7296120000000004</v>
      </c>
      <c r="Y123" s="1600"/>
      <c r="Z123" s="1574">
        <f>AVERAGEA(X122,X123)</f>
        <v>4.6805365000000005</v>
      </c>
      <c r="AA123" s="1573"/>
      <c r="AB123" s="1534">
        <f>(Z123/Z116-1)*100</f>
        <v>5.4135832129643013</v>
      </c>
      <c r="AC123" s="1573"/>
      <c r="AD123" s="1535">
        <f>(G123/AB123)*100</f>
        <v>110.4479990334321</v>
      </c>
      <c r="AE123" s="1573"/>
      <c r="AF123" s="1573"/>
      <c r="AG123" s="1557">
        <f>R123</f>
        <v>555.54700000000003</v>
      </c>
      <c r="AH123" s="1557"/>
      <c r="AI123" s="1587">
        <f xml:space="preserve"> AG123/Z123</f>
        <v>118.69301734961365</v>
      </c>
      <c r="AJ123" s="1479"/>
      <c r="AK123" s="1584">
        <f>AI123/AI116-1</f>
        <v>0.13438126937726924</v>
      </c>
      <c r="AL123" s="1470"/>
      <c r="AM123" s="1631">
        <v>25</v>
      </c>
      <c r="AN123" s="1632"/>
      <c r="AO123" s="1206">
        <f>+AM123/AM116-1</f>
        <v>0.66666666666666674</v>
      </c>
      <c r="AP123" s="1206"/>
      <c r="AQ123" s="1291">
        <f>AM123/AM125</f>
        <v>0.23809523809523808</v>
      </c>
      <c r="AR123" s="1602"/>
      <c r="AS123" s="1303">
        <f>AM123/(R123+AM123)</f>
        <v>4.3062835567146157E-2</v>
      </c>
      <c r="AT123" s="1602"/>
      <c r="AU123" s="1303"/>
      <c r="AV123" s="1473"/>
      <c r="AW123" s="1206"/>
      <c r="AX123" s="1291"/>
      <c r="AY123" s="1470"/>
      <c r="AZ123" s="1470"/>
      <c r="BA123" s="1470"/>
      <c r="BB123" s="1470"/>
      <c r="BC123" s="1470"/>
      <c r="BD123" s="1470"/>
      <c r="BE123" s="1557"/>
      <c r="BF123" s="1472"/>
      <c r="BG123" s="1592"/>
      <c r="BH123" s="1557"/>
      <c r="BI123" s="1561"/>
      <c r="BJ123" s="1557"/>
      <c r="BK123" s="1557"/>
      <c r="BL123" s="1557"/>
      <c r="BM123" s="1604"/>
    </row>
    <row r="124" spans="1:65" ht="10.5" hidden="1" customHeight="1" outlineLevel="1">
      <c r="A124" s="1531" t="s">
        <v>761</v>
      </c>
      <c r="B124" s="1573"/>
      <c r="C124" s="1581">
        <f>(R124/R117-1)*100</f>
        <v>12.080975319802366</v>
      </c>
      <c r="D124" s="1573"/>
      <c r="E124" s="1642">
        <v>7.8</v>
      </c>
      <c r="F124" s="1573"/>
      <c r="G124" s="1565">
        <f>C124-E124</f>
        <v>4.2809753198023666</v>
      </c>
      <c r="H124" s="1573"/>
      <c r="I124" s="1606">
        <f>+yrSales!M$19</f>
        <v>869</v>
      </c>
      <c r="J124" s="1600"/>
      <c r="K124" s="1545">
        <f>AVERAGEA(I123,I124)</f>
        <v>867.5</v>
      </c>
      <c r="L124" s="1573"/>
      <c r="M124" s="1545">
        <f>(K124/K117-1)*100</f>
        <v>2.9673590504450953</v>
      </c>
      <c r="N124" s="1573"/>
      <c r="O124" s="1475">
        <f>(G124/M124)*100</f>
        <v>144.26886827734018</v>
      </c>
      <c r="P124" s="1573"/>
      <c r="Q124" s="1573"/>
      <c r="R124" s="1607">
        <f>'qtrP&amp;L'!AR13-AM124</f>
        <v>724.07</v>
      </c>
      <c r="S124" s="1557"/>
      <c r="T124" s="1562">
        <f xml:space="preserve"> R124/K124</f>
        <v>0.83466282420749283</v>
      </c>
      <c r="U124" s="1479"/>
      <c r="V124" s="1589">
        <f>T124/T117-1</f>
        <v>8.8509760310472529E-2</v>
      </c>
      <c r="W124" s="1479"/>
      <c r="X124" s="1601">
        <f>+yrSales!M$34</f>
        <v>4.7724869999999999</v>
      </c>
      <c r="Y124" s="1600"/>
      <c r="Z124" s="1577">
        <f>AVERAGEA(X123,X124)</f>
        <v>4.7510495000000006</v>
      </c>
      <c r="AA124" s="1573"/>
      <c r="AB124" s="1545">
        <f>(Z124/Z117-1)*100</f>
        <v>5.2316017994394448</v>
      </c>
      <c r="AC124" s="1573"/>
      <c r="AD124" s="1475">
        <f>(G124/AB124)*100</f>
        <v>81.829150686909387</v>
      </c>
      <c r="AE124" s="1573"/>
      <c r="AF124" s="1573"/>
      <c r="AG124" s="1544">
        <f>R124</f>
        <v>724.07</v>
      </c>
      <c r="AH124" s="1557"/>
      <c r="AI124" s="1590">
        <f xml:space="preserve"> AG124/Z124</f>
        <v>152.40211662707364</v>
      </c>
      <c r="AJ124" s="1479"/>
      <c r="AK124" s="1589">
        <f>AI124/AI117-1</f>
        <v>6.508856088133208E-2</v>
      </c>
      <c r="AL124" s="1470"/>
      <c r="AM124" s="1634">
        <v>45</v>
      </c>
      <c r="AN124" s="1632"/>
      <c r="AO124" s="1626">
        <f>+AM124/AM117-1</f>
        <v>0.60714285714285721</v>
      </c>
      <c r="AP124" s="1308"/>
      <c r="AQ124" s="1609">
        <f>AM124/AM125</f>
        <v>0.42857142857142855</v>
      </c>
      <c r="AR124" s="1603"/>
      <c r="AS124" s="1594">
        <f>AM124/(R124+AM124)</f>
        <v>5.8512229055872673E-2</v>
      </c>
      <c r="AT124" s="1603"/>
      <c r="AU124" s="1561"/>
      <c r="AV124" s="1473"/>
      <c r="AW124" s="1206"/>
      <c r="AX124" s="1206"/>
      <c r="AY124" s="1470"/>
      <c r="AZ124" s="1470"/>
      <c r="BA124" s="1470"/>
      <c r="BB124" s="1470"/>
      <c r="BC124" s="1470"/>
      <c r="BD124" s="1470"/>
      <c r="BE124" s="1557"/>
      <c r="BF124" s="1472"/>
      <c r="BG124" s="1592"/>
      <c r="BH124" s="1557"/>
      <c r="BI124" s="1561"/>
      <c r="BJ124" s="1557"/>
      <c r="BK124" s="1557"/>
      <c r="BL124" s="1557"/>
      <c r="BM124" s="1604"/>
    </row>
    <row r="125" spans="1:65" ht="10.5" hidden="1" customHeight="1" outlineLevel="1">
      <c r="A125" s="1531" t="s">
        <v>762</v>
      </c>
      <c r="B125" s="1578"/>
      <c r="C125" s="1579">
        <f>(R125/R118-1)*100</f>
        <v>21.996036849267654</v>
      </c>
      <c r="D125" s="1529"/>
      <c r="E125" s="1635">
        <f>'qtrP&amp;L'!$AT$14</f>
        <v>15.5</v>
      </c>
      <c r="F125" s="1470"/>
      <c r="G125" s="1565">
        <f>C125-E125</f>
        <v>6.4960368492676537</v>
      </c>
      <c r="H125" s="1470"/>
      <c r="I125" s="1566"/>
      <c r="J125" s="1470"/>
      <c r="K125" s="1534">
        <f>AVERAGEA(K121:K124)</f>
        <v>855.625</v>
      </c>
      <c r="L125" s="1470"/>
      <c r="M125" s="1534">
        <f>(K125/K118-1)*100</f>
        <v>3.7592845232681471</v>
      </c>
      <c r="N125" s="1470"/>
      <c r="O125" s="1535">
        <f>(G125/M125)*100</f>
        <v>172.79981892991438</v>
      </c>
      <c r="P125" s="1472"/>
      <c r="Q125" s="1472"/>
      <c r="R125" s="1537">
        <f>SUM(R121:R124)</f>
        <v>2216.962</v>
      </c>
      <c r="S125" s="1538"/>
      <c r="T125" s="1539">
        <f>SUM(T121:T124)</f>
        <v>2.5865142130455321</v>
      </c>
      <c r="U125" s="1479"/>
      <c r="V125" s="1584">
        <f>T125/T118-1</f>
        <v>0.17836497250570993</v>
      </c>
      <c r="W125" s="1479"/>
      <c r="X125" s="1611"/>
      <c r="Y125" s="1470"/>
      <c r="Z125" s="1574">
        <f>AVERAGEA(Z121:Z124)</f>
        <v>4.64177325</v>
      </c>
      <c r="AA125" s="1470"/>
      <c r="AB125" s="1534">
        <f>(Z125/Z118-1)*100</f>
        <v>5.7634195744910688</v>
      </c>
      <c r="AC125" s="1470"/>
      <c r="AD125" s="1535">
        <f>(G125/AB125)*100</f>
        <v>112.71150339321387</v>
      </c>
      <c r="AE125" s="1472"/>
      <c r="AF125" s="1472"/>
      <c r="AG125" s="1537">
        <f>SUM(AG121:AG124)</f>
        <v>2216.962</v>
      </c>
      <c r="AH125" s="1538"/>
      <c r="AI125" s="1585">
        <f>SUM(AI121:AI124)</f>
        <v>476.24990983746841</v>
      </c>
      <c r="AJ125" s="1479"/>
      <c r="AK125" s="1584">
        <f>AI125/AI118-1</f>
        <v>0.15611986542616907</v>
      </c>
      <c r="AL125" s="1470"/>
      <c r="AM125" s="1636">
        <f>SUM(AM121:AM124)</f>
        <v>105</v>
      </c>
      <c r="AN125" s="1637"/>
      <c r="AO125" s="1206">
        <f>+AM125/AM118-1</f>
        <v>0.640625</v>
      </c>
      <c r="AP125" s="1206"/>
      <c r="AQ125" s="1291">
        <f>AM125/AM125</f>
        <v>1</v>
      </c>
      <c r="AR125" s="1470"/>
      <c r="AS125" s="1303">
        <f>AM125/(R125+AM125)</f>
        <v>4.5220378283537803E-2</v>
      </c>
      <c r="AT125" s="1470"/>
      <c r="AU125" s="1303"/>
      <c r="AV125" s="1473"/>
      <c r="AW125" s="1206"/>
      <c r="AX125" s="1470"/>
      <c r="AY125" s="1470"/>
      <c r="AZ125" s="1470"/>
      <c r="BA125" s="1470"/>
      <c r="BB125" s="1470"/>
      <c r="BC125" s="1470"/>
      <c r="BD125" s="1470"/>
      <c r="BE125" s="1538"/>
      <c r="BF125" s="1472"/>
      <c r="BG125" s="1591"/>
      <c r="BH125" s="1538"/>
      <c r="BI125" s="1561"/>
      <c r="BJ125" s="1538"/>
      <c r="BK125" s="1538"/>
      <c r="BL125" s="1538"/>
      <c r="BM125" s="1561"/>
    </row>
    <row r="126" spans="1:65" ht="10.5" hidden="1" customHeight="1" outlineLevel="1">
      <c r="A126" s="1531"/>
      <c r="B126" s="1578"/>
      <c r="C126" s="1579"/>
      <c r="D126" s="1529"/>
      <c r="E126" s="1579"/>
      <c r="F126" s="1470"/>
      <c r="G126" s="1565"/>
      <c r="H126" s="1470"/>
      <c r="I126" s="1566"/>
      <c r="J126" s="1470"/>
      <c r="K126" s="1534"/>
      <c r="L126" s="1470"/>
      <c r="M126" s="1534"/>
      <c r="N126" s="1470"/>
      <c r="O126" s="1535"/>
      <c r="P126" s="1472"/>
      <c r="Q126" s="1472"/>
      <c r="R126" s="1537"/>
      <c r="S126" s="1538"/>
      <c r="T126" s="1539"/>
      <c r="U126" s="1479"/>
      <c r="V126" s="1555"/>
      <c r="W126" s="1479"/>
      <c r="X126" s="1601"/>
      <c r="Y126" s="1470"/>
      <c r="Z126" s="1534"/>
      <c r="AA126" s="1470"/>
      <c r="AB126" s="1534"/>
      <c r="AC126" s="1470"/>
      <c r="AD126" s="1535"/>
      <c r="AE126" s="1472"/>
      <c r="AF126" s="1472"/>
      <c r="AG126" s="1537"/>
      <c r="AH126" s="1538"/>
      <c r="AI126" s="1539"/>
      <c r="AJ126" s="1479"/>
      <c r="AK126" s="1555"/>
      <c r="AL126" s="1470"/>
      <c r="AM126" s="1636"/>
      <c r="AN126" s="1637"/>
      <c r="AO126" s="1470"/>
      <c r="AP126" s="1470"/>
      <c r="AQ126" s="1470"/>
      <c r="AR126" s="1470"/>
      <c r="AS126" s="1470"/>
      <c r="AT126" s="1470"/>
      <c r="AU126" s="1470"/>
      <c r="AV126" s="1473"/>
      <c r="AW126" s="1470"/>
      <c r="AX126" s="1470"/>
      <c r="AY126" s="1470"/>
      <c r="AZ126" s="1470"/>
      <c r="BA126" s="1470"/>
      <c r="BB126" s="1470"/>
      <c r="BC126" s="1470"/>
      <c r="BD126" s="1470"/>
      <c r="BE126" s="1470"/>
      <c r="BF126" s="1470"/>
      <c r="BG126" s="1470"/>
      <c r="BH126" s="1470"/>
      <c r="BI126" s="1470"/>
      <c r="BJ126" s="1470"/>
      <c r="BK126" s="1470"/>
      <c r="BL126" s="1470"/>
      <c r="BM126" s="1470"/>
    </row>
    <row r="127" spans="1:65" ht="10.5" hidden="1" customHeight="1" outlineLevel="1">
      <c r="A127" s="1580" t="s">
        <v>259</v>
      </c>
      <c r="B127" s="1499"/>
      <c r="C127" s="1499"/>
      <c r="D127" s="1499"/>
      <c r="E127" s="1499"/>
      <c r="F127" s="1499"/>
      <c r="G127" s="1499"/>
      <c r="H127" s="1499"/>
      <c r="I127" s="1571"/>
      <c r="J127" s="1499"/>
      <c r="K127" s="1499"/>
      <c r="L127" s="1499"/>
      <c r="M127" s="1572"/>
      <c r="N127" s="1499"/>
      <c r="O127" s="1628"/>
      <c r="P127" s="1499"/>
      <c r="Q127" s="1499"/>
      <c r="R127" s="1499"/>
      <c r="S127" s="1499"/>
      <c r="T127" s="1530"/>
      <c r="U127" s="1530"/>
      <c r="V127" s="1303"/>
      <c r="W127" s="1479"/>
      <c r="X127" s="1571"/>
      <c r="Y127" s="1499"/>
      <c r="Z127" s="1499"/>
      <c r="AA127" s="1499"/>
      <c r="AB127" s="1572"/>
      <c r="AC127" s="1499"/>
      <c r="AD127" s="1551"/>
      <c r="AE127" s="1499"/>
      <c r="AF127" s="1499"/>
      <c r="AG127" s="1499"/>
      <c r="AH127" s="1499"/>
      <c r="AI127" s="1530"/>
      <c r="AJ127" s="1530"/>
      <c r="AK127" s="1303"/>
      <c r="AL127" s="1487"/>
      <c r="AM127" s="1512"/>
      <c r="AN127" s="1514"/>
      <c r="AO127" s="1487"/>
      <c r="AP127" s="1487"/>
      <c r="AQ127" s="1487"/>
      <c r="AR127" s="1487"/>
      <c r="AS127" s="1487"/>
      <c r="AT127" s="1487"/>
      <c r="AU127" s="1487"/>
      <c r="AV127" s="1473"/>
      <c r="AW127" s="1487"/>
      <c r="AX127" s="1487"/>
      <c r="AY127" s="1487"/>
      <c r="AZ127" s="1487"/>
      <c r="BA127" s="1487"/>
      <c r="BB127" s="1487"/>
      <c r="BC127" s="1487"/>
      <c r="BD127" s="1487"/>
      <c r="BE127" s="1487"/>
      <c r="BF127" s="1487"/>
      <c r="BG127" s="1487"/>
      <c r="BH127" s="1487"/>
      <c r="BI127" s="1487"/>
      <c r="BJ127" s="1487"/>
      <c r="BK127" s="1487"/>
      <c r="BL127" s="1487"/>
      <c r="BM127" s="1487"/>
    </row>
    <row r="128" spans="1:65" ht="10.5" hidden="1" customHeight="1" outlineLevel="1">
      <c r="A128" s="1531" t="s">
        <v>758</v>
      </c>
      <c r="B128" s="1573"/>
      <c r="C128" s="1581">
        <f>(R128/R121-1)*100</f>
        <v>11.296398226861214</v>
      </c>
      <c r="D128" s="1573" t="s">
        <v>697</v>
      </c>
      <c r="E128" s="1638">
        <f>+'qtrP&amp;L'!AX10</f>
        <v>9</v>
      </c>
      <c r="F128" s="1573" t="s">
        <v>697</v>
      </c>
      <c r="G128" s="1565">
        <f>C128-E128</f>
        <v>2.2963982268612142</v>
      </c>
      <c r="H128" s="1573" t="s">
        <v>697</v>
      </c>
      <c r="I128" s="1639">
        <f>805+71</f>
        <v>876</v>
      </c>
      <c r="J128" s="1600"/>
      <c r="K128" s="1534">
        <f>(I128+I124)/2</f>
        <v>872.5</v>
      </c>
      <c r="L128" s="1573"/>
      <c r="M128" s="1534">
        <f>(K128/K121-1)*100</f>
        <v>3.1933767001774083</v>
      </c>
      <c r="N128" s="1573" t="s">
        <v>697</v>
      </c>
      <c r="O128" s="1535">
        <f>(G128/M128)*100</f>
        <v>71.911285215228062</v>
      </c>
      <c r="P128" s="1573" t="s">
        <v>697</v>
      </c>
      <c r="Q128" s="1573"/>
      <c r="R128" s="1630">
        <f>+'qtrP&amp;L'!AV10-qtrSales!AM128</f>
        <v>491.34800000000001</v>
      </c>
      <c r="S128" s="1557"/>
      <c r="T128" s="1539">
        <f xml:space="preserve"> R128/K128</f>
        <v>0.5631495702005731</v>
      </c>
      <c r="U128" s="1479"/>
      <c r="V128" s="1584">
        <f>T128/T121-1</f>
        <v>7.852268998064349E-2</v>
      </c>
      <c r="W128" s="1479"/>
      <c r="X128" s="1641">
        <v>4.8470769999999996</v>
      </c>
      <c r="Y128" s="1600"/>
      <c r="Z128" s="1574">
        <f>(X128+X124)/2</f>
        <v>4.8097820000000002</v>
      </c>
      <c r="AA128" s="1573"/>
      <c r="AB128" s="1534">
        <f>(Z128/Z121-1)*100</f>
        <v>5.8278356104584761</v>
      </c>
      <c r="AC128" s="1573" t="s">
        <v>697</v>
      </c>
      <c r="AD128" s="1535">
        <f>(G128/AB128)*100</f>
        <v>39.403963672897021</v>
      </c>
      <c r="AE128" s="1573" t="s">
        <v>697</v>
      </c>
      <c r="AF128" s="1573"/>
      <c r="AG128" s="1538">
        <f>R128</f>
        <v>491.34800000000001</v>
      </c>
      <c r="AH128" s="1557"/>
      <c r="AI128" s="1640">
        <f xml:space="preserve"> AG128/Z128</f>
        <v>102.1559812897965</v>
      </c>
      <c r="AJ128" s="1479"/>
      <c r="AK128" s="1584">
        <f>AI128/AI121-1</f>
        <v>5.1674142108811161E-2</v>
      </c>
      <c r="AL128" s="1470"/>
      <c r="AM128" s="1643">
        <f>0.2*AM132</f>
        <v>31.080000000000002</v>
      </c>
      <c r="AN128" s="1632"/>
      <c r="AO128" s="1206">
        <f>+AM128/AM121-1</f>
        <v>1.0720000000000001</v>
      </c>
      <c r="AP128" s="1206"/>
      <c r="AQ128" s="1291">
        <f>AM128/AM132</f>
        <v>0.2</v>
      </c>
      <c r="AR128" s="1602"/>
      <c r="AS128" s="1303">
        <f>AM128/(R128+AM128)</f>
        <v>5.9491451453597438E-2</v>
      </c>
      <c r="AT128" s="1602"/>
      <c r="AU128" s="1303"/>
      <c r="AV128" s="1473"/>
      <c r="AW128" s="1206"/>
      <c r="AX128" s="1206"/>
      <c r="AY128" s="1470"/>
      <c r="AZ128" s="1470"/>
      <c r="BA128" s="1470"/>
      <c r="BB128" s="1470"/>
      <c r="BC128" s="1470"/>
      <c r="BD128" s="1470"/>
      <c r="BE128" s="1538"/>
      <c r="BF128" s="1472"/>
      <c r="BG128" s="1591">
        <f>0.724*492</f>
        <v>356.20799999999997</v>
      </c>
      <c r="BH128" s="1538"/>
      <c r="BI128" s="1561"/>
      <c r="BJ128" s="1538"/>
      <c r="BK128" s="1538"/>
      <c r="BL128" s="1538"/>
      <c r="BM128" s="1604"/>
    </row>
    <row r="129" spans="1:65" ht="10.5" hidden="1" customHeight="1" outlineLevel="1">
      <c r="A129" s="1531" t="s">
        <v>759</v>
      </c>
      <c r="B129" s="1573"/>
      <c r="C129" s="1581">
        <f>(R129/R122-1)*100</f>
        <v>14.887833052344558</v>
      </c>
      <c r="D129" s="1573"/>
      <c r="E129" s="1638">
        <f>+'qtrP&amp;L'!AX11</f>
        <v>10</v>
      </c>
      <c r="F129" s="1573"/>
      <c r="G129" s="1565">
        <f>C129-E129</f>
        <v>4.8878330523445577</v>
      </c>
      <c r="H129" s="1573"/>
      <c r="I129" s="1639">
        <f>812+71</f>
        <v>883</v>
      </c>
      <c r="J129" s="1600"/>
      <c r="K129" s="1534">
        <f>AVERAGEA(I128,I129)</f>
        <v>879.5</v>
      </c>
      <c r="L129" s="1573"/>
      <c r="M129" s="1534">
        <f>(K129/K122-1)*100</f>
        <v>3.5314891112419033</v>
      </c>
      <c r="N129" s="1573"/>
      <c r="O129" s="1535">
        <f>(G129/M129)*100</f>
        <v>138.40713926555688</v>
      </c>
      <c r="P129" s="1573"/>
      <c r="Q129" s="1573"/>
      <c r="R129" s="1605">
        <f>+'qtrP&amp;L'!AV11-qtrSales!AM129</f>
        <v>569.69200000000001</v>
      </c>
      <c r="S129" s="1557"/>
      <c r="T129" s="1255">
        <f xml:space="preserve"> R129/K129</f>
        <v>0.64774530983513356</v>
      </c>
      <c r="U129" s="1479"/>
      <c r="V129" s="1584">
        <f>T129/T122-1</f>
        <v>0.10968975756642063</v>
      </c>
      <c r="W129" s="1479"/>
      <c r="X129" s="1641">
        <v>4.9111919999999998</v>
      </c>
      <c r="Y129" s="1600"/>
      <c r="Z129" s="1574">
        <f>AVERAGEA(X128,X129)</f>
        <v>4.8791344999999993</v>
      </c>
      <c r="AA129" s="1573"/>
      <c r="AB129" s="1534">
        <f>(Z129/Z122-1)*100</f>
        <v>6.2854488361530292</v>
      </c>
      <c r="AC129" s="1573"/>
      <c r="AD129" s="1535">
        <f>(G129/AB129)*100</f>
        <v>77.764264410688071</v>
      </c>
      <c r="AE129" s="1573"/>
      <c r="AF129" s="1573"/>
      <c r="AG129" s="1557">
        <f>R129</f>
        <v>569.69200000000001</v>
      </c>
      <c r="AH129" s="1557"/>
      <c r="AI129" s="1587">
        <f xml:space="preserve"> AG129/Z129</f>
        <v>116.76087224076321</v>
      </c>
      <c r="AJ129" s="1479"/>
      <c r="AK129" s="1584">
        <f>AI129/AI122-1</f>
        <v>8.0936612776154826E-2</v>
      </c>
      <c r="AL129" s="1470"/>
      <c r="AM129" s="1643">
        <f>0.21*AM132</f>
        <v>32.634</v>
      </c>
      <c r="AN129" s="1632"/>
      <c r="AO129" s="1291">
        <f>+AM129/AM122-1</f>
        <v>0.63169999999999993</v>
      </c>
      <c r="AP129" s="1291"/>
      <c r="AQ129" s="1291">
        <f>AM129/AM132</f>
        <v>0.21</v>
      </c>
      <c r="AR129" s="1602"/>
      <c r="AS129" s="1303">
        <f>AM129/(R129+AM129)</f>
        <v>5.417996234597211E-2</v>
      </c>
      <c r="AT129" s="1602"/>
      <c r="AU129" s="1303"/>
      <c r="AV129" s="1473"/>
      <c r="AW129" s="1291"/>
      <c r="AX129" s="1206"/>
      <c r="AY129" s="1470"/>
      <c r="AZ129" s="1470"/>
      <c r="BA129" s="1470"/>
      <c r="BB129" s="1470"/>
      <c r="BC129" s="1470"/>
      <c r="BD129" s="1470"/>
      <c r="BE129" s="1557"/>
      <c r="BF129" s="1472"/>
      <c r="BG129" s="1592"/>
      <c r="BH129" s="1557"/>
      <c r="BI129" s="1561"/>
      <c r="BJ129" s="1557"/>
      <c r="BK129" s="1557"/>
      <c r="BL129" s="1557"/>
      <c r="BM129" s="1604"/>
    </row>
    <row r="130" spans="1:65" ht="10.5" hidden="1" customHeight="1" outlineLevel="1">
      <c r="A130" s="1531" t="s">
        <v>760</v>
      </c>
      <c r="B130" s="1573"/>
      <c r="C130" s="1581">
        <f>(R130/R123-1)*100</f>
        <v>18.341022451745737</v>
      </c>
      <c r="D130" s="1573"/>
      <c r="E130" s="1638">
        <f>+'qtrP&amp;L'!AX12</f>
        <v>13</v>
      </c>
      <c r="F130" s="1573"/>
      <c r="G130" s="1565">
        <f>C130-E130</f>
        <v>5.3410224517457365</v>
      </c>
      <c r="H130" s="1573"/>
      <c r="I130" s="1639">
        <v>906</v>
      </c>
      <c r="J130" s="1600"/>
      <c r="K130" s="1534">
        <f>AVERAGEA(I129,I130)</f>
        <v>894.5</v>
      </c>
      <c r="L130" s="1573"/>
      <c r="M130" s="1534">
        <f>(K130/K123-1)*100</f>
        <v>4.0116279069767335</v>
      </c>
      <c r="N130" s="1573"/>
      <c r="O130" s="1535">
        <f>(G130/M130)*100</f>
        <v>133.13853068119843</v>
      </c>
      <c r="P130" s="1573"/>
      <c r="Q130" s="1573"/>
      <c r="R130" s="1605">
        <f>+'qtrP&amp;L'!AV12-qtrSales!AM130</f>
        <v>657.43999999999994</v>
      </c>
      <c r="S130" s="1557"/>
      <c r="T130" s="1255">
        <f xml:space="preserve"> R130/K130</f>
        <v>0.73498043599776408</v>
      </c>
      <c r="U130" s="1479"/>
      <c r="V130" s="1584">
        <f>T130/T123-1</f>
        <v>0.13776723653998157</v>
      </c>
      <c r="W130" s="1479"/>
      <c r="X130" s="1641">
        <v>5.0647710000000004</v>
      </c>
      <c r="Y130" s="1600"/>
      <c r="Z130" s="1574">
        <f>AVERAGEA(X129,X130)</f>
        <v>4.9879815000000001</v>
      </c>
      <c r="AA130" s="1573"/>
      <c r="AB130" s="1534">
        <f>(Z130/Z123-1)*100</f>
        <v>6.5685846056322772</v>
      </c>
      <c r="AC130" s="1573"/>
      <c r="AD130" s="1535">
        <f>(G130/AB130)*100</f>
        <v>81.311618444650023</v>
      </c>
      <c r="AE130" s="1573"/>
      <c r="AF130" s="1573"/>
      <c r="AG130" s="1557">
        <f>R130</f>
        <v>657.43999999999994</v>
      </c>
      <c r="AH130" s="1557"/>
      <c r="AI130" s="1587">
        <f xml:space="preserve"> AG130/Z130</f>
        <v>131.80481924401684</v>
      </c>
      <c r="AJ130" s="1479"/>
      <c r="AK130" s="1584">
        <f>AI130/AI123-1</f>
        <v>0.11046818243555134</v>
      </c>
      <c r="AL130" s="1470"/>
      <c r="AM130" s="1643">
        <f>0.25*AM132</f>
        <v>38.85</v>
      </c>
      <c r="AN130" s="1632"/>
      <c r="AO130" s="1291">
        <f>+AM130/AM123-1</f>
        <v>0.55400000000000005</v>
      </c>
      <c r="AP130" s="1291"/>
      <c r="AQ130" s="1291">
        <f>AM130/AM132</f>
        <v>0.25</v>
      </c>
      <c r="AR130" s="1602"/>
      <c r="AS130" s="1303">
        <f>AM130/(R130+AM130)</f>
        <v>5.5795717301699008E-2</v>
      </c>
      <c r="AT130" s="1602"/>
      <c r="AU130" s="1303"/>
      <c r="AV130" s="1473"/>
      <c r="AW130" s="1291"/>
      <c r="AX130" s="1206"/>
      <c r="AY130" s="1470"/>
      <c r="AZ130" s="1470"/>
      <c r="BA130" s="1470"/>
      <c r="BB130" s="1470"/>
      <c r="BC130" s="1470"/>
      <c r="BD130" s="1470"/>
      <c r="BE130" s="1557"/>
      <c r="BF130" s="1472"/>
      <c r="BG130" s="1592"/>
      <c r="BH130" s="1557"/>
      <c r="BI130" s="1561"/>
      <c r="BJ130" s="1557"/>
      <c r="BK130" s="1557"/>
      <c r="BL130" s="1557"/>
      <c r="BM130" s="1604"/>
    </row>
    <row r="131" spans="1:65" ht="10.5" hidden="1" customHeight="1" outlineLevel="1">
      <c r="A131" s="1531" t="s">
        <v>761</v>
      </c>
      <c r="B131" s="1573"/>
      <c r="C131" s="1570">
        <f>(R131/R124-1)*100</f>
        <v>27.132597677020165</v>
      </c>
      <c r="D131" s="1573"/>
      <c r="E131" s="1642">
        <f>+'qtrP&amp;L'!AX13</f>
        <v>14</v>
      </c>
      <c r="F131" s="1573"/>
      <c r="G131" s="1570">
        <f>C131-E131</f>
        <v>13.132597677020165</v>
      </c>
      <c r="H131" s="1573"/>
      <c r="I131" s="1606">
        <f>yrSales!N19</f>
        <v>911</v>
      </c>
      <c r="J131" s="1600"/>
      <c r="K131" s="1545">
        <f>AVERAGEA(I130,I131)</f>
        <v>908.5</v>
      </c>
      <c r="L131" s="1573"/>
      <c r="M131" s="1545">
        <f>(K131/K124-1)*100</f>
        <v>4.7262247838616656</v>
      </c>
      <c r="N131" s="1573"/>
      <c r="O131" s="1475">
        <f>(G131/M131)*100</f>
        <v>277.86654841012216</v>
      </c>
      <c r="P131" s="1573"/>
      <c r="Q131" s="1573"/>
      <c r="R131" s="1607">
        <f>+'qtrP&amp;L'!AV13-qtrSales!AM131</f>
        <v>920.529</v>
      </c>
      <c r="S131" s="1557"/>
      <c r="T131" s="1562">
        <f xml:space="preserve"> R131/K131</f>
        <v>1.0132405063291139</v>
      </c>
      <c r="U131" s="1479"/>
      <c r="V131" s="1589">
        <f>T131/T124-1</f>
        <v>0.21395188205630156</v>
      </c>
      <c r="W131" s="1479"/>
      <c r="X131" s="1644">
        <f>yrSales!N34</f>
        <v>5.1730650000000002</v>
      </c>
      <c r="Y131" s="1600"/>
      <c r="Z131" s="1577">
        <f>AVERAGEA(X130,X131)</f>
        <v>5.1189180000000007</v>
      </c>
      <c r="AA131" s="1573"/>
      <c r="AB131" s="1545">
        <f>(Z131/Z124-1)*100</f>
        <v>7.7428892290008822</v>
      </c>
      <c r="AC131" s="1573"/>
      <c r="AD131" s="1475">
        <f>(G131/AB131)*100</f>
        <v>169.60849223868792</v>
      </c>
      <c r="AE131" s="1573"/>
      <c r="AF131" s="1573"/>
      <c r="AG131" s="1544">
        <f>R131</f>
        <v>920.529</v>
      </c>
      <c r="AH131" s="1557"/>
      <c r="AI131" s="1590">
        <f xml:space="preserve"> AG131/Z131</f>
        <v>179.82882320052789</v>
      </c>
      <c r="AJ131" s="1479"/>
      <c r="AK131" s="1589">
        <f>AI131/AI124-1</f>
        <v>0.17996276679389633</v>
      </c>
      <c r="AL131" s="1470"/>
      <c r="AM131" s="1645">
        <f>AM132-SUM(AM128:AM130)</f>
        <v>52.836000000000013</v>
      </c>
      <c r="AN131" s="1632"/>
      <c r="AO131" s="1626">
        <f>+AM131/AM124-1</f>
        <v>0.1741333333333337</v>
      </c>
      <c r="AP131" s="1308"/>
      <c r="AQ131" s="1609">
        <f>AM131/AM132</f>
        <v>0.34000000000000008</v>
      </c>
      <c r="AR131" s="1603"/>
      <c r="AS131" s="1594">
        <f>AM131/(R131+AM131)</f>
        <v>5.4281795626512162E-2</v>
      </c>
      <c r="AT131" s="1603"/>
      <c r="AU131" s="1561"/>
      <c r="AV131" s="1473"/>
      <c r="AW131" s="1206"/>
      <c r="AX131" s="1206">
        <f>AM131/'qtrP&amp;L'!AV13</f>
        <v>5.4281795626512162E-2</v>
      </c>
      <c r="AY131" s="1470"/>
      <c r="AZ131" s="1470"/>
      <c r="BA131" s="1470"/>
      <c r="BB131" s="1470"/>
      <c r="BC131" s="1470"/>
      <c r="BD131" s="1470"/>
      <c r="BE131" s="1557"/>
      <c r="BF131" s="1472"/>
      <c r="BG131" s="1592"/>
      <c r="BH131" s="1557"/>
      <c r="BI131" s="1561"/>
      <c r="BJ131" s="1557"/>
      <c r="BK131" s="1557"/>
      <c r="BL131" s="1557"/>
      <c r="BM131" s="1604"/>
    </row>
    <row r="132" spans="1:65" ht="10.5" hidden="1" customHeight="1" outlineLevel="1">
      <c r="A132" s="1531" t="s">
        <v>762</v>
      </c>
      <c r="B132" s="1578"/>
      <c r="C132" s="1579">
        <f>(R132/R125-1)*100</f>
        <v>19.037177903816115</v>
      </c>
      <c r="D132" s="1529"/>
      <c r="E132" s="1638">
        <f>+'qtrP&amp;L'!AX14</f>
        <v>12</v>
      </c>
      <c r="F132" s="1470"/>
      <c r="G132" s="1565">
        <f>C132-E132</f>
        <v>7.0371779038161151</v>
      </c>
      <c r="H132" s="1470"/>
      <c r="I132" s="1566"/>
      <c r="J132" s="1470"/>
      <c r="K132" s="1534">
        <f>AVERAGEA(K128:K131)</f>
        <v>888.75</v>
      </c>
      <c r="L132" s="1470"/>
      <c r="M132" s="1534">
        <f>(K132/K125-1)*100</f>
        <v>3.87143900657414</v>
      </c>
      <c r="N132" s="1470"/>
      <c r="O132" s="1535">
        <f>(G132/M132)*100</f>
        <v>181.77163302498616</v>
      </c>
      <c r="P132" s="1472"/>
      <c r="Q132" s="1472"/>
      <c r="R132" s="1537">
        <f>SUM(R128:R131)</f>
        <v>2639.009</v>
      </c>
      <c r="S132" s="1538"/>
      <c r="T132" s="1539">
        <f>SUM(T128:T131)</f>
        <v>2.9591158223625849</v>
      </c>
      <c r="U132" s="1479"/>
      <c r="V132" s="1584">
        <f>T132/T125-1</f>
        <v>0.14405550429136338</v>
      </c>
      <c r="W132" s="1479"/>
      <c r="X132" s="1611"/>
      <c r="Y132" s="1470"/>
      <c r="Z132" s="1574">
        <f>AVERAGEA(Z128:Z131)</f>
        <v>4.9489540000000005</v>
      </c>
      <c r="AA132" s="1470"/>
      <c r="AB132" s="1534">
        <f>(Z132/Z125-1)*100</f>
        <v>6.6177457074190427</v>
      </c>
      <c r="AC132" s="1470"/>
      <c r="AD132" s="1535">
        <f>(G132/AB132)*100</f>
        <v>106.33799204352705</v>
      </c>
      <c r="AE132" s="1472"/>
      <c r="AF132" s="1472"/>
      <c r="AG132" s="1537">
        <f>SUM(AG128:AG131)</f>
        <v>2639.009</v>
      </c>
      <c r="AH132" s="1538"/>
      <c r="AI132" s="1585">
        <f>SUM(AI128:AI131)</f>
        <v>530.55049597510447</v>
      </c>
      <c r="AJ132" s="1479"/>
      <c r="AK132" s="1584">
        <f>AI132/AI125-1</f>
        <v>0.11401700035212059</v>
      </c>
      <c r="AL132" s="1470"/>
      <c r="AM132" s="1631">
        <f>AM125*1.48</f>
        <v>155.4</v>
      </c>
      <c r="AN132" s="1637"/>
      <c r="AO132" s="1206">
        <f>+AM132/AM125-1</f>
        <v>0.48</v>
      </c>
      <c r="AP132" s="1206"/>
      <c r="AQ132" s="1291">
        <f>AM132/AM132</f>
        <v>1</v>
      </c>
      <c r="AR132" s="1470"/>
      <c r="AS132" s="1303">
        <f>AM132/(R132+AM132)</f>
        <v>5.5611043336891632E-2</v>
      </c>
      <c r="AT132" s="1470"/>
      <c r="AU132" s="1303"/>
      <c r="AV132" s="1473"/>
      <c r="AW132" s="1206"/>
      <c r="AX132" s="1470">
        <f>43*0.07</f>
        <v>3.0100000000000002</v>
      </c>
      <c r="AY132" s="1470"/>
      <c r="AZ132" s="1470"/>
      <c r="BA132" s="1470"/>
      <c r="BB132" s="1470"/>
      <c r="BC132" s="1470"/>
      <c r="BD132" s="1470"/>
      <c r="BE132" s="1538"/>
      <c r="BF132" s="1472"/>
      <c r="BG132" s="1591"/>
      <c r="BH132" s="1538"/>
      <c r="BI132" s="1561"/>
      <c r="BJ132" s="1538"/>
      <c r="BK132" s="1538"/>
      <c r="BL132" s="1538"/>
      <c r="BM132" s="1561"/>
    </row>
    <row r="133" spans="1:65" ht="10.5" hidden="1" customHeight="1" outlineLevel="1">
      <c r="A133" s="1531"/>
      <c r="B133" s="1578"/>
      <c r="C133" s="1579"/>
      <c r="D133" s="1529"/>
      <c r="E133" s="1579"/>
      <c r="F133" s="1470"/>
      <c r="G133" s="1565"/>
      <c r="H133" s="1470"/>
      <c r="I133" s="1566"/>
      <c r="J133" s="1470"/>
      <c r="K133" s="1534"/>
      <c r="L133" s="1470"/>
      <c r="M133" s="1534"/>
      <c r="N133" s="1470"/>
      <c r="O133" s="1535"/>
      <c r="P133" s="1472"/>
      <c r="Q133" s="1472"/>
      <c r="R133" s="1537"/>
      <c r="S133" s="1538"/>
      <c r="T133" s="1539"/>
      <c r="U133" s="1479"/>
      <c r="V133" s="1555"/>
      <c r="W133" s="1479"/>
      <c r="X133" s="1612"/>
      <c r="Y133" s="1470"/>
      <c r="Z133" s="1534"/>
      <c r="AA133" s="1470"/>
      <c r="AB133" s="1534"/>
      <c r="AC133" s="1470"/>
      <c r="AD133" s="1535"/>
      <c r="AE133" s="1472"/>
      <c r="AF133" s="1472"/>
      <c r="AG133" s="1537"/>
      <c r="AH133" s="1538"/>
      <c r="AI133" s="1539"/>
      <c r="AJ133" s="1479"/>
      <c r="AK133" s="1555"/>
      <c r="AL133" s="1470"/>
      <c r="AM133" s="1636"/>
      <c r="AN133" s="1637"/>
      <c r="AO133" s="1470"/>
      <c r="AP133" s="1470"/>
      <c r="AQ133" s="1470"/>
      <c r="AR133" s="1470"/>
      <c r="AS133" s="1470"/>
      <c r="AT133" s="1470"/>
      <c r="AU133" s="1470"/>
      <c r="AV133" s="1473"/>
      <c r="AW133" s="1470"/>
      <c r="AX133" s="1470"/>
      <c r="AY133" s="1470"/>
      <c r="AZ133" s="1470"/>
      <c r="BA133" s="1470"/>
      <c r="BB133" s="1470"/>
      <c r="BC133" s="1470"/>
      <c r="BD133" s="1470"/>
      <c r="BE133" s="1470"/>
      <c r="BF133" s="1470"/>
      <c r="BG133" s="1470"/>
      <c r="BH133" s="1470"/>
      <c r="BI133" s="1470"/>
      <c r="BJ133" s="1470"/>
      <c r="BK133" s="1470"/>
      <c r="BL133" s="1470"/>
      <c r="BM133" s="1470"/>
    </row>
    <row r="134" spans="1:65" ht="10.5" hidden="1" customHeight="1" outlineLevel="1">
      <c r="A134" s="1580" t="s">
        <v>258</v>
      </c>
      <c r="B134" s="1499"/>
      <c r="C134" s="1499"/>
      <c r="D134" s="1499"/>
      <c r="E134" s="1499"/>
      <c r="F134" s="1499"/>
      <c r="G134" s="1499"/>
      <c r="H134" s="1499"/>
      <c r="I134" s="1571"/>
      <c r="J134" s="1499"/>
      <c r="K134" s="1499"/>
      <c r="L134" s="1499"/>
      <c r="M134" s="1572"/>
      <c r="N134" s="1499"/>
      <c r="O134" s="1628"/>
      <c r="P134" s="1499"/>
      <c r="Q134" s="1499"/>
      <c r="R134" s="1499"/>
      <c r="S134" s="1499"/>
      <c r="T134" s="1530"/>
      <c r="U134" s="1530"/>
      <c r="V134" s="1303"/>
      <c r="W134" s="1479"/>
      <c r="X134" s="1571"/>
      <c r="Y134" s="1499"/>
      <c r="Z134" s="1499"/>
      <c r="AA134" s="1499"/>
      <c r="AB134" s="1572"/>
      <c r="AC134" s="1499"/>
      <c r="AD134" s="1551"/>
      <c r="AE134" s="1499"/>
      <c r="AF134" s="1499"/>
      <c r="AG134" s="1499"/>
      <c r="AH134" s="1499"/>
      <c r="AI134" s="1530"/>
      <c r="AJ134" s="1530"/>
      <c r="AK134" s="1303"/>
      <c r="AL134" s="1487"/>
      <c r="AM134" s="1512"/>
      <c r="AN134" s="1514"/>
      <c r="AO134" s="1487"/>
      <c r="AP134" s="1487"/>
      <c r="AQ134" s="1487"/>
      <c r="AR134" s="1487"/>
      <c r="AS134" s="1487"/>
      <c r="AT134" s="1487"/>
      <c r="AU134" s="1487"/>
      <c r="AV134" s="1473"/>
      <c r="AW134" s="1487"/>
      <c r="AX134" s="1487"/>
      <c r="AY134" s="1487"/>
      <c r="AZ134" s="1487"/>
      <c r="BA134" s="1487"/>
      <c r="BB134" s="1487"/>
      <c r="BC134" s="1487"/>
      <c r="BD134" s="1487"/>
      <c r="BE134" s="1487"/>
      <c r="BF134" s="1487"/>
      <c r="BG134" s="1487"/>
      <c r="BH134" s="1487"/>
      <c r="BI134" s="1487"/>
      <c r="BJ134" s="1487"/>
      <c r="BK134" s="1487"/>
      <c r="BL134" s="1487"/>
      <c r="BM134" s="1487"/>
    </row>
    <row r="135" spans="1:65" ht="10.5" hidden="1" customHeight="1" outlineLevel="1">
      <c r="A135" s="1531" t="s">
        <v>758</v>
      </c>
      <c r="B135" s="1573"/>
      <c r="C135" s="1581">
        <f>(R135/R128-1)*100</f>
        <v>16.410771998664899</v>
      </c>
      <c r="D135" s="1573" t="s">
        <v>697</v>
      </c>
      <c r="E135" s="1646">
        <f>'qtrP&amp;L'!BB10</f>
        <v>6</v>
      </c>
      <c r="F135" s="1573" t="s">
        <v>697</v>
      </c>
      <c r="G135" s="1565">
        <f>C135-E135</f>
        <v>10.410771998664899</v>
      </c>
      <c r="H135" s="1573" t="s">
        <v>697</v>
      </c>
      <c r="I135" s="1639">
        <f>911+8+3</f>
        <v>922</v>
      </c>
      <c r="J135" s="1647">
        <f>I135-I131</f>
        <v>11</v>
      </c>
      <c r="K135" s="1534">
        <f>(I135+I131)/2</f>
        <v>916.5</v>
      </c>
      <c r="L135" s="1573"/>
      <c r="M135" s="1534">
        <f>(K135/K128-1)*100</f>
        <v>5.0429799426934041</v>
      </c>
      <c r="N135" s="1573" t="s">
        <v>697</v>
      </c>
      <c r="O135" s="1535">
        <f>(G135/M135)*100</f>
        <v>206.44087656443486</v>
      </c>
      <c r="P135" s="1573" t="s">
        <v>697</v>
      </c>
      <c r="Q135" s="1573"/>
      <c r="R135" s="1630">
        <f>'qtrP&amp;L'!AZ10-qtrSales!AM135</f>
        <v>571.98199999999997</v>
      </c>
      <c r="S135" s="1557"/>
      <c r="T135" s="1539">
        <f xml:space="preserve"> R135/K135</f>
        <v>0.6240938352427714</v>
      </c>
      <c r="U135" s="1479"/>
      <c r="V135" s="1584">
        <f>T135/T128-1</f>
        <v>0.1082203880942183</v>
      </c>
      <c r="W135" s="1479"/>
      <c r="X135" s="1641">
        <v>5.2570319999999997</v>
      </c>
      <c r="Y135" s="1600"/>
      <c r="Z135" s="1574">
        <f>(X135+X131)/2</f>
        <v>5.2150485</v>
      </c>
      <c r="AA135" s="1573"/>
      <c r="AB135" s="1534">
        <f>(Z135/Z128-1)*100</f>
        <v>8.425880840337463</v>
      </c>
      <c r="AC135" s="1573" t="s">
        <v>697</v>
      </c>
      <c r="AD135" s="1535">
        <f>(G135/AB135)*100</f>
        <v>123.55707606052424</v>
      </c>
      <c r="AE135" s="1573" t="s">
        <v>697</v>
      </c>
      <c r="AF135" s="1573"/>
      <c r="AG135" s="1538">
        <f>R135</f>
        <v>571.98199999999997</v>
      </c>
      <c r="AH135" s="1557"/>
      <c r="AI135" s="1640">
        <f xml:space="preserve"> AG135/Z135</f>
        <v>109.67913337718718</v>
      </c>
      <c r="AJ135" s="1479"/>
      <c r="AK135" s="1584">
        <f>AI135/AI128-1</f>
        <v>7.3643774866681389E-2</v>
      </c>
      <c r="AL135" s="1470"/>
      <c r="AM135" s="1643">
        <f>AM128*1.3</f>
        <v>40.404000000000003</v>
      </c>
      <c r="AN135" s="1648"/>
      <c r="AO135" s="1291">
        <f>+AM135/AM128-1</f>
        <v>0.30000000000000004</v>
      </c>
      <c r="AP135" s="1291"/>
      <c r="AQ135" s="1291">
        <f>AM135/AM139</f>
        <v>0.16593018480492813</v>
      </c>
      <c r="AR135" s="1602"/>
      <c r="AS135" s="1303">
        <f>AM135/(R135+AM135)</f>
        <v>6.597799427158689E-2</v>
      </c>
      <c r="AT135" s="1602"/>
      <c r="AU135" s="1303"/>
      <c r="AV135" s="1473"/>
      <c r="AW135" s="1291"/>
      <c r="AX135" s="1206">
        <f>AM135/$AM$139</f>
        <v>0.16593018480492813</v>
      </c>
      <c r="AY135" s="1470"/>
      <c r="AZ135" s="1470"/>
      <c r="BA135" s="1470"/>
      <c r="BB135" s="1470"/>
      <c r="BC135" s="1470"/>
      <c r="BD135" s="1470"/>
      <c r="BE135" s="1538"/>
      <c r="BF135" s="1472"/>
      <c r="BG135" s="1591">
        <f>0.724*492</f>
        <v>356.20799999999997</v>
      </c>
      <c r="BH135" s="1538"/>
      <c r="BI135" s="1561"/>
      <c r="BJ135" s="1538"/>
      <c r="BK135" s="1538"/>
      <c r="BL135" s="1538"/>
      <c r="BM135" s="1604"/>
    </row>
    <row r="136" spans="1:65" ht="10.5" hidden="1" customHeight="1" outlineLevel="1">
      <c r="A136" s="1531" t="s">
        <v>759</v>
      </c>
      <c r="B136" s="1573"/>
      <c r="C136" s="1581">
        <f>(R136/R129-1)*100</f>
        <v>14.305449260302062</v>
      </c>
      <c r="D136" s="1573"/>
      <c r="E136" s="1646">
        <f>'qtrP&amp;L'!BB11</f>
        <v>2</v>
      </c>
      <c r="F136" s="1573"/>
      <c r="G136" s="1565">
        <f>C136-E136</f>
        <v>12.305449260302062</v>
      </c>
      <c r="H136" s="1573"/>
      <c r="I136" s="1639">
        <f>914+9+5</f>
        <v>928</v>
      </c>
      <c r="J136" s="1647">
        <f>I136-I135</f>
        <v>6</v>
      </c>
      <c r="K136" s="1534">
        <f>AVERAGEA(I135,I136)</f>
        <v>925</v>
      </c>
      <c r="L136" s="1573"/>
      <c r="M136" s="1534">
        <f>(K136/K129-1)*100</f>
        <v>5.1733939738487722</v>
      </c>
      <c r="N136" s="1573"/>
      <c r="O136" s="1535">
        <f>(G136/M136)*100</f>
        <v>237.86027746012473</v>
      </c>
      <c r="P136" s="1573"/>
      <c r="Q136" s="1573"/>
      <c r="R136" s="1605">
        <f>'qtrP&amp;L'!AZ11-qtrSales!AM136</f>
        <v>651.18899999999996</v>
      </c>
      <c r="S136" s="1557"/>
      <c r="T136" s="1255">
        <f xml:space="preserve"> R136/K136</f>
        <v>0.70398810810810808</v>
      </c>
      <c r="U136" s="1479"/>
      <c r="V136" s="1584">
        <f>T136/T129-1</f>
        <v>8.6828568912817872E-2</v>
      </c>
      <c r="W136" s="1479"/>
      <c r="X136" s="1641">
        <v>5.3504680000000002</v>
      </c>
      <c r="Y136" s="1600"/>
      <c r="Z136" s="1574">
        <f>AVERAGEA(X135,X136)</f>
        <v>5.30375</v>
      </c>
      <c r="AA136" s="1573"/>
      <c r="AB136" s="1534">
        <f>(Z136/Z129-1)*100</f>
        <v>8.7026807725837596</v>
      </c>
      <c r="AC136" s="1573"/>
      <c r="AD136" s="1535">
        <f>(G136/AB136)*100</f>
        <v>141.39837576334159</v>
      </c>
      <c r="AE136" s="1573"/>
      <c r="AF136" s="1573"/>
      <c r="AG136" s="1557">
        <f>R136</f>
        <v>651.18899999999996</v>
      </c>
      <c r="AH136" s="1557"/>
      <c r="AI136" s="1587">
        <f xml:space="preserve"> AG136/Z136</f>
        <v>122.77897713881687</v>
      </c>
      <c r="AJ136" s="1479"/>
      <c r="AK136" s="1584">
        <f>AI136/AI129-1</f>
        <v>5.1542137212235106E-2</v>
      </c>
      <c r="AL136" s="1470"/>
      <c r="AM136" s="1631">
        <v>52</v>
      </c>
      <c r="AN136" s="1632"/>
      <c r="AO136" s="1206">
        <f>+AM136/AM129-1</f>
        <v>0.59343016485873634</v>
      </c>
      <c r="AP136" s="1206"/>
      <c r="AQ136" s="1291">
        <f>AM136/AM139</f>
        <v>0.2135523613963039</v>
      </c>
      <c r="AR136" s="1602"/>
      <c r="AS136" s="1303">
        <f>AM136/(R136+AM136)</f>
        <v>7.3948824569212548E-2</v>
      </c>
      <c r="AT136" s="1602"/>
      <c r="AU136" s="1303"/>
      <c r="AV136" s="1473"/>
      <c r="AW136" s="1206"/>
      <c r="AX136" s="1206">
        <f>AM136/$AM$139</f>
        <v>0.2135523613963039</v>
      </c>
      <c r="AY136" s="1470"/>
      <c r="AZ136" s="1470"/>
      <c r="BA136" s="1470"/>
      <c r="BB136" s="1470"/>
      <c r="BC136" s="1470"/>
      <c r="BD136" s="1470"/>
      <c r="BE136" s="1557"/>
      <c r="BF136" s="1472"/>
      <c r="BG136" s="1592"/>
      <c r="BH136" s="1557"/>
      <c r="BI136" s="1561"/>
      <c r="BJ136" s="1557"/>
      <c r="BK136" s="1557"/>
      <c r="BL136" s="1557"/>
      <c r="BM136" s="1604"/>
    </row>
    <row r="137" spans="1:65" ht="10.5" hidden="1" customHeight="1" outlineLevel="1">
      <c r="A137" s="1531" t="s">
        <v>760</v>
      </c>
      <c r="B137" s="1573"/>
      <c r="C137" s="1581">
        <f>(R137/R130-1)*100</f>
        <v>4.1072949622779298</v>
      </c>
      <c r="D137" s="1573"/>
      <c r="E137" s="1646">
        <f>'qtrP&amp;L'!BB12</f>
        <v>2</v>
      </c>
      <c r="F137" s="1573"/>
      <c r="G137" s="1565">
        <f>C137-E137</f>
        <v>2.1072949622779298</v>
      </c>
      <c r="H137" s="1573"/>
      <c r="I137" s="1639">
        <f>(853+75+33+14)-1</f>
        <v>974</v>
      </c>
      <c r="J137" s="1647">
        <f>I137-I136</f>
        <v>46</v>
      </c>
      <c r="K137" s="1534">
        <f>AVERAGEA(I136,I137)</f>
        <v>951</v>
      </c>
      <c r="L137" s="1573"/>
      <c r="M137" s="1534">
        <f>(K137/K130-1)*100</f>
        <v>6.3163778647288948</v>
      </c>
      <c r="N137" s="1573"/>
      <c r="O137" s="1535">
        <f>(G137/M137)*100</f>
        <v>33.362395464736451</v>
      </c>
      <c r="P137" s="1573"/>
      <c r="Q137" s="1573"/>
      <c r="R137" s="1605">
        <f>'qtrP&amp;L'!AZ12-qtrSales!AM137</f>
        <v>684.44299999999998</v>
      </c>
      <c r="S137" s="1557"/>
      <c r="T137" s="1255">
        <f xml:space="preserve"> R137/K137</f>
        <v>0.71970872765509986</v>
      </c>
      <c r="U137" s="1479"/>
      <c r="V137" s="1584">
        <f>T137/T130-1</f>
        <v>-2.077838755249628E-2</v>
      </c>
      <c r="W137" s="1479"/>
      <c r="X137" s="1641">
        <v>5.618474</v>
      </c>
      <c r="Y137" s="1600"/>
      <c r="Z137" s="1574">
        <f>AVERAGEA(X136,X137)</f>
        <v>5.4844710000000001</v>
      </c>
      <c r="AA137" s="1573"/>
      <c r="AB137" s="1534">
        <f>(Z137/Z130-1)*100</f>
        <v>9.9537157465399595</v>
      </c>
      <c r="AC137" s="1573"/>
      <c r="AD137" s="1535">
        <f>(G137/AB137)*100</f>
        <v>21.17093772755619</v>
      </c>
      <c r="AE137" s="1573"/>
      <c r="AF137" s="1573"/>
      <c r="AG137" s="1557">
        <f>R137</f>
        <v>684.44299999999998</v>
      </c>
      <c r="AH137" s="1557"/>
      <c r="AI137" s="1587">
        <f xml:space="preserve"> AG137/Z137</f>
        <v>124.79653917396955</v>
      </c>
      <c r="AJ137" s="1479"/>
      <c r="AK137" s="1584">
        <f>AI137/AI130-1</f>
        <v>-5.3171652677376779E-2</v>
      </c>
      <c r="AL137" s="1470"/>
      <c r="AM137" s="1631">
        <v>60</v>
      </c>
      <c r="AN137" s="1632"/>
      <c r="AO137" s="1206">
        <f>+AM137/AM130-1</f>
        <v>0.54440154440154442</v>
      </c>
      <c r="AP137" s="1206"/>
      <c r="AQ137" s="1291">
        <f>AM137/AM139</f>
        <v>0.24640657084188911</v>
      </c>
      <c r="AR137" s="1602"/>
      <c r="AS137" s="1303">
        <f>AM137/(R137+AM137)</f>
        <v>8.0597171307944332E-2</v>
      </c>
      <c r="AT137" s="1602"/>
      <c r="AU137" s="1303"/>
      <c r="AV137" s="1473"/>
      <c r="AW137" s="1206"/>
      <c r="AX137" s="1206">
        <f>AM137/$AM$139</f>
        <v>0.24640657084188911</v>
      </c>
      <c r="AY137" s="1470"/>
      <c r="AZ137" s="1470"/>
      <c r="BA137" s="1470"/>
      <c r="BB137" s="1470"/>
      <c r="BC137" s="1470"/>
      <c r="BD137" s="1470"/>
      <c r="BE137" s="1557"/>
      <c r="BF137" s="1472"/>
      <c r="BG137" s="1592"/>
      <c r="BH137" s="1557"/>
      <c r="BI137" s="1561"/>
      <c r="BJ137" s="1557"/>
      <c r="BK137" s="1557"/>
      <c r="BL137" s="1557"/>
      <c r="BM137" s="1604"/>
    </row>
    <row r="138" spans="1:65" ht="10.5" hidden="1" customHeight="1" outlineLevel="1">
      <c r="A138" s="1531" t="s">
        <v>761</v>
      </c>
      <c r="B138" s="1573"/>
      <c r="C138" s="1570">
        <f>(R138/R131-1)*100</f>
        <v>-1.7624648435845103</v>
      </c>
      <c r="D138" s="1573"/>
      <c r="E138" s="1649">
        <f>'qtrP&amp;L'!BB13</f>
        <v>-2</v>
      </c>
      <c r="F138" s="1573"/>
      <c r="G138" s="1570">
        <f>C138-E138</f>
        <v>0.23753515641548972</v>
      </c>
      <c r="H138" s="1573"/>
      <c r="I138" s="1606">
        <f>yrSales!O19</f>
        <v>987</v>
      </c>
      <c r="J138" s="1647">
        <f>I138-I137</f>
        <v>13</v>
      </c>
      <c r="K138" s="1545">
        <f>AVERAGEA(I137,I138)</f>
        <v>980.5</v>
      </c>
      <c r="L138" s="1573"/>
      <c r="M138" s="1545">
        <f>(K138/K131-1)*100</f>
        <v>7.9251513483764358</v>
      </c>
      <c r="N138" s="1573"/>
      <c r="O138" s="1597">
        <f>(G138/M138)*100</f>
        <v>2.9972318000482314</v>
      </c>
      <c r="P138" s="1573"/>
      <c r="Q138" s="1573"/>
      <c r="R138" s="1607">
        <f>'qtrP&amp;L'!AZ13-qtrSales!AM138</f>
        <v>904.30499999999995</v>
      </c>
      <c r="S138" s="1557"/>
      <c r="T138" s="1562">
        <f xml:space="preserve"> R138/K138</f>
        <v>0.92228964813870473</v>
      </c>
      <c r="U138" s="1479"/>
      <c r="V138" s="1589">
        <f>T138/T131-1</f>
        <v>-8.9762359106542733E-2</v>
      </c>
      <c r="W138" s="1479"/>
      <c r="X138" s="1644">
        <f>yrSales!O34</f>
        <v>5.7099320000000002</v>
      </c>
      <c r="Y138" s="1600"/>
      <c r="Z138" s="1577">
        <f>AVERAGEA(X137,X138)</f>
        <v>5.6642030000000005</v>
      </c>
      <c r="AA138" s="1573"/>
      <c r="AB138" s="1545">
        <f>(Z138/Z131-1)*100</f>
        <v>10.652348797148136</v>
      </c>
      <c r="AC138" s="1573"/>
      <c r="AD138" s="1475">
        <f>(G138/AB138)*100</f>
        <v>2.2298852669852773</v>
      </c>
      <c r="AE138" s="1573"/>
      <c r="AF138" s="1573"/>
      <c r="AG138" s="1544">
        <f>R138</f>
        <v>904.30499999999995</v>
      </c>
      <c r="AH138" s="1557"/>
      <c r="AI138" s="1590">
        <f xml:space="preserve"> AG138/Z138</f>
        <v>159.65264663007309</v>
      </c>
      <c r="AJ138" s="1479"/>
      <c r="AK138" s="1589">
        <f>AI138/AI131-1</f>
        <v>-0.11219656677592926</v>
      </c>
      <c r="AL138" s="1470"/>
      <c r="AM138" s="1650">
        <f>AM139-AM135-AM136-AM137</f>
        <v>91.096000000000004</v>
      </c>
      <c r="AN138" s="1651"/>
      <c r="AO138" s="1626">
        <f>AM138/AM131-1</f>
        <v>0.72412748883337086</v>
      </c>
      <c r="AP138" s="1308"/>
      <c r="AQ138" s="1609">
        <f>AM138/AM139</f>
        <v>0.37411088295687889</v>
      </c>
      <c r="AR138" s="1603"/>
      <c r="AS138" s="1594">
        <f>AM138/(R138+AM138)</f>
        <v>9.1516886159447308E-2</v>
      </c>
      <c r="AT138" s="1603"/>
      <c r="AU138" s="1561"/>
      <c r="AV138" s="1473"/>
      <c r="AW138" s="1206"/>
      <c r="AX138" s="1206">
        <f>AM138/$AM$139</f>
        <v>0.37411088295687889</v>
      </c>
      <c r="AY138" s="1470"/>
      <c r="AZ138" s="1470"/>
      <c r="BA138" s="1470"/>
      <c r="BB138" s="1470"/>
      <c r="BC138" s="1470"/>
      <c r="BD138" s="1470"/>
      <c r="BE138" s="1557"/>
      <c r="BF138" s="1472"/>
      <c r="BG138" s="1592"/>
      <c r="BH138" s="1557"/>
      <c r="BI138" s="1561"/>
      <c r="BJ138" s="1557"/>
      <c r="BK138" s="1557"/>
      <c r="BL138" s="1557"/>
      <c r="BM138" s="1604"/>
    </row>
    <row r="139" spans="1:65" ht="10.5" hidden="1" customHeight="1" outlineLevel="1">
      <c r="A139" s="1531" t="s">
        <v>762</v>
      </c>
      <c r="B139" s="1578"/>
      <c r="C139" s="1579">
        <f>(R139/R132-1)*100</f>
        <v>6.5520807242415602</v>
      </c>
      <c r="D139" s="1529"/>
      <c r="E139" s="1635">
        <f>R135/R139*E135+R136/R139*E136+R137/R139*E137+R138/R139*E138</f>
        <v>1.5272651879374903</v>
      </c>
      <c r="F139" s="1470"/>
      <c r="G139" s="1565">
        <f>C139-E139</f>
        <v>5.0248155363040699</v>
      </c>
      <c r="H139" s="1470"/>
      <c r="I139" s="1566"/>
      <c r="J139" s="1652"/>
      <c r="K139" s="1534">
        <f>AVERAGEA(K135:K138)</f>
        <v>943.25</v>
      </c>
      <c r="L139" s="1470"/>
      <c r="M139" s="1534">
        <f>(K139/K132-1)*100</f>
        <v>6.1322081575246212</v>
      </c>
      <c r="N139" s="1470"/>
      <c r="O139" s="1535">
        <f>(G139/M139)*100</f>
        <v>81.941372621839193</v>
      </c>
      <c r="P139" s="1472"/>
      <c r="Q139" s="1472"/>
      <c r="R139" s="1537">
        <f>SUM(R135:R138)</f>
        <v>2811.9189999999999</v>
      </c>
      <c r="S139" s="1538"/>
      <c r="T139" s="1539">
        <f>SUM(T135:T138)</f>
        <v>2.9700803191446838</v>
      </c>
      <c r="U139" s="1479"/>
      <c r="V139" s="1584">
        <f>T139/T132-1</f>
        <v>3.7053286996198143E-3</v>
      </c>
      <c r="W139" s="1479"/>
      <c r="X139" s="1611"/>
      <c r="Y139" s="1470"/>
      <c r="Z139" s="1574">
        <f>AVERAGEA(Z135:Z138)</f>
        <v>5.4168681249999997</v>
      </c>
      <c r="AA139" s="1470"/>
      <c r="AB139" s="1534">
        <f>(Z139/Z132-1)*100</f>
        <v>9.4548085312572852</v>
      </c>
      <c r="AC139" s="1470"/>
      <c r="AD139" s="1535">
        <f>(G139/AB139)*100</f>
        <v>53.145608604258832</v>
      </c>
      <c r="AE139" s="1472"/>
      <c r="AF139" s="1472"/>
      <c r="AG139" s="1537">
        <f>SUM(AG135:AG138)</f>
        <v>2811.9189999999999</v>
      </c>
      <c r="AH139" s="1538"/>
      <c r="AI139" s="1585">
        <f>SUM(AI135:AI138)</f>
        <v>516.90729632004673</v>
      </c>
      <c r="AJ139" s="1479"/>
      <c r="AK139" s="1584">
        <f>AI139/AI132-1</f>
        <v>-2.5715176516766358E-2</v>
      </c>
      <c r="AL139" s="1470"/>
      <c r="AM139" s="1631">
        <v>243.5</v>
      </c>
      <c r="AN139" s="1632"/>
      <c r="AO139" s="1613">
        <f>AM139/AM132-1</f>
        <v>0.56692406692406694</v>
      </c>
      <c r="AP139" s="1613"/>
      <c r="AQ139" s="1291">
        <f>AM139/AM139</f>
        <v>1</v>
      </c>
      <c r="AR139" s="1470"/>
      <c r="AS139" s="1303">
        <f>AM139/(R139+AM139)</f>
        <v>7.9694470709254603E-2</v>
      </c>
      <c r="AT139" s="1470"/>
      <c r="AU139" s="1303"/>
      <c r="AV139" s="1473"/>
      <c r="AW139" s="1613"/>
      <c r="AX139" s="1470"/>
      <c r="AY139" s="1470"/>
      <c r="AZ139" s="1470"/>
      <c r="BA139" s="1470"/>
      <c r="BB139" s="1470"/>
      <c r="BC139" s="1470"/>
      <c r="BD139" s="1470"/>
      <c r="BE139" s="1538"/>
      <c r="BF139" s="1472"/>
      <c r="BG139" s="1591"/>
      <c r="BH139" s="1538"/>
      <c r="BI139" s="1561"/>
      <c r="BJ139" s="1538"/>
      <c r="BK139" s="1538"/>
      <c r="BL139" s="1538"/>
      <c r="BM139" s="1561"/>
    </row>
    <row r="140" spans="1:65" ht="10.5" hidden="1" customHeight="1" outlineLevel="1">
      <c r="A140" s="1531"/>
      <c r="B140" s="1578"/>
      <c r="C140" s="1579"/>
      <c r="D140" s="1529"/>
      <c r="E140" s="1635"/>
      <c r="F140" s="1470"/>
      <c r="G140" s="1565"/>
      <c r="H140" s="1470"/>
      <c r="I140" s="1566">
        <v>1099</v>
      </c>
      <c r="J140" s="1652"/>
      <c r="K140" s="1534"/>
      <c r="L140" s="1470"/>
      <c r="M140" s="1534"/>
      <c r="N140" s="1470"/>
      <c r="O140" s="1535"/>
      <c r="P140" s="1472"/>
      <c r="Q140" s="1472"/>
      <c r="R140" s="1537"/>
      <c r="S140" s="1538"/>
      <c r="T140" s="1539"/>
      <c r="U140" s="1479"/>
      <c r="V140" s="1584"/>
      <c r="W140" s="1479"/>
      <c r="X140" s="1611"/>
      <c r="Y140" s="1470"/>
      <c r="Z140" s="1574"/>
      <c r="AA140" s="1470"/>
      <c r="AB140" s="1534"/>
      <c r="AC140" s="1470"/>
      <c r="AD140" s="1535"/>
      <c r="AE140" s="1472"/>
      <c r="AF140" s="1472"/>
      <c r="AG140" s="1537"/>
      <c r="AH140" s="1538"/>
      <c r="AI140" s="1585"/>
      <c r="AJ140" s="1479"/>
      <c r="AK140" s="1584"/>
      <c r="AL140" s="1470"/>
      <c r="AM140" s="1470"/>
      <c r="AN140" s="1472"/>
      <c r="AO140" s="1206"/>
      <c r="AP140" s="1206"/>
      <c r="AQ140" s="1206"/>
      <c r="AR140" s="1206"/>
      <c r="AS140" s="1206"/>
      <c r="AT140" s="1206"/>
      <c r="AU140" s="1206"/>
      <c r="AV140" s="1473"/>
      <c r="AW140" s="1206"/>
      <c r="AX140" s="1470"/>
      <c r="AY140" s="1470"/>
      <c r="AZ140" s="1470"/>
      <c r="BA140" s="1470"/>
      <c r="BB140" s="1470"/>
      <c r="BC140" s="1470"/>
      <c r="BD140" s="1470"/>
      <c r="BE140" s="1538"/>
      <c r="BF140" s="1472"/>
      <c r="BG140" s="1591"/>
      <c r="BH140" s="1538"/>
      <c r="BI140" s="1561"/>
      <c r="BJ140" s="1538"/>
      <c r="BK140" s="1538"/>
      <c r="BL140" s="1538"/>
      <c r="BM140" s="1561"/>
    </row>
    <row r="141" spans="1:65" ht="10.5" hidden="1" customHeight="1" outlineLevel="1">
      <c r="A141" s="1580" t="s">
        <v>257</v>
      </c>
      <c r="B141" s="1499"/>
      <c r="C141" s="1499"/>
      <c r="D141" s="1499"/>
      <c r="E141" s="1499"/>
      <c r="F141" s="1499"/>
      <c r="G141" s="1499"/>
      <c r="H141" s="1499"/>
      <c r="I141" s="1571"/>
      <c r="J141" s="1653"/>
      <c r="K141" s="1499"/>
      <c r="L141" s="1499"/>
      <c r="M141" s="1572"/>
      <c r="N141" s="1499"/>
      <c r="O141" s="1628"/>
      <c r="P141" s="1499"/>
      <c r="Q141" s="1499"/>
      <c r="R141" s="1499"/>
      <c r="S141" s="1499"/>
      <c r="T141" s="1530"/>
      <c r="U141" s="1530"/>
      <c r="V141" s="1303"/>
      <c r="W141" s="1479"/>
      <c r="X141" s="1654"/>
      <c r="Y141" s="1499"/>
      <c r="Z141" s="1499"/>
      <c r="AA141" s="1499"/>
      <c r="AB141" s="1572"/>
      <c r="AC141" s="1499"/>
      <c r="AD141" s="1551"/>
      <c r="AE141" s="1499"/>
      <c r="AF141" s="1499"/>
      <c r="AG141" s="1499"/>
      <c r="AH141" s="1499"/>
      <c r="AI141" s="1530"/>
      <c r="AJ141" s="1530"/>
      <c r="AK141" s="1303"/>
      <c r="AL141" s="1487"/>
      <c r="AM141" s="1512"/>
      <c r="AN141" s="1514"/>
      <c r="AO141" s="1487"/>
      <c r="AP141" s="1487"/>
      <c r="AQ141" s="1487"/>
      <c r="AR141" s="1487"/>
      <c r="AS141" s="1487"/>
      <c r="AT141" s="1487"/>
      <c r="AU141" s="1487"/>
      <c r="AV141" s="1473"/>
      <c r="AW141" s="1487"/>
      <c r="AX141" s="1487"/>
      <c r="AY141" s="1487"/>
      <c r="AZ141" s="1487"/>
      <c r="BA141" s="1487"/>
      <c r="BB141" s="1487"/>
      <c r="BC141" s="1487"/>
      <c r="BD141" s="1487"/>
      <c r="BE141" s="1487"/>
      <c r="BF141" s="1487"/>
      <c r="BG141" s="1487"/>
      <c r="BH141" s="1487"/>
      <c r="BI141" s="1487"/>
      <c r="BJ141" s="1487"/>
      <c r="BK141" s="1487"/>
      <c r="BL141" s="1487"/>
      <c r="BM141" s="1487"/>
    </row>
    <row r="142" spans="1:65" ht="10.5" hidden="1" customHeight="1" outlineLevel="1">
      <c r="A142" s="1531" t="s">
        <v>758</v>
      </c>
      <c r="B142" s="1573"/>
      <c r="C142" s="1581">
        <f>(R142/R135-1)*100</f>
        <v>2.8320541555503453</v>
      </c>
      <c r="D142" s="1573" t="s">
        <v>697</v>
      </c>
      <c r="E142" s="1646">
        <f>'qtrP&amp;L'!BF10</f>
        <v>-6</v>
      </c>
      <c r="F142" s="1573" t="s">
        <v>697</v>
      </c>
      <c r="G142" s="1565">
        <f>C142-E142</f>
        <v>8.8320541555503453</v>
      </c>
      <c r="H142" s="1573" t="s">
        <v>697</v>
      </c>
      <c r="I142" s="1639">
        <f>I138+15+16+3-3</f>
        <v>1018</v>
      </c>
      <c r="J142" s="1647">
        <f>I142-I138</f>
        <v>31</v>
      </c>
      <c r="K142" s="1534">
        <f>(I142+I138)/2</f>
        <v>1002.5</v>
      </c>
      <c r="L142" s="1573"/>
      <c r="M142" s="1534">
        <f>(K142/K135-1)*100</f>
        <v>9.3835242771413085</v>
      </c>
      <c r="N142" s="1573" t="s">
        <v>697</v>
      </c>
      <c r="O142" s="1535">
        <f>(G142/M142)*100</f>
        <v>94.122995739091664</v>
      </c>
      <c r="P142" s="1573" t="s">
        <v>697</v>
      </c>
      <c r="Q142" s="1573"/>
      <c r="R142" s="1630">
        <f>'qtrP&amp;L'!BD10-AM142</f>
        <v>588.18083999999999</v>
      </c>
      <c r="S142" s="1557"/>
      <c r="T142" s="1539">
        <f xml:space="preserve"> R142/K142</f>
        <v>0.58671405486284289</v>
      </c>
      <c r="U142" s="1479"/>
      <c r="V142" s="1584">
        <f>T142/T135-1</f>
        <v>-5.9894487445766642E-2</v>
      </c>
      <c r="W142" s="1479"/>
      <c r="X142" s="1641">
        <v>5.8886289999999999</v>
      </c>
      <c r="Y142" s="1600"/>
      <c r="Z142" s="1574">
        <f>(X142+X138)/2</f>
        <v>5.7992805000000001</v>
      </c>
      <c r="AA142" s="1573"/>
      <c r="AB142" s="1534">
        <f>(Z142/Z135-1)*100</f>
        <v>11.202810482011817</v>
      </c>
      <c r="AC142" s="1573" t="s">
        <v>697</v>
      </c>
      <c r="AD142" s="1535">
        <f>(G142/AB142)*100</f>
        <v>78.837843144198871</v>
      </c>
      <c r="AE142" s="1573" t="s">
        <v>697</v>
      </c>
      <c r="AF142" s="1573"/>
      <c r="AG142" s="1538">
        <f>R142</f>
        <v>588.18083999999999</v>
      </c>
      <c r="AH142" s="1557"/>
      <c r="AI142" s="1640">
        <f xml:space="preserve"> AG142/Z142</f>
        <v>101.42307136204224</v>
      </c>
      <c r="AJ142" s="1479"/>
      <c r="AK142" s="1584">
        <f>AI142/AI135-1</f>
        <v>-7.5274683168331635E-2</v>
      </c>
      <c r="AL142" s="1470"/>
      <c r="AM142" s="1655">
        <f>+AM135*(1+AO142)</f>
        <v>52.121160000000003</v>
      </c>
      <c r="AN142" s="1651"/>
      <c r="AO142" s="111">
        <v>0.28999999999999998</v>
      </c>
      <c r="AP142" s="111"/>
      <c r="AQ142" s="1291">
        <f>AM142/AM146</f>
        <v>0.16977576547231271</v>
      </c>
      <c r="AR142" s="1602"/>
      <c r="AS142" s="1303">
        <f>AM142/(R142+AM142)</f>
        <v>8.1400901449628457E-2</v>
      </c>
      <c r="AT142" s="1602"/>
      <c r="AU142" s="1303"/>
      <c r="AV142" s="1473"/>
      <c r="AW142" s="111"/>
      <c r="AX142" s="1206"/>
      <c r="AY142" s="1470"/>
      <c r="AZ142" s="1470"/>
      <c r="BA142" s="1470"/>
      <c r="BB142" s="1470"/>
      <c r="BC142" s="1470"/>
      <c r="BD142" s="1470"/>
      <c r="BE142" s="1538"/>
      <c r="BF142" s="1472"/>
      <c r="BG142" s="1591">
        <f>0.724*492</f>
        <v>356.20799999999997</v>
      </c>
      <c r="BH142" s="1538"/>
      <c r="BI142" s="1561"/>
      <c r="BJ142" s="1538"/>
      <c r="BK142" s="1538"/>
      <c r="BL142" s="1538"/>
      <c r="BM142" s="1604"/>
    </row>
    <row r="143" spans="1:65" ht="10.5" hidden="1" customHeight="1" outlineLevel="1">
      <c r="A143" s="1531" t="s">
        <v>759</v>
      </c>
      <c r="B143" s="1573"/>
      <c r="C143" s="1581">
        <f>(R143/R136-1)*100</f>
        <v>-3.8842793720409663</v>
      </c>
      <c r="D143" s="1573"/>
      <c r="E143" s="1646">
        <v>-9</v>
      </c>
      <c r="F143" s="1573"/>
      <c r="G143" s="1565">
        <f>C143-E143</f>
        <v>5.1157206279590337</v>
      </c>
      <c r="H143" s="1573"/>
      <c r="I143" s="1639">
        <f>875+76+81+22</f>
        <v>1054</v>
      </c>
      <c r="J143" s="1647">
        <f>I143-I142</f>
        <v>36</v>
      </c>
      <c r="K143" s="1534">
        <f>AVERAGEA(I142,I143)</f>
        <v>1036</v>
      </c>
      <c r="L143" s="1573"/>
      <c r="M143" s="1534">
        <f>(K143/K136-1)*100</f>
        <v>12.000000000000011</v>
      </c>
      <c r="N143" s="1573"/>
      <c r="O143" s="1535">
        <f>(G143/M143)*100</f>
        <v>42.63100523299191</v>
      </c>
      <c r="P143" s="1573"/>
      <c r="Q143" s="1573"/>
      <c r="R143" s="1605">
        <f>'qtrP&amp;L'!BD11-AM143</f>
        <v>625.8950000000001</v>
      </c>
      <c r="S143" s="1557"/>
      <c r="T143" s="1255">
        <f xml:space="preserve"> R143/K143</f>
        <v>0.60414575289575301</v>
      </c>
      <c r="U143" s="1479"/>
      <c r="V143" s="1584">
        <f>T143/T136-1</f>
        <v>-0.14182392296465152</v>
      </c>
      <c r="W143" s="1479"/>
      <c r="X143" s="1641">
        <v>6.0928550000000001</v>
      </c>
      <c r="Y143" s="1600"/>
      <c r="Z143" s="1574">
        <f>AVERAGEA(X142,X143)</f>
        <v>5.990742</v>
      </c>
      <c r="AA143" s="1573"/>
      <c r="AB143" s="1534">
        <f>(Z143/Z136-1)*100</f>
        <v>12.952948385576235</v>
      </c>
      <c r="AC143" s="1573"/>
      <c r="AD143" s="1535">
        <f>(G143/AB143)*100</f>
        <v>39.49464226735936</v>
      </c>
      <c r="AE143" s="1573"/>
      <c r="AF143" s="1573"/>
      <c r="AG143" s="1557">
        <f>R143</f>
        <v>625.8950000000001</v>
      </c>
      <c r="AH143" s="1557"/>
      <c r="AI143" s="1587">
        <f xml:space="preserve"> AG143/Z143</f>
        <v>104.47704140822624</v>
      </c>
      <c r="AJ143" s="1479"/>
      <c r="AK143" s="1584">
        <f>AI143/AI136-1</f>
        <v>-0.14906408374699209</v>
      </c>
      <c r="AL143" s="1470"/>
      <c r="AM143" s="1655">
        <f>+AM136*(1+AO143)</f>
        <v>62.92</v>
      </c>
      <c r="AN143" s="1651"/>
      <c r="AO143" s="1613">
        <v>0.21</v>
      </c>
      <c r="AP143" s="1613"/>
      <c r="AQ143" s="1291">
        <f>AM143/AM146</f>
        <v>0.20495114006514659</v>
      </c>
      <c r="AR143" s="1602"/>
      <c r="AS143" s="1303">
        <f>AM143/(R143+AM143)</f>
        <v>9.1345281389052208E-2</v>
      </c>
      <c r="AT143" s="1602"/>
      <c r="AU143" s="1303"/>
      <c r="AV143" s="1473"/>
      <c r="AW143" s="1613"/>
      <c r="AX143" s="1206"/>
      <c r="AY143" s="1470"/>
      <c r="AZ143" s="1470"/>
      <c r="BA143" s="1470"/>
      <c r="BB143" s="1470"/>
      <c r="BC143" s="1470"/>
      <c r="BD143" s="1470"/>
      <c r="BE143" s="1557"/>
      <c r="BF143" s="1472"/>
      <c r="BG143" s="1592"/>
      <c r="BH143" s="1557"/>
      <c r="BI143" s="1561"/>
      <c r="BJ143" s="1557"/>
      <c r="BK143" s="1557"/>
      <c r="BL143" s="1557"/>
      <c r="BM143" s="1604"/>
    </row>
    <row r="144" spans="1:65" ht="10.5" hidden="1" customHeight="1" outlineLevel="1">
      <c r="A144" s="1531" t="s">
        <v>760</v>
      </c>
      <c r="B144" s="1573"/>
      <c r="C144" s="1581">
        <f>(R144/R137-1)*100</f>
        <v>-1.6405632024872885</v>
      </c>
      <c r="D144" s="1573"/>
      <c r="E144" s="1646">
        <v>-7</v>
      </c>
      <c r="F144" s="1573"/>
      <c r="G144" s="1565">
        <f>C144-E144</f>
        <v>5.3594367975127115</v>
      </c>
      <c r="H144" s="1573"/>
      <c r="I144" s="1639">
        <f>959+114+28</f>
        <v>1101</v>
      </c>
      <c r="J144" s="1647">
        <f>I144-I143</f>
        <v>47</v>
      </c>
      <c r="K144" s="1534">
        <f>AVERAGEA(I143,I144)</f>
        <v>1077.5</v>
      </c>
      <c r="L144" s="1573"/>
      <c r="M144" s="1534">
        <f>(K144/K137-1)*100</f>
        <v>13.301787592008418</v>
      </c>
      <c r="N144" s="1573"/>
      <c r="O144" s="1535">
        <f>(G144/M144)*100</f>
        <v>40.291101932289223</v>
      </c>
      <c r="P144" s="1573"/>
      <c r="Q144" s="1573"/>
      <c r="R144" s="1605">
        <f>'qtrP&amp;L'!BD12-AM144</f>
        <v>673.21427999999992</v>
      </c>
      <c r="S144" s="1557"/>
      <c r="T144" s="1255">
        <f xml:space="preserve"> R144/K144</f>
        <v>0.62479283526682128</v>
      </c>
      <c r="U144" s="1479"/>
      <c r="V144" s="1584">
        <f>T144/T137-1</f>
        <v>-0.13188098009805482</v>
      </c>
      <c r="W144" s="1479"/>
      <c r="X144" s="1641">
        <v>6.3104019999999998</v>
      </c>
      <c r="Y144" s="1600"/>
      <c r="Z144" s="1574">
        <f>AVERAGEA(X143,X144)</f>
        <v>6.2016285</v>
      </c>
      <c r="AA144" s="1573"/>
      <c r="AB144" s="1534">
        <f>(Z144/Z137-1)*100</f>
        <v>13.076147179919451</v>
      </c>
      <c r="AC144" s="1573"/>
      <c r="AD144" s="1535">
        <f>(G144/AB144)*100</f>
        <v>40.986360307591198</v>
      </c>
      <c r="AE144" s="1573"/>
      <c r="AF144" s="1573"/>
      <c r="AG144" s="1557">
        <f>R144</f>
        <v>673.21427999999992</v>
      </c>
      <c r="AH144" s="1557"/>
      <c r="AI144" s="1587">
        <f xml:space="preserve"> AG144/Z144</f>
        <v>108.55443533904037</v>
      </c>
      <c r="AJ144" s="1479"/>
      <c r="AK144" s="1584">
        <f>AI144/AI137-1</f>
        <v>-0.13014867192981427</v>
      </c>
      <c r="AL144" s="1470"/>
      <c r="AM144" s="1655">
        <f>AM146-AM145-AM142-AM143</f>
        <v>80.821720000000013</v>
      </c>
      <c r="AN144" s="1651"/>
      <c r="AO144" s="1613">
        <v>0.35</v>
      </c>
      <c r="AP144" s="1613"/>
      <c r="AQ144" s="1291">
        <f>AM144/AM146</f>
        <v>0.26326293159609127</v>
      </c>
      <c r="AR144" s="1602"/>
      <c r="AS144" s="1303">
        <f>AM144/(R144+AM144)</f>
        <v>0.10718549246985558</v>
      </c>
      <c r="AT144" s="1602"/>
      <c r="AU144" s="1303"/>
      <c r="AV144" s="1473"/>
      <c r="AW144" s="1613"/>
      <c r="AX144" s="1206"/>
      <c r="AY144" s="1470"/>
      <c r="AZ144" s="1470"/>
      <c r="BA144" s="1470"/>
      <c r="BB144" s="1470"/>
      <c r="BC144" s="1470"/>
      <c r="BD144" s="1470"/>
      <c r="BE144" s="1557"/>
      <c r="BF144" s="1472"/>
      <c r="BG144" s="1592"/>
      <c r="BH144" s="1557"/>
      <c r="BI144" s="1561"/>
      <c r="BJ144" s="1557"/>
      <c r="BK144" s="1557"/>
      <c r="BL144" s="1557"/>
      <c r="BM144" s="1604"/>
    </row>
    <row r="145" spans="1:65" ht="10.5" hidden="1" customHeight="1" outlineLevel="1">
      <c r="A145" s="1531" t="s">
        <v>761</v>
      </c>
      <c r="B145" s="1573"/>
      <c r="C145" s="1570">
        <f>(R145/R138-1)*100</f>
        <v>-12.134083080376644</v>
      </c>
      <c r="D145" s="1573"/>
      <c r="E145" s="1649">
        <v>-16</v>
      </c>
      <c r="F145" s="1573"/>
      <c r="G145" s="1565">
        <f>C145-E145</f>
        <v>3.8659169196233556</v>
      </c>
      <c r="H145" s="1573"/>
      <c r="I145" s="1606">
        <f>yrSales!P19</f>
        <v>1098</v>
      </c>
      <c r="J145" s="1647">
        <f>I145-I144</f>
        <v>-3</v>
      </c>
      <c r="K145" s="1545">
        <f>AVERAGEA(I144,I145)</f>
        <v>1099.5</v>
      </c>
      <c r="L145" s="1573"/>
      <c r="M145" s="1545">
        <f>(K145/K138-1)*100</f>
        <v>12.136664966853639</v>
      </c>
      <c r="N145" s="1573"/>
      <c r="O145" s="1475">
        <f>(G145/M145)*100</f>
        <v>31.853206215888257</v>
      </c>
      <c r="P145" s="1573"/>
      <c r="Q145" s="1573"/>
      <c r="R145" s="1607">
        <f>'qtrP&amp;L'!BD13-AM145</f>
        <v>794.57587999999998</v>
      </c>
      <c r="S145" s="1557"/>
      <c r="T145" s="1562">
        <f xml:space="preserve"> R145/K145</f>
        <v>0.72267019554342882</v>
      </c>
      <c r="U145" s="1479"/>
      <c r="V145" s="1589">
        <f>T145/T138-1</f>
        <v>-0.21643900373178082</v>
      </c>
      <c r="W145" s="1479"/>
      <c r="X145" s="1641">
        <v>6.3281669999999997</v>
      </c>
      <c r="Y145" s="1600"/>
      <c r="Z145" s="1577">
        <f>AVERAGEA(X144,X145)</f>
        <v>6.3192845000000002</v>
      </c>
      <c r="AA145" s="1573"/>
      <c r="AB145" s="1545">
        <f>(Z145/Z138-1)*100</f>
        <v>11.565289944587075</v>
      </c>
      <c r="AC145" s="1573"/>
      <c r="AD145" s="1475">
        <f>(G145/AB145)*100</f>
        <v>33.426891484313614</v>
      </c>
      <c r="AE145" s="1573"/>
      <c r="AF145" s="1573"/>
      <c r="AG145" s="1544">
        <f>R145</f>
        <v>794.57587999999998</v>
      </c>
      <c r="AH145" s="1557"/>
      <c r="AI145" s="1590">
        <f xml:space="preserve"> AG145/Z145</f>
        <v>125.73826672940584</v>
      </c>
      <c r="AJ145" s="1479"/>
      <c r="AK145" s="1589">
        <f>AI145/AI138-1</f>
        <v>-0.21242604251496922</v>
      </c>
      <c r="AL145" s="1470"/>
      <c r="AM145" s="1656">
        <f>AM138*1.22</f>
        <v>111.13712</v>
      </c>
      <c r="AN145" s="1651"/>
      <c r="AO145" s="1615">
        <v>0.22</v>
      </c>
      <c r="AP145" s="1616"/>
      <c r="AQ145" s="1609">
        <f>AM145/AM146</f>
        <v>0.36201016286644949</v>
      </c>
      <c r="AR145" s="1603"/>
      <c r="AS145" s="1594">
        <f>AM145/(R145+AM145)</f>
        <v>0.12270677355851137</v>
      </c>
      <c r="AT145" s="1603"/>
      <c r="AU145" s="1561"/>
      <c r="AV145" s="1473"/>
      <c r="AW145" s="1616"/>
      <c r="AX145" s="1206"/>
      <c r="AY145" s="1470"/>
      <c r="AZ145" s="1470"/>
      <c r="BA145" s="1470"/>
      <c r="BB145" s="1470"/>
      <c r="BC145" s="1470"/>
      <c r="BD145" s="1470"/>
      <c r="BE145" s="1557"/>
      <c r="BF145" s="1472"/>
      <c r="BG145" s="1592"/>
      <c r="BH145" s="1557"/>
      <c r="BI145" s="1561"/>
      <c r="BJ145" s="1557"/>
      <c r="BK145" s="1557"/>
      <c r="BL145" s="1557"/>
      <c r="BM145" s="1604"/>
    </row>
    <row r="146" spans="1:65" ht="10.5" hidden="1" customHeight="1" outlineLevel="1">
      <c r="A146" s="1531" t="s">
        <v>762</v>
      </c>
      <c r="B146" s="1578"/>
      <c r="C146" s="1579">
        <f>(R146/R139-1)*100</f>
        <v>-4.6250621017177256</v>
      </c>
      <c r="D146" s="1529"/>
      <c r="E146" s="1635">
        <f>R142/R146*E142+R143/R146*E143+R144/R146*E144+R145/R146*E145</f>
        <v>-9.9139383101169116</v>
      </c>
      <c r="F146" s="1470"/>
      <c r="G146" s="1565">
        <f>C146-E146</f>
        <v>5.288876208399186</v>
      </c>
      <c r="H146" s="1470"/>
      <c r="I146" s="1566"/>
      <c r="J146" s="1470"/>
      <c r="K146" s="1534">
        <f>AVERAGEA(K142:K145)</f>
        <v>1053.875</v>
      </c>
      <c r="L146" s="1470"/>
      <c r="M146" s="1534">
        <f>(K146/K139-1)*100</f>
        <v>11.728067850516833</v>
      </c>
      <c r="N146" s="1470"/>
      <c r="O146" s="1535">
        <f>(G146/M146)*100</f>
        <v>45.09588685715282</v>
      </c>
      <c r="P146" s="1472"/>
      <c r="Q146" s="1472"/>
      <c r="R146" s="1537">
        <f>SUM(R142:R145)</f>
        <v>2681.866</v>
      </c>
      <c r="S146" s="1538"/>
      <c r="T146" s="1539">
        <f>SUM(T142:T145)</f>
        <v>2.5383228385688459</v>
      </c>
      <c r="U146" s="1479"/>
      <c r="V146" s="1584">
        <f>T146/T139-1</f>
        <v>-0.14536895779982628</v>
      </c>
      <c r="W146" s="1479"/>
      <c r="X146" s="1611"/>
      <c r="Y146" s="1470"/>
      <c r="Z146" s="1574">
        <f>AVERAGEA(Z142:Z145)</f>
        <v>6.0777338749999998</v>
      </c>
      <c r="AA146" s="1470"/>
      <c r="AB146" s="1534">
        <f>(Z146/Z139-1)*100</f>
        <v>12.200144710002526</v>
      </c>
      <c r="AC146" s="1470"/>
      <c r="AD146" s="1535">
        <f>(G146/AB146)*100</f>
        <v>43.350930125140216</v>
      </c>
      <c r="AE146" s="1472"/>
      <c r="AF146" s="1472"/>
      <c r="AG146" s="1537">
        <f>SUM(AG142:AG145)</f>
        <v>2681.866</v>
      </c>
      <c r="AH146" s="1538"/>
      <c r="AI146" s="1585">
        <f>SUM(AI142:AI145)</f>
        <v>440.1928148387147</v>
      </c>
      <c r="AJ146" s="1479"/>
      <c r="AK146" s="1584">
        <f>AI146/AI139-1</f>
        <v>-0.14841052163023394</v>
      </c>
      <c r="AL146" s="1470"/>
      <c r="AM146" s="1636">
        <v>307</v>
      </c>
      <c r="AN146" s="1632"/>
      <c r="AO146" s="1206">
        <f>+AM146/AM139-1</f>
        <v>0.26078028747433257</v>
      </c>
      <c r="AP146" s="1206"/>
      <c r="AQ146" s="1291">
        <f>AM146/AM146</f>
        <v>1</v>
      </c>
      <c r="AR146" s="1470"/>
      <c r="AS146" s="1303">
        <f>AM146/(R146+AM146)</f>
        <v>0.10271454123403324</v>
      </c>
      <c r="AT146" s="1470"/>
      <c r="AU146" s="1303"/>
      <c r="AV146" s="1473"/>
      <c r="AW146" s="1206"/>
      <c r="AX146" s="1470"/>
      <c r="AY146" s="1470"/>
      <c r="AZ146" s="1470"/>
      <c r="BA146" s="1470"/>
      <c r="BB146" s="1470"/>
      <c r="BC146" s="1470"/>
      <c r="BD146" s="1470"/>
      <c r="BE146" s="1538"/>
      <c r="BF146" s="1472"/>
      <c r="BG146" s="1591"/>
      <c r="BH146" s="1538"/>
      <c r="BI146" s="1561"/>
      <c r="BJ146" s="1538"/>
      <c r="BK146" s="1538"/>
      <c r="BL146" s="1538"/>
      <c r="BM146" s="1561"/>
    </row>
    <row r="147" spans="1:65" ht="10.5" hidden="1" customHeight="1" outlineLevel="1">
      <c r="A147" s="1531"/>
      <c r="B147" s="1578"/>
      <c r="C147" s="1579"/>
      <c r="D147" s="1529"/>
      <c r="E147" s="1579"/>
      <c r="F147" s="1470"/>
      <c r="G147" s="1565"/>
      <c r="H147" s="1470"/>
      <c r="I147" s="1566"/>
      <c r="J147" s="1470"/>
      <c r="K147" s="1534"/>
      <c r="L147" s="1470"/>
      <c r="M147" s="1534"/>
      <c r="N147" s="1470"/>
      <c r="O147" s="1535"/>
      <c r="P147" s="1472"/>
      <c r="Q147" s="1472"/>
      <c r="R147" s="1537"/>
      <c r="S147" s="1538"/>
      <c r="T147" s="1539"/>
      <c r="U147" s="1479"/>
      <c r="V147" s="1555"/>
      <c r="W147" s="1479"/>
      <c r="X147" s="1612"/>
      <c r="Y147" s="1470"/>
      <c r="Z147" s="1534"/>
      <c r="AA147" s="1470"/>
      <c r="AB147" s="1534"/>
      <c r="AC147" s="1470"/>
      <c r="AD147" s="1535"/>
      <c r="AE147" s="1472"/>
      <c r="AF147" s="1472"/>
      <c r="AG147" s="1537"/>
      <c r="AH147" s="1538"/>
      <c r="AI147" s="1539"/>
      <c r="AJ147" s="1479"/>
      <c r="AK147" s="1555"/>
      <c r="AL147" s="1470"/>
      <c r="AM147" s="1470"/>
      <c r="AN147" s="1472"/>
      <c r="AO147" s="1470"/>
      <c r="AP147" s="1470"/>
      <c r="AQ147" s="1470"/>
      <c r="AR147" s="1470"/>
      <c r="AS147" s="1470"/>
      <c r="AT147" s="1470"/>
      <c r="AU147" s="1470"/>
      <c r="AV147" s="1473"/>
      <c r="AW147" s="1470"/>
      <c r="AX147" s="1470"/>
      <c r="AY147" s="1470"/>
      <c r="AZ147" s="1470"/>
      <c r="BA147" s="1470"/>
      <c r="BB147" s="1470"/>
      <c r="BC147" s="1470"/>
      <c r="BD147" s="1470"/>
      <c r="BE147" s="1470"/>
      <c r="BF147" s="1470"/>
      <c r="BG147" s="1470"/>
      <c r="BH147" s="1470"/>
      <c r="BI147" s="1470"/>
      <c r="BJ147" s="1470"/>
      <c r="BK147" s="1470"/>
      <c r="BL147" s="1470"/>
      <c r="BM147" s="1470"/>
    </row>
    <row r="148" spans="1:65" ht="12" hidden="1" customHeight="1" outlineLevel="1">
      <c r="A148" s="1580" t="s">
        <v>747</v>
      </c>
      <c r="B148" s="1499"/>
      <c r="C148" s="1499"/>
      <c r="D148" s="1499"/>
      <c r="E148" s="1499"/>
      <c r="F148" s="1499"/>
      <c r="G148" s="1499"/>
      <c r="H148" s="1499"/>
      <c r="I148" s="1657" t="s">
        <v>191</v>
      </c>
      <c r="J148" s="1499"/>
      <c r="K148" s="1499"/>
      <c r="L148" s="1499"/>
      <c r="M148" s="1572"/>
      <c r="N148" s="1499"/>
      <c r="O148" s="1628"/>
      <c r="P148" s="1499"/>
      <c r="Q148" s="1499"/>
      <c r="R148" s="1499"/>
      <c r="S148" s="1499"/>
      <c r="T148" s="1530"/>
      <c r="U148" s="1530"/>
      <c r="V148" s="1303"/>
      <c r="W148" s="1479"/>
      <c r="X148" s="1654"/>
      <c r="Y148" s="1499"/>
      <c r="Z148" s="1499"/>
      <c r="AA148" s="1499"/>
      <c r="AB148" s="1572"/>
      <c r="AC148" s="1499"/>
      <c r="AD148" s="1551"/>
      <c r="AE148" s="1499"/>
      <c r="AF148" s="1499"/>
      <c r="AG148" s="1499"/>
      <c r="AH148" s="1499"/>
      <c r="AI148" s="1530"/>
      <c r="AJ148" s="1530"/>
      <c r="AK148" s="1303"/>
      <c r="AL148" s="1487"/>
      <c r="AM148" s="1512"/>
      <c r="AN148" s="1514"/>
      <c r="AO148" s="1487"/>
      <c r="AP148" s="1487"/>
      <c r="AQ148" s="1487"/>
      <c r="AR148" s="1487"/>
      <c r="AS148" s="1487"/>
      <c r="AT148" s="1487"/>
      <c r="AU148" s="1487"/>
      <c r="AV148" s="1473"/>
      <c r="AW148" s="1487"/>
      <c r="AX148" s="1487"/>
      <c r="AY148" s="1504"/>
      <c r="AZ148" s="1487"/>
      <c r="BA148" s="1487"/>
      <c r="BB148" s="1487"/>
      <c r="BC148" s="1487"/>
      <c r="BD148" s="1487"/>
      <c r="BE148" s="1487"/>
      <c r="BF148" s="1487"/>
      <c r="BG148" s="1487"/>
      <c r="BH148" s="1487"/>
      <c r="BI148" s="1487"/>
      <c r="BJ148" s="1487"/>
      <c r="BK148" s="1487"/>
      <c r="BL148" s="1487"/>
      <c r="BM148" s="1487"/>
    </row>
    <row r="149" spans="1:65" ht="12" hidden="1" customHeight="1" outlineLevel="1">
      <c r="A149" s="1531" t="s">
        <v>758</v>
      </c>
      <c r="B149" s="1573"/>
      <c r="C149" s="1581">
        <f>(R149/R142-1)*100</f>
        <v>-9.9139305523791137</v>
      </c>
      <c r="D149" s="1573" t="s">
        <v>697</v>
      </c>
      <c r="E149" s="1646">
        <f>'qtrP&amp;L'!BJ10</f>
        <v>-10</v>
      </c>
      <c r="F149" s="1573" t="s">
        <v>697</v>
      </c>
      <c r="G149" s="1565">
        <f>C149-E149</f>
        <v>8.6069447620886308E-2</v>
      </c>
      <c r="H149" s="1573" t="s">
        <v>697</v>
      </c>
      <c r="I149" s="1639">
        <f>953+129+28-28</f>
        <v>1082</v>
      </c>
      <c r="J149" s="1647">
        <f>I149-I145</f>
        <v>-16</v>
      </c>
      <c r="K149" s="1534">
        <f>(I149+I145)/2</f>
        <v>1090</v>
      </c>
      <c r="L149" s="1573"/>
      <c r="M149" s="1532">
        <f>(K149/K142-1)*100</f>
        <v>8.7281795511221958</v>
      </c>
      <c r="N149" s="1573" t="s">
        <v>697</v>
      </c>
      <c r="O149" s="1535">
        <f>(G149/M149)*100</f>
        <v>0.98610995702786874</v>
      </c>
      <c r="P149" s="1573" t="s">
        <v>697</v>
      </c>
      <c r="Q149" s="1573"/>
      <c r="R149" s="1630">
        <f>'qtrP&amp;L'!BH10-AM149</f>
        <v>529.86899999999991</v>
      </c>
      <c r="S149" s="1557"/>
      <c r="T149" s="1539">
        <f xml:space="preserve"> R149/K149</f>
        <v>0.48611834862385311</v>
      </c>
      <c r="U149" s="1479"/>
      <c r="V149" s="1584">
        <f>T149/T142-1</f>
        <v>-0.17145610439229408</v>
      </c>
      <c r="W149" s="1479"/>
      <c r="X149" s="1641">
        <f>6.406703-0.188504</f>
        <v>6.2181990000000003</v>
      </c>
      <c r="Y149" s="1600"/>
      <c r="Z149" s="1574">
        <f>(X149+X145)/2</f>
        <v>6.2731829999999995</v>
      </c>
      <c r="AA149" s="1573"/>
      <c r="AB149" s="1532">
        <f>(Z149/Z142-1)*100</f>
        <v>8.1717464778604754</v>
      </c>
      <c r="AC149" s="1573" t="s">
        <v>697</v>
      </c>
      <c r="AD149" s="1535">
        <f>(G149/AB149)*100</f>
        <v>1.0532564593636413</v>
      </c>
      <c r="AE149" s="1573" t="s">
        <v>697</v>
      </c>
      <c r="AF149" s="1573"/>
      <c r="AG149" s="1538">
        <f>R149</f>
        <v>529.86899999999991</v>
      </c>
      <c r="AH149" s="1557"/>
      <c r="AI149" s="1640">
        <f xml:space="preserve"> AG149/Z149</f>
        <v>84.465732946097688</v>
      </c>
      <c r="AJ149" s="1479"/>
      <c r="AK149" s="1584">
        <f>AI149/AI142-1</f>
        <v>-0.1671940929042981</v>
      </c>
      <c r="AL149" s="1470"/>
      <c r="AM149" s="1655">
        <f>+AM153*21.5%</f>
        <v>71.81</v>
      </c>
      <c r="AN149" s="1651"/>
      <c r="AO149" s="111">
        <v>0.26</v>
      </c>
      <c r="AP149" s="111"/>
      <c r="AQ149" s="1291">
        <f>AM149/AM153</f>
        <v>0.215</v>
      </c>
      <c r="AR149" s="1602"/>
      <c r="AS149" s="1303">
        <f>AM149/(R149+AM149)</f>
        <v>0.11934935405756229</v>
      </c>
      <c r="AT149" s="1602"/>
      <c r="AU149" s="1541"/>
      <c r="AV149" s="1473"/>
      <c r="AW149" s="1538">
        <f>'qtrP&amp;L'!BH10</f>
        <v>601.67899999999997</v>
      </c>
      <c r="AX149" s="1206"/>
      <c r="AY149" s="1470"/>
      <c r="AZ149" s="1470"/>
      <c r="BA149" s="1470"/>
      <c r="BB149" s="1470"/>
      <c r="BC149" s="1470"/>
      <c r="BD149" s="1470"/>
      <c r="BE149" s="1538"/>
      <c r="BF149" s="1472"/>
      <c r="BG149" s="1591">
        <f>0.724*492</f>
        <v>356.20799999999997</v>
      </c>
      <c r="BH149" s="1538"/>
      <c r="BI149" s="1561"/>
      <c r="BJ149" s="1538"/>
      <c r="BK149" s="1538"/>
      <c r="BL149" s="1538"/>
      <c r="BM149" s="1604"/>
    </row>
    <row r="150" spans="1:65" ht="12" hidden="1" customHeight="1" outlineLevel="1">
      <c r="A150" s="1531" t="s">
        <v>759</v>
      </c>
      <c r="B150" s="1573"/>
      <c r="C150" s="1581">
        <f>(R150/R143-1)*100</f>
        <v>-7.0662011998817835</v>
      </c>
      <c r="D150" s="1573"/>
      <c r="E150" s="1646">
        <f>'qtrP&amp;L'!BJ11</f>
        <v>-10</v>
      </c>
      <c r="F150" s="1573"/>
      <c r="G150" s="1565">
        <f>C150-E150</f>
        <v>2.9337988001182165</v>
      </c>
      <c r="H150" s="1573"/>
      <c r="I150" s="1639">
        <f>954+132+28-28</f>
        <v>1086</v>
      </c>
      <c r="J150" s="1647">
        <f>I150-I149</f>
        <v>4</v>
      </c>
      <c r="K150" s="1534">
        <f>AVERAGEA(I149,I150)</f>
        <v>1084</v>
      </c>
      <c r="L150" s="1573"/>
      <c r="M150" s="1532">
        <f>(K150/K143-1)*100</f>
        <v>4.6332046332046239</v>
      </c>
      <c r="N150" s="1573"/>
      <c r="O150" s="1535">
        <f>(G150/M150)*100</f>
        <v>63.32115743588497</v>
      </c>
      <c r="P150" s="1573"/>
      <c r="Q150" s="1573"/>
      <c r="R150" s="1605">
        <f>'qtrP&amp;L'!BH11-AM150</f>
        <v>581.66800000000001</v>
      </c>
      <c r="S150" s="1557"/>
      <c r="T150" s="1255">
        <f xml:space="preserve"> R150/K150</f>
        <v>0.53659409594095941</v>
      </c>
      <c r="U150" s="1479"/>
      <c r="V150" s="1584">
        <f>T150/T143-1</f>
        <v>-0.11181350962248648</v>
      </c>
      <c r="W150" s="1479"/>
      <c r="X150" s="1641">
        <f>6.43096-0.188504</f>
        <v>6.2424559999999998</v>
      </c>
      <c r="Y150" s="1600"/>
      <c r="Z150" s="1574">
        <f>AVERAGEA(X149,X150)</f>
        <v>6.2303274999999996</v>
      </c>
      <c r="AA150" s="1573"/>
      <c r="AB150" s="1532">
        <f>(Z150/Z143-1)*100</f>
        <v>3.9992625287485151</v>
      </c>
      <c r="AC150" s="1573"/>
      <c r="AD150" s="1535">
        <f>(G150/AB150)*100</f>
        <v>73.358494948224546</v>
      </c>
      <c r="AE150" s="1573"/>
      <c r="AF150" s="1573"/>
      <c r="AG150" s="1557">
        <f>R150</f>
        <v>581.66800000000001</v>
      </c>
      <c r="AH150" s="1557"/>
      <c r="AI150" s="1587">
        <f xml:space="preserve"> AG150/Z150</f>
        <v>93.360742272376541</v>
      </c>
      <c r="AJ150" s="1479"/>
      <c r="AK150" s="1584">
        <f>AI150/AI143-1</f>
        <v>-0.10639944418424574</v>
      </c>
      <c r="AL150" s="1470"/>
      <c r="AM150" s="1655">
        <f>+AM153*19.5%</f>
        <v>65.13</v>
      </c>
      <c r="AN150" s="1651"/>
      <c r="AO150" s="111">
        <v>0.17</v>
      </c>
      <c r="AP150" s="111"/>
      <c r="AQ150" s="1291">
        <f>AM150/AM153</f>
        <v>0.19499999999999998</v>
      </c>
      <c r="AR150" s="1602"/>
      <c r="AS150" s="1303">
        <f>AM150/(R150+AM150)</f>
        <v>0.10069604420545518</v>
      </c>
      <c r="AT150" s="1602"/>
      <c r="AU150" s="1541"/>
      <c r="AV150" s="1473"/>
      <c r="AW150" s="1557">
        <f>'qtrP&amp;L'!BH11</f>
        <v>646.798</v>
      </c>
      <c r="AX150" s="1206"/>
      <c r="AY150" s="1470"/>
      <c r="AZ150" s="1470"/>
      <c r="BA150" s="1470"/>
      <c r="BB150" s="1470"/>
      <c r="BC150" s="1470"/>
      <c r="BD150" s="1470"/>
      <c r="BE150" s="1557"/>
      <c r="BF150" s="1472"/>
      <c r="BG150" s="1592"/>
      <c r="BH150" s="1557"/>
      <c r="BI150" s="1561"/>
      <c r="BJ150" s="1557"/>
      <c r="BK150" s="1557"/>
      <c r="BL150" s="1557"/>
      <c r="BM150" s="1604"/>
    </row>
    <row r="151" spans="1:65" ht="12" hidden="1" customHeight="1" outlineLevel="1">
      <c r="A151" s="1531" t="s">
        <v>760</v>
      </c>
      <c r="B151" s="1573"/>
      <c r="C151" s="1581">
        <f>(R151/R144-1)*100</f>
        <v>-2.0830336516331815</v>
      </c>
      <c r="D151" s="1573"/>
      <c r="E151" s="1646">
        <f>'qtrP&amp;L'!BJ12</f>
        <v>-4</v>
      </c>
      <c r="F151" s="1573"/>
      <c r="G151" s="1565">
        <f>C151-E151</f>
        <v>1.9169663483668185</v>
      </c>
      <c r="H151" s="1573"/>
      <c r="I151" s="1639">
        <f>1117-28</f>
        <v>1089</v>
      </c>
      <c r="J151" s="1647">
        <f>I151-I150</f>
        <v>3</v>
      </c>
      <c r="K151" s="1534">
        <f>AVERAGEA(I150,I151)</f>
        <v>1087.5</v>
      </c>
      <c r="L151" s="1573"/>
      <c r="M151" s="1532">
        <f>(K151/K144-1)*100</f>
        <v>0.92807424593968069</v>
      </c>
      <c r="N151" s="1573"/>
      <c r="O151" s="1535">
        <f>(G151/M151)*100</f>
        <v>206.55312403652349</v>
      </c>
      <c r="P151" s="1573"/>
      <c r="Q151" s="1573"/>
      <c r="R151" s="1605">
        <f>'qtrP&amp;L'!BH12-AM151</f>
        <v>659.19099999999992</v>
      </c>
      <c r="S151" s="1557"/>
      <c r="T151" s="1255">
        <f xml:space="preserve"> R151/K151</f>
        <v>0.6061526436781608</v>
      </c>
      <c r="U151" s="1479"/>
      <c r="V151" s="1584">
        <f>T151/T144-1</f>
        <v>-2.9834195490894277E-2</v>
      </c>
      <c r="W151" s="1479"/>
      <c r="X151" s="1641">
        <f>6.462921-0.188504</f>
        <v>6.2744169999999997</v>
      </c>
      <c r="Y151" s="1600"/>
      <c r="Z151" s="1574">
        <f>AVERAGEA(X150,X151)</f>
        <v>6.2584365000000002</v>
      </c>
      <c r="AA151" s="1573"/>
      <c r="AB151" s="1532">
        <f>(Z151/Z144-1)*100</f>
        <v>0.91601746218754609</v>
      </c>
      <c r="AC151" s="1573"/>
      <c r="AD151" s="1535">
        <f>(G151/AB151)*100</f>
        <v>209.27181276532667</v>
      </c>
      <c r="AE151" s="1573"/>
      <c r="AF151" s="1573"/>
      <c r="AG151" s="1557">
        <f>R151</f>
        <v>659.19099999999992</v>
      </c>
      <c r="AH151" s="1557"/>
      <c r="AI151" s="1587">
        <f xml:space="preserve"> AG151/Z151</f>
        <v>105.32838353476942</v>
      </c>
      <c r="AJ151" s="1479"/>
      <c r="AK151" s="1584">
        <f>AI151/AI144-1</f>
        <v>-2.9718286444909037E-2</v>
      </c>
      <c r="AL151" s="1470"/>
      <c r="AM151" s="1655">
        <f>+AM153*23%</f>
        <v>76.820000000000007</v>
      </c>
      <c r="AN151" s="1651"/>
      <c r="AO151" s="111">
        <v>0.12</v>
      </c>
      <c r="AP151" s="111"/>
      <c r="AQ151" s="1291">
        <f>AM151/AM153</f>
        <v>0.23</v>
      </c>
      <c r="AR151" s="1602"/>
      <c r="AS151" s="1303">
        <f>AM151/(R151+AM151)</f>
        <v>0.10437344007086852</v>
      </c>
      <c r="AT151" s="1602"/>
      <c r="AU151" s="1541"/>
      <c r="AV151" s="1473"/>
      <c r="AW151" s="1557">
        <f>'qtrP&amp;L'!BH12</f>
        <v>736.01099999999997</v>
      </c>
      <c r="AX151" s="1206"/>
      <c r="AY151" s="1470"/>
      <c r="AZ151" s="1470"/>
      <c r="BA151" s="1470"/>
      <c r="BB151" s="1470"/>
      <c r="BC151" s="1470"/>
      <c r="BD151" s="1470"/>
      <c r="BE151" s="1557"/>
      <c r="BF151" s="1472"/>
      <c r="BG151" s="1592"/>
      <c r="BH151" s="1557"/>
      <c r="BI151" s="1561"/>
      <c r="BJ151" s="1557"/>
      <c r="BK151" s="1557"/>
      <c r="BL151" s="1557"/>
      <c r="BM151" s="1604"/>
    </row>
    <row r="152" spans="1:65" ht="12" hidden="1" customHeight="1" outlineLevel="1">
      <c r="A152" s="1531" t="s">
        <v>761</v>
      </c>
      <c r="B152" s="1573"/>
      <c r="C152" s="1570">
        <f>(R152/R145-1)*100</f>
        <v>5.1555957122685347</v>
      </c>
      <c r="D152" s="1573"/>
      <c r="E152" s="1649">
        <f>'qtrP&amp;L'!BJ13</f>
        <v>5</v>
      </c>
      <c r="F152" s="1573"/>
      <c r="G152" s="1565">
        <f>C152-E152</f>
        <v>0.15559571226853475</v>
      </c>
      <c r="H152" s="1573"/>
      <c r="I152" s="1606">
        <f>yrSales!Q19-28</f>
        <v>1075</v>
      </c>
      <c r="J152" s="1647">
        <f>I152-I151</f>
        <v>-14</v>
      </c>
      <c r="K152" s="1545">
        <f>AVERAGEA(I151,I152)</f>
        <v>1082</v>
      </c>
      <c r="L152" s="1573"/>
      <c r="M152" s="1544">
        <f>(K152/K145-1)*100</f>
        <v>-1.5916325602546633</v>
      </c>
      <c r="N152" s="1573"/>
      <c r="O152" s="1475">
        <f>(G152/M152)*100</f>
        <v>-9.7758563222430706</v>
      </c>
      <c r="P152" s="1573"/>
      <c r="Q152" s="1573"/>
      <c r="R152" s="1605">
        <f>'qtrP&amp;L'!BH13-AM152</f>
        <v>835.54099999999994</v>
      </c>
      <c r="S152" s="1557"/>
      <c r="T152" s="1562">
        <f xml:space="preserve"> R152/K152</f>
        <v>0.77221903881700549</v>
      </c>
      <c r="U152" s="1479"/>
      <c r="V152" s="1589">
        <f>T152/T145-1</f>
        <v>6.856356271385633E-2</v>
      </c>
      <c r="W152" s="1479"/>
      <c r="X152" s="1641">
        <f>6.403859-0.188504</f>
        <v>6.2153549999999997</v>
      </c>
      <c r="Y152" s="1600"/>
      <c r="Z152" s="1577">
        <f>AVERAGEA(X151,X152)</f>
        <v>6.2448859999999993</v>
      </c>
      <c r="AA152" s="1573"/>
      <c r="AB152" s="1544">
        <f>(Z152/Z145-1)*100</f>
        <v>-1.1773247430148293</v>
      </c>
      <c r="AC152" s="1573"/>
      <c r="AD152" s="1475">
        <f>(G152/AB152)*100</f>
        <v>-13.216040280449191</v>
      </c>
      <c r="AE152" s="1573"/>
      <c r="AF152" s="1573"/>
      <c r="AG152" s="1544">
        <f>R152</f>
        <v>835.54099999999994</v>
      </c>
      <c r="AH152" s="1557"/>
      <c r="AI152" s="1590">
        <f xml:space="preserve"> AG152/Z152</f>
        <v>133.79603726953542</v>
      </c>
      <c r="AJ152" s="1479"/>
      <c r="AK152" s="1589">
        <f>AI152/AI145-1</f>
        <v>6.4083677544802153E-2</v>
      </c>
      <c r="AL152" s="1470"/>
      <c r="AM152" s="1656">
        <f>+AM153*36%</f>
        <v>120.24</v>
      </c>
      <c r="AN152" s="1651"/>
      <c r="AO152" s="1658">
        <v>0.1</v>
      </c>
      <c r="AP152" s="1659"/>
      <c r="AQ152" s="1609">
        <f>AM152/AM153</f>
        <v>0.36</v>
      </c>
      <c r="AR152" s="1603"/>
      <c r="AS152" s="1594">
        <f>AM152/(R152+AM152)</f>
        <v>0.12580287743740459</v>
      </c>
      <c r="AT152" s="1603"/>
      <c r="AU152" s="1545"/>
      <c r="AV152" s="1473"/>
      <c r="AW152" s="1544">
        <f>'qtrP&amp;L'!BH13</f>
        <v>955.78099999999995</v>
      </c>
      <c r="AX152" s="1206"/>
      <c r="AY152" s="1470"/>
      <c r="AZ152" s="1470"/>
      <c r="BA152" s="1470"/>
      <c r="BB152" s="1470"/>
      <c r="BC152" s="1470"/>
      <c r="BD152" s="1470"/>
      <c r="BE152" s="1557"/>
      <c r="BF152" s="1472"/>
      <c r="BG152" s="1592"/>
      <c r="BH152" s="1557"/>
      <c r="BI152" s="1561"/>
      <c r="BJ152" s="1557"/>
      <c r="BK152" s="1557"/>
      <c r="BL152" s="1557"/>
      <c r="BM152" s="1604"/>
    </row>
    <row r="153" spans="1:65" ht="12" hidden="1" customHeight="1" outlineLevel="1">
      <c r="A153" s="1531" t="s">
        <v>762</v>
      </c>
      <c r="B153" s="1578"/>
      <c r="C153" s="1579">
        <f>(R153/R146-1)*100</f>
        <v>-2.8188209254302987</v>
      </c>
      <c r="D153" s="1529"/>
      <c r="E153" s="1635">
        <f>'qtrP&amp;L'!BJ14</f>
        <v>-4</v>
      </c>
      <c r="F153" s="1470"/>
      <c r="G153" s="1565">
        <f>C153-E153</f>
        <v>1.1811790745697013</v>
      </c>
      <c r="H153" s="1470"/>
      <c r="I153" s="1566"/>
      <c r="J153" s="1470"/>
      <c r="K153" s="1534">
        <f>AVERAGEA(K149:K152)</f>
        <v>1085.875</v>
      </c>
      <c r="L153" s="1470"/>
      <c r="M153" s="1532">
        <f>(K153/K146-1)*100</f>
        <v>3.036413236863944</v>
      </c>
      <c r="N153" s="1470"/>
      <c r="O153" s="1535">
        <f>(G153/M153)*100</f>
        <v>38.900471787879631</v>
      </c>
      <c r="P153" s="1472"/>
      <c r="Q153" s="1472"/>
      <c r="R153" s="1537">
        <f>SUM(R149:R152)</f>
        <v>2606.2689999999993</v>
      </c>
      <c r="S153" s="1538"/>
      <c r="T153" s="1539">
        <f>SUM(T149:T152)</f>
        <v>2.401084127059979</v>
      </c>
      <c r="U153" s="1479"/>
      <c r="V153" s="1584">
        <f>T153/T146-1</f>
        <v>-5.4066689005660362E-2</v>
      </c>
      <c r="W153" s="1479"/>
      <c r="X153" s="1611"/>
      <c r="Y153" s="1470"/>
      <c r="Z153" s="1574">
        <f>AVERAGEA(Z149:Z152)</f>
        <v>6.2517082500000001</v>
      </c>
      <c r="AA153" s="1470"/>
      <c r="AB153" s="1532">
        <f>(Z153/Z146-1)*100</f>
        <v>2.8624875418718609</v>
      </c>
      <c r="AC153" s="1470"/>
      <c r="AD153" s="1535">
        <f>(G153/AB153)*100</f>
        <v>41.264077390439759</v>
      </c>
      <c r="AE153" s="1472"/>
      <c r="AF153" s="1472"/>
      <c r="AG153" s="1537">
        <f>SUM(AG149:AG152)</f>
        <v>2606.2689999999993</v>
      </c>
      <c r="AH153" s="1538"/>
      <c r="AI153" s="1585">
        <f>SUM(AI149:AI152)</f>
        <v>416.95089602277903</v>
      </c>
      <c r="AJ153" s="1479"/>
      <c r="AK153" s="1584">
        <f>AI153/AI146-1</f>
        <v>-5.2799405243475928E-2</v>
      </c>
      <c r="AL153" s="1470"/>
      <c r="AM153" s="1636">
        <v>334</v>
      </c>
      <c r="AN153" s="1632"/>
      <c r="AO153" s="1206">
        <f>+AM153/AM146-1</f>
        <v>8.7947882736156391E-2</v>
      </c>
      <c r="AP153" s="1206"/>
      <c r="AQ153" s="1291">
        <f>AM153/AM153</f>
        <v>1</v>
      </c>
      <c r="AR153" s="1470"/>
      <c r="AS153" s="1303">
        <f>AM153/(R153+AM153)</f>
        <v>0.1135950486163001</v>
      </c>
      <c r="AT153" s="1470"/>
      <c r="AU153" s="1534"/>
      <c r="AV153" s="1473"/>
      <c r="AW153" s="1537">
        <f>'qtrP&amp;L'!BH14</f>
        <v>2940.2689999999998</v>
      </c>
      <c r="AX153" s="1660">
        <v>2967.5590000000002</v>
      </c>
      <c r="AY153" s="1470"/>
      <c r="AZ153" s="1470"/>
      <c r="BA153" s="1470"/>
      <c r="BB153" s="1470"/>
      <c r="BC153" s="1470"/>
      <c r="BD153" s="1470"/>
      <c r="BE153" s="1538"/>
      <c r="BF153" s="1472"/>
      <c r="BG153" s="1591"/>
      <c r="BH153" s="1538"/>
      <c r="BI153" s="1561"/>
      <c r="BJ153" s="1538"/>
      <c r="BK153" s="1538"/>
      <c r="BL153" s="1538"/>
      <c r="BM153" s="1561"/>
    </row>
    <row r="154" spans="1:65" ht="12" hidden="1" customHeight="1" outlineLevel="1">
      <c r="A154" s="1536"/>
      <c r="B154" s="1573"/>
      <c r="C154" s="1581"/>
      <c r="D154" s="1573"/>
      <c r="E154" s="1661"/>
      <c r="F154" s="1573"/>
      <c r="G154" s="1581"/>
      <c r="H154" s="1573"/>
      <c r="I154" s="1566"/>
      <c r="J154" s="1573"/>
      <c r="K154" s="1541"/>
      <c r="L154" s="1573"/>
      <c r="M154" s="1541"/>
      <c r="N154" s="1573"/>
      <c r="O154" s="1535"/>
      <c r="P154" s="1573"/>
      <c r="Q154" s="1573"/>
      <c r="R154" s="1538"/>
      <c r="S154" s="1557"/>
      <c r="T154" s="1542"/>
      <c r="U154" s="1543"/>
      <c r="V154" s="1558"/>
      <c r="W154" s="1479"/>
      <c r="X154" s="1612"/>
      <c r="Y154" s="1573"/>
      <c r="Z154" s="1541"/>
      <c r="AA154" s="1573"/>
      <c r="AB154" s="1557"/>
      <c r="AC154" s="1573"/>
      <c r="AD154" s="1535"/>
      <c r="AE154" s="1573"/>
      <c r="AF154" s="1573"/>
      <c r="AG154" s="1538"/>
      <c r="AH154" s="1557"/>
      <c r="AI154" s="1542"/>
      <c r="AJ154" s="1543"/>
      <c r="AK154" s="1558"/>
      <c r="AL154" s="1470"/>
      <c r="AM154" s="1662"/>
      <c r="AN154" s="1663"/>
      <c r="AO154" s="1470"/>
      <c r="AP154" s="1470"/>
      <c r="AQ154" s="1470"/>
      <c r="AR154" s="1470"/>
      <c r="AS154" s="1664"/>
      <c r="AT154" s="1470"/>
      <c r="AU154" s="1541"/>
      <c r="AV154" s="1473"/>
      <c r="AW154" s="1538"/>
      <c r="AX154" s="1470"/>
      <c r="AY154" s="1470"/>
      <c r="AZ154" s="1470"/>
      <c r="BA154" s="1470"/>
      <c r="BB154" s="1470"/>
      <c r="BC154" s="1470"/>
      <c r="BD154" s="1470"/>
      <c r="BE154" s="1470"/>
      <c r="BF154" s="1470"/>
      <c r="BG154" s="1470"/>
      <c r="BH154" s="1470"/>
      <c r="BI154" s="1470"/>
      <c r="BJ154" s="1470"/>
      <c r="BK154" s="1470"/>
      <c r="BL154" s="1470"/>
      <c r="BM154" s="1470"/>
    </row>
    <row r="155" spans="1:65" ht="12" hidden="1" customHeight="1" outlineLevel="1">
      <c r="A155" s="1580" t="s">
        <v>748</v>
      </c>
      <c r="B155" s="1499"/>
      <c r="C155" s="1499"/>
      <c r="D155" s="1499"/>
      <c r="E155" s="1499"/>
      <c r="F155" s="1499"/>
      <c r="G155" s="1499"/>
      <c r="H155" s="1499"/>
      <c r="I155" s="1657" t="s">
        <v>191</v>
      </c>
      <c r="J155" s="1499"/>
      <c r="K155" s="1499"/>
      <c r="L155" s="1499"/>
      <c r="M155" s="1572"/>
      <c r="N155" s="1499"/>
      <c r="O155" s="1628"/>
      <c r="P155" s="1499"/>
      <c r="Q155" s="1499"/>
      <c r="R155" s="1499"/>
      <c r="S155" s="1499"/>
      <c r="T155" s="1530"/>
      <c r="U155" s="1530"/>
      <c r="V155" s="1303"/>
      <c r="W155" s="1479"/>
      <c r="X155" s="1654"/>
      <c r="Y155" s="1499"/>
      <c r="Z155" s="1499"/>
      <c r="AA155" s="1499"/>
      <c r="AB155" s="1665"/>
      <c r="AC155" s="1499"/>
      <c r="AD155" s="1551"/>
      <c r="AE155" s="1499"/>
      <c r="AF155" s="1499"/>
      <c r="AG155" s="1499"/>
      <c r="AH155" s="1499"/>
      <c r="AI155" s="1530"/>
      <c r="AJ155" s="1530"/>
      <c r="AK155" s="1303"/>
      <c r="AL155" s="1487"/>
      <c r="AM155" s="1512"/>
      <c r="AN155" s="1514"/>
      <c r="AO155" s="1487"/>
      <c r="AP155" s="1487"/>
      <c r="AQ155" s="1487"/>
      <c r="AR155" s="1487"/>
      <c r="AS155" s="1487"/>
      <c r="AT155" s="1487"/>
      <c r="AU155" s="1665"/>
      <c r="AV155" s="1473"/>
      <c r="AW155" s="1499"/>
      <c r="AX155" s="1470"/>
      <c r="AY155" s="1470"/>
      <c r="AZ155" s="1470"/>
      <c r="BA155" s="1470"/>
      <c r="BB155" s="1470"/>
      <c r="BC155" s="1470"/>
      <c r="BD155" s="1470"/>
      <c r="BE155" s="1470"/>
      <c r="BF155" s="1470"/>
      <c r="BG155" s="1470"/>
      <c r="BH155" s="1470"/>
      <c r="BI155" s="1470"/>
      <c r="BJ155" s="1470"/>
      <c r="BK155" s="1470"/>
      <c r="BL155" s="1470"/>
      <c r="BM155" s="1470"/>
    </row>
    <row r="156" spans="1:65" ht="12" hidden="1" customHeight="1" outlineLevel="1">
      <c r="A156" s="1531" t="s">
        <v>758</v>
      </c>
      <c r="B156" s="1573"/>
      <c r="C156" s="1581">
        <f>(R156/R149-1)*100</f>
        <v>8.7405377555584742</v>
      </c>
      <c r="D156" s="1573" t="s">
        <v>697</v>
      </c>
      <c r="E156" s="1646">
        <f>'qtrP&amp;L'!BN10</f>
        <v>5</v>
      </c>
      <c r="F156" s="1573" t="s">
        <v>697</v>
      </c>
      <c r="G156" s="1565">
        <f>C156-E156</f>
        <v>3.7405377555584742</v>
      </c>
      <c r="H156" s="1573" t="s">
        <v>697</v>
      </c>
      <c r="I156" s="1639">
        <f>1105-28</f>
        <v>1077</v>
      </c>
      <c r="J156" s="1647">
        <f>I156-I152</f>
        <v>2</v>
      </c>
      <c r="K156" s="1534">
        <f>(I156+I152)/2</f>
        <v>1076</v>
      </c>
      <c r="L156" s="1573"/>
      <c r="M156" s="1532">
        <f>(K156/K149-1)*100</f>
        <v>-1.2844036697247652</v>
      </c>
      <c r="N156" s="1573" t="s">
        <v>697</v>
      </c>
      <c r="O156" s="1666" t="s">
        <v>714</v>
      </c>
      <c r="P156" s="1573" t="s">
        <v>697</v>
      </c>
      <c r="Q156" s="1573"/>
      <c r="R156" s="1667">
        <f>'qtrP&amp;L'!BL10-AM156</f>
        <v>576.18240000000003</v>
      </c>
      <c r="S156" s="1557"/>
      <c r="T156" s="1539">
        <f xml:space="preserve"> R156/K156</f>
        <v>0.53548550185873611</v>
      </c>
      <c r="U156" s="1479"/>
      <c r="V156" s="1584">
        <f>T156/T149-1</f>
        <v>0.10155377466132665</v>
      </c>
      <c r="W156" s="1479"/>
      <c r="X156" s="1641">
        <f>6.430223-0.188504</f>
        <v>6.2417189999999998</v>
      </c>
      <c r="Y156" s="1600"/>
      <c r="Z156" s="1574">
        <f>(X156+X152)/2</f>
        <v>6.2285369999999993</v>
      </c>
      <c r="AA156" s="1573"/>
      <c r="AB156" s="1532">
        <f>(Z156/Z149-1)*100</f>
        <v>-0.7116961198166849</v>
      </c>
      <c r="AC156" s="1573" t="s">
        <v>697</v>
      </c>
      <c r="AD156" s="1535">
        <f>(G156/AB156)*100</f>
        <v>-525.58074315790043</v>
      </c>
      <c r="AE156" s="1573" t="s">
        <v>697</v>
      </c>
      <c r="AF156" s="1573"/>
      <c r="AG156" s="1538">
        <f>R156</f>
        <v>576.18240000000003</v>
      </c>
      <c r="AH156" s="1557"/>
      <c r="AI156" s="1640">
        <f xml:space="preserve"> AG156/Z156</f>
        <v>92.506859957643357</v>
      </c>
      <c r="AJ156" s="1479"/>
      <c r="AK156" s="1584">
        <f>AI156/AI149-1</f>
        <v>9.5199872552780285E-2</v>
      </c>
      <c r="AL156" s="1470"/>
      <c r="AM156" s="1655">
        <f>+AM149*(1+AO156)</f>
        <v>68.937600000000003</v>
      </c>
      <c r="AN156" s="1651"/>
      <c r="AO156" s="111">
        <v>-0.04</v>
      </c>
      <c r="AP156" s="111"/>
      <c r="AQ156" s="1291">
        <f>AM156/AM160</f>
        <v>0.2064</v>
      </c>
      <c r="AR156" s="1602"/>
      <c r="AS156" s="1303">
        <f>AM156/(R156+AM156)</f>
        <v>0.10686011904761905</v>
      </c>
      <c r="AT156" s="1602"/>
      <c r="AU156" s="1557">
        <f>(AM156-AM149)/AW149*100</f>
        <v>-0.47739741623024884</v>
      </c>
      <c r="AV156" s="1473"/>
      <c r="AW156" s="1538">
        <f>'qtrP&amp;L'!BL10</f>
        <v>645.12</v>
      </c>
      <c r="AX156" s="1206"/>
      <c r="AY156" s="1470"/>
      <c r="AZ156" s="1470"/>
      <c r="BA156" s="1470"/>
      <c r="BB156" s="1470"/>
      <c r="BC156" s="1470"/>
      <c r="BD156" s="1470"/>
      <c r="BE156" s="1470"/>
      <c r="BF156" s="1470"/>
      <c r="BG156" s="1470"/>
      <c r="BH156" s="1470"/>
      <c r="BI156" s="1470"/>
      <c r="BJ156" s="1470"/>
      <c r="BK156" s="1470"/>
      <c r="BL156" s="1470"/>
      <c r="BM156" s="1470"/>
    </row>
    <row r="157" spans="1:65" ht="12" hidden="1" customHeight="1" outlineLevel="1">
      <c r="A157" s="1531" t="s">
        <v>759</v>
      </c>
      <c r="B157" s="1573"/>
      <c r="C157" s="1581">
        <f>(R157/R150-1)*100</f>
        <v>0.66995261901978687</v>
      </c>
      <c r="D157" s="1573"/>
      <c r="E157" s="1646">
        <f>'qtrP&amp;L'!BN11</f>
        <v>-1</v>
      </c>
      <c r="F157" s="1573"/>
      <c r="G157" s="1565">
        <f>C157-E157</f>
        <v>1.6699526190197869</v>
      </c>
      <c r="H157" s="1573"/>
      <c r="I157" s="1639">
        <f>I156+1+5+5-5</f>
        <v>1083</v>
      </c>
      <c r="J157" s="1647">
        <f>I157-I156</f>
        <v>6</v>
      </c>
      <c r="K157" s="1534">
        <f>AVERAGEA(I156,I157)</f>
        <v>1080</v>
      </c>
      <c r="L157" s="1573"/>
      <c r="M157" s="1532">
        <f>(K157/K150-1)*100</f>
        <v>-0.36900369003689537</v>
      </c>
      <c r="N157" s="1573"/>
      <c r="O157" s="1535">
        <f>(G157/M157)*100</f>
        <v>-452.5571597543684</v>
      </c>
      <c r="P157" s="1573"/>
      <c r="Q157" s="1573"/>
      <c r="R157" s="1605">
        <f>'qtrP&amp;L'!BL11-AM157</f>
        <v>585.56489999999997</v>
      </c>
      <c r="S157" s="1557"/>
      <c r="T157" s="1255">
        <f xml:space="preserve"> R157/K157</f>
        <v>0.54218972222222217</v>
      </c>
      <c r="U157" s="1479"/>
      <c r="V157" s="1584">
        <f>T157/T150-1</f>
        <v>1.0428042953865235E-2</v>
      </c>
      <c r="W157" s="1479"/>
      <c r="X157" s="1641">
        <v>6.2795100000000001</v>
      </c>
      <c r="Y157" s="1600"/>
      <c r="Z157" s="1574">
        <f>AVERAGEA(X156,X157)</f>
        <v>6.2606145</v>
      </c>
      <c r="AA157" s="1573"/>
      <c r="AB157" s="1532">
        <f>(Z157/Z150-1)*100</f>
        <v>0.4861221179785602</v>
      </c>
      <c r="AC157" s="1573"/>
      <c r="AD157" s="1535">
        <f>(G157/AB157)*100</f>
        <v>343.52533185775309</v>
      </c>
      <c r="AE157" s="1573"/>
      <c r="AF157" s="1573"/>
      <c r="AG157" s="1557">
        <f>R157</f>
        <v>585.56489999999997</v>
      </c>
      <c r="AH157" s="1557"/>
      <c r="AI157" s="1587">
        <f xml:space="preserve"> AG157/Z157</f>
        <v>93.531537519200384</v>
      </c>
      <c r="AJ157" s="1479"/>
      <c r="AK157" s="1584">
        <f>AI157/AI150-1</f>
        <v>1.8294118348540778E-3</v>
      </c>
      <c r="AL157" s="1470"/>
      <c r="AM157" s="1655">
        <f>+AM150*(1+AO157)</f>
        <v>63.176099999999991</v>
      </c>
      <c r="AN157" s="1651"/>
      <c r="AO157" s="111">
        <v>-0.03</v>
      </c>
      <c r="AP157" s="111"/>
      <c r="AQ157" s="1291">
        <f>AM157/AM160</f>
        <v>0.18914999999999998</v>
      </c>
      <c r="AR157" s="1602"/>
      <c r="AS157" s="1303">
        <f>AM157/(R157+AM157)</f>
        <v>9.7382622649100317E-2</v>
      </c>
      <c r="AT157" s="1602"/>
      <c r="AU157" s="1557">
        <f>(AM157-AM150)/AW150*100</f>
        <v>-0.30208813261636619</v>
      </c>
      <c r="AV157" s="1473"/>
      <c r="AW157" s="1557">
        <f>'qtrP&amp;L'!BL11</f>
        <v>648.74099999999999</v>
      </c>
      <c r="AX157" s="1206"/>
      <c r="AY157" s="1470"/>
      <c r="AZ157" s="1470"/>
      <c r="BA157" s="1470"/>
      <c r="BB157" s="1470"/>
      <c r="BC157" s="1470"/>
      <c r="BD157" s="1470"/>
      <c r="BE157" s="1470"/>
      <c r="BF157" s="1470"/>
      <c r="BG157" s="1470"/>
      <c r="BH157" s="1470"/>
      <c r="BI157" s="1470"/>
      <c r="BJ157" s="1470"/>
      <c r="BK157" s="1470"/>
      <c r="BL157" s="1470"/>
      <c r="BM157" s="1470"/>
    </row>
    <row r="158" spans="1:65" ht="12" hidden="1" customHeight="1" outlineLevel="1">
      <c r="A158" s="1531" t="s">
        <v>760</v>
      </c>
      <c r="B158" s="1573"/>
      <c r="C158" s="1581">
        <f>(R158/R151-1)*100</f>
        <v>1.5738078948286605</v>
      </c>
      <c r="D158" s="1573"/>
      <c r="E158" s="1646">
        <f>'qtrP&amp;L'!BN12</f>
        <v>1</v>
      </c>
      <c r="F158" s="1573"/>
      <c r="G158" s="1565">
        <f>C158-E158</f>
        <v>0.57380789482866046</v>
      </c>
      <c r="H158" s="1573"/>
      <c r="I158" s="1639">
        <f>+I157+5+3+2-4</f>
        <v>1089</v>
      </c>
      <c r="J158" s="1647">
        <f>I158-I157</f>
        <v>6</v>
      </c>
      <c r="K158" s="1534">
        <f>AVERAGEA(I157,I158)</f>
        <v>1086</v>
      </c>
      <c r="L158" s="1573"/>
      <c r="M158" s="1532">
        <f>(K158/K151-1)*100</f>
        <v>-0.13793103448276334</v>
      </c>
      <c r="N158" s="1573"/>
      <c r="O158" s="1535">
        <f>(G158/M158)*100</f>
        <v>-416.01072375076467</v>
      </c>
      <c r="P158" s="1573"/>
      <c r="Q158" s="1573"/>
      <c r="R158" s="1605">
        <f>'qtrP&amp;L'!BL12-AM158</f>
        <v>669.56539999999995</v>
      </c>
      <c r="S158" s="1557"/>
      <c r="T158" s="1255">
        <f xml:space="preserve"> R158/K158</f>
        <v>0.61654272559852663</v>
      </c>
      <c r="U158" s="1479"/>
      <c r="V158" s="1584">
        <f>T158/T151-1</f>
        <v>1.714103209600526E-2</v>
      </c>
      <c r="W158" s="1479"/>
      <c r="X158" s="1641">
        <v>6.323099</v>
      </c>
      <c r="Y158" s="1600"/>
      <c r="Z158" s="1574">
        <f>AVERAGEA(X157,X158)</f>
        <v>6.3013045000000005</v>
      </c>
      <c r="AA158" s="1573"/>
      <c r="AB158" s="1532">
        <f>(Z158/Z151-1)*100</f>
        <v>0.68496340899200092</v>
      </c>
      <c r="AC158" s="1573"/>
      <c r="AD158" s="1535">
        <f>(G158/AB158)*100</f>
        <v>83.772050783425343</v>
      </c>
      <c r="AE158" s="1573"/>
      <c r="AF158" s="1573"/>
      <c r="AG158" s="1557">
        <f>R158</f>
        <v>669.56539999999995</v>
      </c>
      <c r="AH158" s="1557"/>
      <c r="AI158" s="1587">
        <f xml:space="preserve"> AG158/Z158</f>
        <v>106.25822002412356</v>
      </c>
      <c r="AJ158" s="1479"/>
      <c r="AK158" s="1584">
        <f>AI158/AI151-1</f>
        <v>8.8279764499299418E-3</v>
      </c>
      <c r="AL158" s="1470"/>
      <c r="AM158" s="1655">
        <f>+AM151*(1+AO158)</f>
        <v>75.283600000000007</v>
      </c>
      <c r="AN158" s="1651"/>
      <c r="AO158" s="111">
        <v>-0.02</v>
      </c>
      <c r="AP158" s="111"/>
      <c r="AQ158" s="1291">
        <f>AM158/AM160</f>
        <v>0.22540000000000002</v>
      </c>
      <c r="AR158" s="1602"/>
      <c r="AS158" s="1303">
        <f>AM158/(R158+AM158)</f>
        <v>0.10107229787513981</v>
      </c>
      <c r="AT158" s="1602"/>
      <c r="AU158" s="1557">
        <f>(AM158-AM151)/AW151*100</f>
        <v>-0.20874688014173706</v>
      </c>
      <c r="AV158" s="1473"/>
      <c r="AW158" s="1557">
        <f>'qtrP&amp;L'!BL12</f>
        <v>744.84899999999993</v>
      </c>
      <c r="AX158" s="1206"/>
      <c r="AY158" s="1470"/>
      <c r="AZ158" s="1470"/>
      <c r="BA158" s="1303"/>
      <c r="BB158" s="1470"/>
      <c r="BC158" s="1470"/>
      <c r="BD158" s="1470"/>
      <c r="BE158" s="1470"/>
      <c r="BF158" s="1470"/>
      <c r="BG158" s="1470"/>
      <c r="BH158" s="1470"/>
      <c r="BI158" s="1470"/>
      <c r="BJ158" s="1470"/>
      <c r="BK158" s="1470"/>
      <c r="BL158" s="1470"/>
      <c r="BM158" s="1470"/>
    </row>
    <row r="159" spans="1:65" ht="12" hidden="1" customHeight="1" outlineLevel="1">
      <c r="A159" s="1531" t="s">
        <v>761</v>
      </c>
      <c r="B159" s="1573"/>
      <c r="C159" s="1570">
        <f>(R159/R152-1)*100</f>
        <v>-6.649548017392326</v>
      </c>
      <c r="D159" s="1573"/>
      <c r="E159" s="1649">
        <f>'qtrP&amp;L'!BN13</f>
        <v>-7</v>
      </c>
      <c r="F159" s="1573"/>
      <c r="G159" s="1570">
        <f>C159-E159</f>
        <v>0.35045198260767396</v>
      </c>
      <c r="H159" s="1573"/>
      <c r="I159" s="1606">
        <f>yrSales!$R$19</f>
        <v>1077</v>
      </c>
      <c r="J159" s="1647">
        <f>I159-I158</f>
        <v>-12</v>
      </c>
      <c r="K159" s="1545">
        <f>AVERAGEA(I158,I159)</f>
        <v>1083</v>
      </c>
      <c r="L159" s="1573"/>
      <c r="M159" s="1544">
        <f>(K159/K152-1)*100</f>
        <v>9.242144177448175E-2</v>
      </c>
      <c r="N159" s="1573"/>
      <c r="O159" s="1475">
        <f>(G159/M159)*100</f>
        <v>379.18904518154397</v>
      </c>
      <c r="P159" s="1573"/>
      <c r="Q159" s="1573"/>
      <c r="R159" s="1607">
        <f>'qtrP&amp;L'!BL13-AM159</f>
        <v>779.98129999999992</v>
      </c>
      <c r="S159" s="1557"/>
      <c r="T159" s="1562">
        <f xml:space="preserve"> R159/K159</f>
        <v>0.72020433979686049</v>
      </c>
      <c r="U159" s="1479"/>
      <c r="V159" s="1589">
        <f>T159/T152-1</f>
        <v>-6.7357441872746948E-2</v>
      </c>
      <c r="W159" s="1479"/>
      <c r="X159" s="1644">
        <f>yrSales!R34</f>
        <v>6.2884250000000002</v>
      </c>
      <c r="Y159" s="1600"/>
      <c r="Z159" s="1577">
        <f>AVERAGEA(X158,X159)</f>
        <v>6.3057619999999996</v>
      </c>
      <c r="AA159" s="1573"/>
      <c r="AB159" s="1544">
        <f>(Z159/Z152-1)*100</f>
        <v>0.97481363150584421</v>
      </c>
      <c r="AC159" s="1573"/>
      <c r="AD159" s="1475">
        <f>(G159/AB159)*100</f>
        <v>35.950664955958089</v>
      </c>
      <c r="AE159" s="1573"/>
      <c r="AF159" s="1573"/>
      <c r="AG159" s="1544">
        <f>R159</f>
        <v>779.98129999999992</v>
      </c>
      <c r="AH159" s="1557"/>
      <c r="AI159" s="1590">
        <f xml:space="preserve"> AG159/Z159</f>
        <v>123.69342515623012</v>
      </c>
      <c r="AJ159" s="1479"/>
      <c r="AK159" s="1589">
        <f>AI159/AI152-1</f>
        <v>-7.5507558515752859E-2</v>
      </c>
      <c r="AL159" s="1470"/>
      <c r="AM159" s="1656">
        <f>+AM160-AM156-AM157-AM158</f>
        <v>126.60270000000003</v>
      </c>
      <c r="AN159" s="1651"/>
      <c r="AO159" s="1658">
        <v>0.04</v>
      </c>
      <c r="AP159" s="1659"/>
      <c r="AQ159" s="1609">
        <f>AM159/AM160</f>
        <v>0.37905000000000005</v>
      </c>
      <c r="AR159" s="1603"/>
      <c r="AS159" s="1594">
        <f>AM159/(R159+AM159)</f>
        <v>0.13964806349990738</v>
      </c>
      <c r="AT159" s="1603"/>
      <c r="AU159" s="1544">
        <f>(AM159-AM152)/AW152*100</f>
        <v>0.66570689310626929</v>
      </c>
      <c r="AV159" s="1473"/>
      <c r="AW159" s="1544">
        <f>'qtrP&amp;L'!BL13</f>
        <v>906.58399999999995</v>
      </c>
      <c r="AX159" s="1206"/>
      <c r="AY159" s="1470"/>
      <c r="AZ159" s="1470"/>
      <c r="BA159" s="1470"/>
      <c r="BB159" s="1470"/>
      <c r="BC159" s="1470"/>
      <c r="BD159" s="1470"/>
      <c r="BE159" s="1470"/>
      <c r="BF159" s="1470"/>
      <c r="BG159" s="1470"/>
      <c r="BH159" s="1470"/>
      <c r="BI159" s="1470"/>
      <c r="BJ159" s="1470"/>
      <c r="BK159" s="1470"/>
      <c r="BL159" s="1470"/>
      <c r="BM159" s="1470"/>
    </row>
    <row r="160" spans="1:65" ht="12" hidden="1" customHeight="1" outlineLevel="1">
      <c r="A160" s="1531" t="s">
        <v>762</v>
      </c>
      <c r="B160" s="1578"/>
      <c r="C160" s="1579">
        <f>(R160/R153-1)*100</f>
        <v>0.19280434981963079</v>
      </c>
      <c r="D160" s="1529"/>
      <c r="E160" s="1635">
        <f>'qtrP&amp;L'!BN14</f>
        <v>-1</v>
      </c>
      <c r="F160" s="1470"/>
      <c r="G160" s="1565">
        <f>C160-E160</f>
        <v>1.1928043498196308</v>
      </c>
      <c r="H160" s="1470"/>
      <c r="I160" s="1566"/>
      <c r="J160" s="1470"/>
      <c r="K160" s="1534">
        <f>AVERAGEA(K156:K159)</f>
        <v>1081.25</v>
      </c>
      <c r="L160" s="1470"/>
      <c r="M160" s="1532">
        <f>(K160/K153-1)*100</f>
        <v>-0.4259237941752092</v>
      </c>
      <c r="N160" s="1470"/>
      <c r="O160" s="1535">
        <f>(G160/M160)*100</f>
        <v>-280.05111856440578</v>
      </c>
      <c r="P160" s="1472"/>
      <c r="Q160" s="1472"/>
      <c r="R160" s="1537">
        <f>SUM(R156:R159)</f>
        <v>2611.2939999999999</v>
      </c>
      <c r="S160" s="1538"/>
      <c r="T160" s="1539">
        <f>SUM(T156:T159)</f>
        <v>2.4144222894763452</v>
      </c>
      <c r="U160" s="1479"/>
      <c r="V160" s="1584">
        <f>T160/T153-1</f>
        <v>5.5550583447061541E-3</v>
      </c>
      <c r="W160" s="1479"/>
      <c r="X160" s="1611"/>
      <c r="Y160" s="1470"/>
      <c r="Z160" s="1574">
        <f>AVERAGEA(Z156:Z159)</f>
        <v>6.2740545000000001</v>
      </c>
      <c r="AA160" s="1470"/>
      <c r="AB160" s="1532">
        <f>(Z160/Z153-1)*100</f>
        <v>0.35744230386951514</v>
      </c>
      <c r="AC160" s="1470"/>
      <c r="AD160" s="1535">
        <f>(G160/AB160)*100</f>
        <v>333.70542235959448</v>
      </c>
      <c r="AE160" s="1472"/>
      <c r="AF160" s="1472"/>
      <c r="AG160" s="1537">
        <f>SUM(AG156:AG159)</f>
        <v>2611.2939999999999</v>
      </c>
      <c r="AH160" s="1538"/>
      <c r="AI160" s="1585">
        <f>SUM(AI156:AI159)</f>
        <v>415.99004265719736</v>
      </c>
      <c r="AJ160" s="1479"/>
      <c r="AK160" s="1584">
        <f>AI160/AI153-1</f>
        <v>-2.3044760779916684E-3</v>
      </c>
      <c r="AL160" s="1470"/>
      <c r="AM160" s="1636">
        <v>334</v>
      </c>
      <c r="AN160" s="1632"/>
      <c r="AO160" s="1206">
        <f>+AM160/AM153-1</f>
        <v>0</v>
      </c>
      <c r="AP160" s="1206"/>
      <c r="AQ160" s="1291">
        <f>AM160/AM160</f>
        <v>1</v>
      </c>
      <c r="AR160" s="1470"/>
      <c r="AS160" s="1303">
        <f>AM160/(R160+AM160)</f>
        <v>0.11340124279613513</v>
      </c>
      <c r="AT160" s="1470"/>
      <c r="AU160" s="1532">
        <f>(AM160-AM153)/AW153*100</f>
        <v>0</v>
      </c>
      <c r="AV160" s="1473"/>
      <c r="AW160" s="1537">
        <f>'qtrP&amp;L'!BL14</f>
        <v>2945.2939999999999</v>
      </c>
      <c r="AX160" s="1660">
        <v>3159.8180000000002</v>
      </c>
      <c r="AY160" s="1470"/>
      <c r="AZ160" s="1470"/>
      <c r="BA160" s="1470"/>
      <c r="BB160" s="1470"/>
      <c r="BC160" s="1470"/>
      <c r="BD160" s="1470"/>
      <c r="BE160" s="1470"/>
      <c r="BF160" s="1470"/>
      <c r="BG160" s="1470"/>
      <c r="BH160" s="1470"/>
      <c r="BI160" s="1470"/>
      <c r="BJ160" s="1470"/>
      <c r="BK160" s="1470"/>
      <c r="BL160" s="1470"/>
      <c r="BM160" s="1470"/>
    </row>
    <row r="161" spans="1:65" ht="12" hidden="1" customHeight="1" outlineLevel="1">
      <c r="A161" s="1531"/>
      <c r="B161" s="1578"/>
      <c r="C161" s="1579"/>
      <c r="D161" s="1529"/>
      <c r="E161" s="1635"/>
      <c r="F161" s="1470"/>
      <c r="G161" s="1565"/>
      <c r="H161" s="1470"/>
      <c r="I161" s="1566"/>
      <c r="J161" s="1470"/>
      <c r="K161" s="1534"/>
      <c r="L161" s="1470"/>
      <c r="M161" s="1534"/>
      <c r="N161" s="1470"/>
      <c r="O161" s="1535"/>
      <c r="P161" s="1472"/>
      <c r="Q161" s="1472"/>
      <c r="R161" s="1537"/>
      <c r="S161" s="1538"/>
      <c r="T161" s="1539"/>
      <c r="U161" s="1479"/>
      <c r="V161" s="1584"/>
      <c r="W161" s="1479"/>
      <c r="X161" s="1611"/>
      <c r="Y161" s="1470"/>
      <c r="Z161" s="1574"/>
      <c r="AA161" s="1470"/>
      <c r="AB161" s="1534"/>
      <c r="AC161" s="1470"/>
      <c r="AD161" s="1535"/>
      <c r="AE161" s="1472"/>
      <c r="AF161" s="1472"/>
      <c r="AG161" s="1537"/>
      <c r="AH161" s="1538"/>
      <c r="AI161" s="1585"/>
      <c r="AJ161" s="1479"/>
      <c r="AK161" s="1584"/>
      <c r="AL161" s="1470"/>
      <c r="AM161" s="1636"/>
      <c r="AN161" s="1637"/>
      <c r="AO161" s="1206"/>
      <c r="AP161" s="1206"/>
      <c r="AQ161" s="1206"/>
      <c r="AR161" s="1206"/>
      <c r="AS161" s="1664"/>
      <c r="AT161" s="1206"/>
      <c r="AU161" s="1532"/>
      <c r="AV161" s="1473"/>
      <c r="AW161" s="1537"/>
      <c r="AX161" s="1470"/>
      <c r="AY161" s="1470"/>
      <c r="AZ161" s="1470"/>
      <c r="BA161" s="1470"/>
      <c r="BB161" s="1470"/>
      <c r="BC161" s="1470"/>
      <c r="BD161" s="1470"/>
      <c r="BE161" s="1470"/>
      <c r="BF161" s="1470"/>
      <c r="BG161" s="1470"/>
      <c r="BH161" s="1470"/>
      <c r="BI161" s="1470"/>
      <c r="BJ161" s="1470"/>
      <c r="BK161" s="1470"/>
      <c r="BL161" s="1470"/>
      <c r="BM161" s="1470"/>
    </row>
    <row r="162" spans="1:65" ht="12" hidden="1" customHeight="1" outlineLevel="1">
      <c r="A162" s="1580" t="s">
        <v>141</v>
      </c>
      <c r="B162" s="1499"/>
      <c r="C162" s="1499"/>
      <c r="D162" s="1499"/>
      <c r="E162" s="1499"/>
      <c r="F162" s="1499"/>
      <c r="G162" s="1499"/>
      <c r="H162" s="1499"/>
      <c r="I162" s="1571"/>
      <c r="J162" s="1499"/>
      <c r="K162" s="1499"/>
      <c r="L162" s="1499"/>
      <c r="M162" s="1572"/>
      <c r="N162" s="1499"/>
      <c r="O162" s="1628"/>
      <c r="P162" s="1499"/>
      <c r="Q162" s="1499"/>
      <c r="R162" s="1499"/>
      <c r="S162" s="1499"/>
      <c r="T162" s="1530"/>
      <c r="U162" s="1530"/>
      <c r="V162" s="1303"/>
      <c r="W162" s="1479"/>
      <c r="X162" s="1654"/>
      <c r="Y162" s="1499"/>
      <c r="Z162" s="1499"/>
      <c r="AA162" s="1499"/>
      <c r="AB162" s="1572"/>
      <c r="AC162" s="1499"/>
      <c r="AD162" s="1551"/>
      <c r="AE162" s="1499"/>
      <c r="AF162" s="1499"/>
      <c r="AG162" s="1499"/>
      <c r="AH162" s="1499"/>
      <c r="AI162" s="1530"/>
      <c r="AJ162" s="1530"/>
      <c r="AK162" s="1303"/>
      <c r="AL162" s="1487"/>
      <c r="AM162" s="1512"/>
      <c r="AN162" s="1514"/>
      <c r="AO162" s="1487"/>
      <c r="AP162" s="1487"/>
      <c r="AQ162" s="1487"/>
      <c r="AR162" s="1487"/>
      <c r="AS162" s="1487"/>
      <c r="AT162" s="1487"/>
      <c r="AU162" s="1665"/>
      <c r="AV162" s="1473"/>
      <c r="AW162" s="1499"/>
      <c r="AX162" s="1470"/>
      <c r="AY162" s="1470"/>
      <c r="AZ162" s="1470"/>
      <c r="BA162" s="1470"/>
      <c r="BB162" s="1470"/>
      <c r="BC162" s="1470"/>
      <c r="BD162" s="1470"/>
      <c r="BE162" s="1470"/>
      <c r="BF162" s="1470"/>
      <c r="BG162" s="1470"/>
      <c r="BH162" s="1470"/>
      <c r="BI162" s="1470"/>
      <c r="BJ162" s="1470"/>
      <c r="BK162" s="1470"/>
      <c r="BL162" s="1470"/>
      <c r="BM162" s="1470"/>
    </row>
    <row r="163" spans="1:65" ht="12" hidden="1" customHeight="1" outlineLevel="1">
      <c r="A163" s="1531" t="s">
        <v>758</v>
      </c>
      <c r="B163" s="1573"/>
      <c r="C163" s="1581">
        <f>(R163/R156-1)*100</f>
        <v>-7.6545427281360823</v>
      </c>
      <c r="D163" s="1573" t="s">
        <v>697</v>
      </c>
      <c r="E163" s="1646">
        <f>+'qtrP&amp;L'!BR10</f>
        <v>-8</v>
      </c>
      <c r="F163" s="1573" t="s">
        <v>697</v>
      </c>
      <c r="G163" s="1565">
        <f>C163-E163</f>
        <v>0.34545727186391773</v>
      </c>
      <c r="H163" s="1573" t="s">
        <v>697</v>
      </c>
      <c r="I163" s="1639">
        <v>1087</v>
      </c>
      <c r="J163" s="1647">
        <f>I163-I159</f>
        <v>10</v>
      </c>
      <c r="K163" s="1534">
        <f>(I163+I159)/2</f>
        <v>1082</v>
      </c>
      <c r="L163" s="1573"/>
      <c r="M163" s="1532">
        <f>(K163/K156-1)*100</f>
        <v>0.55762081784387352</v>
      </c>
      <c r="N163" s="1573" t="s">
        <v>697</v>
      </c>
      <c r="O163" s="1535">
        <f>(G163/M163)*100</f>
        <v>61.952004087595093</v>
      </c>
      <c r="P163" s="1573" t="s">
        <v>697</v>
      </c>
      <c r="Q163" s="1573"/>
      <c r="R163" s="1667">
        <f>'qtrP&amp;L'!BP10-AM163</f>
        <v>532.07827200000008</v>
      </c>
      <c r="S163" s="1557"/>
      <c r="T163" s="1539">
        <f xml:space="preserve"> R163/K163</f>
        <v>0.49175441035120154</v>
      </c>
      <c r="U163" s="1479"/>
      <c r="V163" s="1584">
        <f>T163/T156-1</f>
        <v>-8.166624746279505E-2</v>
      </c>
      <c r="W163" s="1479"/>
      <c r="X163" s="1641">
        <v>6.3972049999999996</v>
      </c>
      <c r="Y163" s="1600"/>
      <c r="Z163" s="1574">
        <f>(X163+X159)/2</f>
        <v>6.3428149999999999</v>
      </c>
      <c r="AA163" s="1573"/>
      <c r="AB163" s="1532">
        <f>(Z163/Z156-1)*100</f>
        <v>1.8347486737254837</v>
      </c>
      <c r="AC163" s="1573" t="s">
        <v>697</v>
      </c>
      <c r="AD163" s="1535">
        <f>(G163/AB163)*100</f>
        <v>18.828588177282164</v>
      </c>
      <c r="AE163" s="1573" t="s">
        <v>697</v>
      </c>
      <c r="AF163" s="1573"/>
      <c r="AG163" s="1538">
        <f>R163</f>
        <v>532.07827200000008</v>
      </c>
      <c r="AH163" s="1557"/>
      <c r="AI163" s="1640">
        <f xml:space="preserve"> AG163/Z163</f>
        <v>83.886771409855101</v>
      </c>
      <c r="AJ163" s="1479"/>
      <c r="AK163" s="1584">
        <f>AI163/AI156-1</f>
        <v>-9.3183235834998435E-2</v>
      </c>
      <c r="AL163" s="1470"/>
      <c r="AM163" s="1655">
        <f>+AM156*(1+AO163)</f>
        <v>71.005728000000005</v>
      </c>
      <c r="AN163" s="1651"/>
      <c r="AO163" s="111">
        <v>0.03</v>
      </c>
      <c r="AP163" s="111"/>
      <c r="AQ163" s="1291">
        <f>AM163/AM167</f>
        <v>0.18423612576538648</v>
      </c>
      <c r="AR163" s="1602"/>
      <c r="AS163" s="1303">
        <f>AM163/(R163+AM163)</f>
        <v>0.11773770817995503</v>
      </c>
      <c r="AT163" s="1602"/>
      <c r="AU163" s="1557">
        <f>(AM163-AM156)/AW156*100</f>
        <v>0.32058035714285738</v>
      </c>
      <c r="AV163" s="1473"/>
      <c r="AW163" s="1538">
        <f>'qtrP&amp;L'!BP10</f>
        <v>603.08400000000006</v>
      </c>
      <c r="AX163" s="1206"/>
      <c r="AY163" s="1470"/>
      <c r="AZ163" s="1470"/>
      <c r="BA163" s="1470"/>
      <c r="BB163" s="1470"/>
      <c r="BC163" s="1470"/>
      <c r="BD163" s="1470"/>
      <c r="BE163" s="1470"/>
      <c r="BF163" s="1470"/>
      <c r="BG163" s="1470"/>
      <c r="BH163" s="1470"/>
      <c r="BI163" s="1470"/>
      <c r="BJ163" s="1470"/>
      <c r="BK163" s="1470"/>
      <c r="BL163" s="1470"/>
      <c r="BM163" s="1470"/>
    </row>
    <row r="164" spans="1:65" ht="12" hidden="1" customHeight="1" outlineLevel="1">
      <c r="A164" s="1668" t="s">
        <v>759</v>
      </c>
      <c r="B164" s="1669"/>
      <c r="C164" s="1670">
        <f>(R164/R157-1)*100</f>
        <v>1.6461135221732093</v>
      </c>
      <c r="D164" s="1669"/>
      <c r="E164" s="1646">
        <f>+'qtrP&amp;L'!BR11</f>
        <v>1</v>
      </c>
      <c r="F164" s="1669"/>
      <c r="G164" s="1671">
        <f>C164-E164</f>
        <v>0.64611352217320928</v>
      </c>
      <c r="H164" s="1669"/>
      <c r="I164" s="1639">
        <f>1103-21</f>
        <v>1082</v>
      </c>
      <c r="J164" s="1672">
        <f>I164-I163</f>
        <v>-5</v>
      </c>
      <c r="K164" s="1673">
        <f>AVERAGEA(I163,I164)</f>
        <v>1084.5</v>
      </c>
      <c r="L164" s="1669"/>
      <c r="M164" s="1674">
        <f>(K164/K157-1)*100</f>
        <v>0.41666666666666519</v>
      </c>
      <c r="N164" s="1669"/>
      <c r="O164" s="1675">
        <f>(G164/M164)*100</f>
        <v>155.06724532157077</v>
      </c>
      <c r="P164" s="1669"/>
      <c r="Q164" s="1669"/>
      <c r="R164" s="1676">
        <f>'qtrP&amp;L'!BP11-AM164</f>
        <v>595.20396300000004</v>
      </c>
      <c r="S164" s="1677"/>
      <c r="T164" s="1257">
        <f xml:space="preserve"> R164/K164</f>
        <v>0.54882799723374831</v>
      </c>
      <c r="U164" s="1678"/>
      <c r="V164" s="1584">
        <f>T164/T157-1</f>
        <v>1.2243454162720768E-2</v>
      </c>
      <c r="W164" s="1678"/>
      <c r="X164" s="1641">
        <v>6.4587839999999996</v>
      </c>
      <c r="Y164" s="1679"/>
      <c r="Z164" s="1680">
        <f>AVERAGEA(X163,X164)</f>
        <v>6.4279944999999996</v>
      </c>
      <c r="AA164" s="1669"/>
      <c r="AB164" s="1674">
        <f>(Z164/Z157-1)*100</f>
        <v>2.6735394744397567</v>
      </c>
      <c r="AC164" s="1669"/>
      <c r="AD164" s="1675">
        <f>(G164/AB164)*100</f>
        <v>24.166971475467108</v>
      </c>
      <c r="AE164" s="1669"/>
      <c r="AF164" s="1669"/>
      <c r="AG164" s="1677">
        <f>R164</f>
        <v>595.20396300000004</v>
      </c>
      <c r="AH164" s="1677"/>
      <c r="AI164" s="1655">
        <f xml:space="preserve"> AG164/Z164</f>
        <v>92.595593073391726</v>
      </c>
      <c r="AJ164" s="1678"/>
      <c r="AK164" s="1584">
        <f>AI164/AI157-1</f>
        <v>-1.0006725759389212E-2</v>
      </c>
      <c r="AL164" s="1636"/>
      <c r="AM164" s="1655">
        <f>+AM157*(1+AO164)</f>
        <v>73.916036999999989</v>
      </c>
      <c r="AN164" s="1651"/>
      <c r="AO164" s="1681">
        <v>0.17</v>
      </c>
      <c r="AP164" s="1681"/>
      <c r="AQ164" s="1300">
        <f>AM164/AM167</f>
        <v>0.19178740465573366</v>
      </c>
      <c r="AR164" s="1631"/>
      <c r="AS164" s="1229">
        <f>AM164/(R164+AM164)</f>
        <v>0.11046753497130558</v>
      </c>
      <c r="AT164" s="1631"/>
      <c r="AU164" s="1677">
        <f>(AM164-AM157)/AW157*100</f>
        <v>1.6555045850347054</v>
      </c>
      <c r="AV164" s="1473"/>
      <c r="AW164" s="1677">
        <f>'qtrP&amp;L'!BP11</f>
        <v>669.12</v>
      </c>
      <c r="AX164" s="1160"/>
      <c r="AY164" s="1636"/>
      <c r="AZ164" s="1636"/>
      <c r="BA164" s="1636"/>
      <c r="BB164" s="1636"/>
      <c r="BC164" s="1636"/>
      <c r="BD164" s="1636"/>
      <c r="BE164" s="1636"/>
      <c r="BF164" s="1636"/>
      <c r="BG164" s="1636"/>
      <c r="BH164" s="1636"/>
      <c r="BI164" s="1636"/>
      <c r="BJ164" s="1636"/>
      <c r="BK164" s="1636"/>
      <c r="BL164" s="1636"/>
      <c r="BM164" s="1636"/>
    </row>
    <row r="165" spans="1:65" ht="12" hidden="1" customHeight="1" outlineLevel="1">
      <c r="A165" s="1531" t="s">
        <v>760</v>
      </c>
      <c r="B165" s="1573"/>
      <c r="C165" s="1581">
        <f>(R165/R158-1)*100</f>
        <v>8.7759080741030004</v>
      </c>
      <c r="D165" s="1573"/>
      <c r="E165" s="1646">
        <f>+'qtrP&amp;L'!BR12</f>
        <v>5</v>
      </c>
      <c r="F165" s="1573"/>
      <c r="G165" s="1565">
        <f>C165-E165</f>
        <v>3.7759080741030004</v>
      </c>
      <c r="H165" s="1573"/>
      <c r="I165" s="1639">
        <f>937+158+21</f>
        <v>1116</v>
      </c>
      <c r="J165" s="1647">
        <f>I165-I164</f>
        <v>34</v>
      </c>
      <c r="K165" s="1534">
        <f>AVERAGEA(I164,I165)</f>
        <v>1099</v>
      </c>
      <c r="L165" s="1573"/>
      <c r="M165" s="1532">
        <f>(K165/K158-1)*100</f>
        <v>1.1970534069981609</v>
      </c>
      <c r="N165" s="1573"/>
      <c r="O165" s="1535">
        <f>(G165/M165)*100</f>
        <v>315.43355142121919</v>
      </c>
      <c r="P165" s="1573"/>
      <c r="Q165" s="1573"/>
      <c r="R165" s="1605">
        <f>'qtrP&amp;L'!BP12-AM165</f>
        <v>728.32584399999996</v>
      </c>
      <c r="S165" s="1557"/>
      <c r="T165" s="1255">
        <f xml:space="preserve"> R165/K165</f>
        <v>0.66271687352138309</v>
      </c>
      <c r="U165" s="1479"/>
      <c r="V165" s="1584">
        <f>T165/T158-1</f>
        <v>7.4892048848733905E-2</v>
      </c>
      <c r="W165" s="1479"/>
      <c r="X165" s="1641">
        <v>6.5365640000000003</v>
      </c>
      <c r="Y165" s="1600"/>
      <c r="Z165" s="1574">
        <f>AVERAGEA(X164,X165)</f>
        <v>6.4976739999999999</v>
      </c>
      <c r="AA165" s="1573"/>
      <c r="AB165" s="1532">
        <f>(Z165/Z158-1)*100</f>
        <v>3.1163309121150951</v>
      </c>
      <c r="AC165" s="1573"/>
      <c r="AD165" s="1535">
        <f>(G165/AB165)*100</f>
        <v>121.16518369162029</v>
      </c>
      <c r="AE165" s="1573"/>
      <c r="AF165" s="1573"/>
      <c r="AG165" s="1557">
        <f>R165</f>
        <v>728.32584399999996</v>
      </c>
      <c r="AH165" s="1557"/>
      <c r="AI165" s="1587">
        <f xml:space="preserve"> AG165/Z165</f>
        <v>112.09024090774636</v>
      </c>
      <c r="AJ165" s="1479"/>
      <c r="AK165" s="1584">
        <f>AI165/AI158-1</f>
        <v>5.488536211409123E-2</v>
      </c>
      <c r="AL165" s="1470"/>
      <c r="AM165" s="1655">
        <f>+AM158*(1+AO165)</f>
        <v>91.093156000000008</v>
      </c>
      <c r="AN165" s="1651"/>
      <c r="AO165" s="111">
        <v>0.21</v>
      </c>
      <c r="AP165" s="111"/>
      <c r="AQ165" s="1291">
        <f>AM165/AM167</f>
        <v>0.23635628586445831</v>
      </c>
      <c r="AR165" s="1602"/>
      <c r="AS165" s="1303">
        <f>AM165/(R165+AM165)</f>
        <v>0.11116798121595912</v>
      </c>
      <c r="AT165" s="1602"/>
      <c r="AU165" s="1557">
        <f>(AM165-AM158)/AW158*100</f>
        <v>2.1225182553779356</v>
      </c>
      <c r="AV165" s="1473"/>
      <c r="AW165" s="1557">
        <f>'qtrP&amp;L'!BP12</f>
        <v>819.41899999999998</v>
      </c>
      <c r="AX165" s="1206"/>
      <c r="AY165" s="1470"/>
      <c r="AZ165" s="1470"/>
      <c r="BA165" s="1303"/>
      <c r="BB165" s="1470"/>
      <c r="BC165" s="1470"/>
      <c r="BD165" s="1470"/>
      <c r="BE165" s="1470"/>
      <c r="BF165" s="1470"/>
      <c r="BG165" s="1470"/>
      <c r="BH165" s="1470"/>
      <c r="BI165" s="1470"/>
      <c r="BJ165" s="1470"/>
      <c r="BK165" s="1470"/>
      <c r="BL165" s="1470"/>
      <c r="BM165" s="1470"/>
    </row>
    <row r="166" spans="1:65" ht="12" hidden="1" customHeight="1" outlineLevel="1">
      <c r="A166" s="1531" t="s">
        <v>761</v>
      </c>
      <c r="B166" s="1573"/>
      <c r="C166" s="1570">
        <f>(R166/R159-1)*100</f>
        <v>12.701524254491737</v>
      </c>
      <c r="D166" s="1573"/>
      <c r="E166" s="1649">
        <f>+'qtrP&amp;L'!BR13</f>
        <v>10</v>
      </c>
      <c r="F166" s="1573"/>
      <c r="G166" s="1570">
        <f>C166-E166</f>
        <v>2.7015242544917371</v>
      </c>
      <c r="H166" s="1573"/>
      <c r="I166" s="1639">
        <v>1069</v>
      </c>
      <c r="J166" s="1647">
        <f>I166-I165</f>
        <v>-47</v>
      </c>
      <c r="K166" s="1545">
        <f>AVERAGEA(I165,I166)</f>
        <v>1092.5</v>
      </c>
      <c r="L166" s="1573"/>
      <c r="M166" s="1544">
        <f>(K166/K159-1)*100</f>
        <v>0.87719298245614308</v>
      </c>
      <c r="N166" s="1573"/>
      <c r="O166" s="1475">
        <f>(G166/M166)*100</f>
        <v>307.97376501205707</v>
      </c>
      <c r="P166" s="1573"/>
      <c r="Q166" s="1573"/>
      <c r="R166" s="1607">
        <f>'qtrP&amp;L'!BP13-AM166</f>
        <v>879.05081399999995</v>
      </c>
      <c r="S166" s="1557"/>
      <c r="T166" s="1562">
        <f xml:space="preserve"> R166/K166</f>
        <v>0.80462317070938205</v>
      </c>
      <c r="U166" s="1479"/>
      <c r="V166" s="1589">
        <f>T166/T159-1</f>
        <v>0.11721511000104856</v>
      </c>
      <c r="W166" s="1479"/>
      <c r="X166" s="1644">
        <f>yrSales!S34</f>
        <v>6.2902839999999998</v>
      </c>
      <c r="Y166" s="1600"/>
      <c r="Z166" s="1577">
        <f>AVERAGEA(X165,X166)</f>
        <v>6.413424</v>
      </c>
      <c r="AA166" s="1573"/>
      <c r="AB166" s="1544">
        <f>(Z166/Z159-1)*100</f>
        <v>1.7073590788869053</v>
      </c>
      <c r="AC166" s="1573"/>
      <c r="AD166" s="1475">
        <f>(G166/AB166)*100</f>
        <v>158.22824196143713</v>
      </c>
      <c r="AE166" s="1573"/>
      <c r="AF166" s="1573"/>
      <c r="AG166" s="1544">
        <f>R166</f>
        <v>879.05081399999995</v>
      </c>
      <c r="AH166" s="1557"/>
      <c r="AI166" s="1590">
        <f xml:space="preserve"> AG166/Z166</f>
        <v>137.06419753317417</v>
      </c>
      <c r="AJ166" s="1479"/>
      <c r="AK166" s="1589">
        <f>AI166/AI159-1</f>
        <v>0.10809606379689285</v>
      </c>
      <c r="AL166" s="1470"/>
      <c r="AM166" s="1656">
        <f>+AM159*(1+AO166)</f>
        <v>149.39118600000003</v>
      </c>
      <c r="AN166" s="1651"/>
      <c r="AO166" s="1658">
        <v>0.18</v>
      </c>
      <c r="AP166" s="1659"/>
      <c r="AQ166" s="1609">
        <f>AM166/AM167</f>
        <v>0.38762018371442158</v>
      </c>
      <c r="AR166" s="1603"/>
      <c r="AS166" s="1594">
        <f>AM166/(R166+AM166)</f>
        <v>0.1452597093467595</v>
      </c>
      <c r="AT166" s="1603"/>
      <c r="AU166" s="1544">
        <f>(AM166-AM159)/AW159*100</f>
        <v>2.5136651429983328</v>
      </c>
      <c r="AV166" s="1473"/>
      <c r="AW166" s="1544">
        <f>'qtrP&amp;L'!BP13</f>
        <v>1028.442</v>
      </c>
      <c r="AX166" s="1206"/>
      <c r="AY166" s="1470"/>
      <c r="AZ166" s="1470"/>
      <c r="BA166" s="1470"/>
      <c r="BB166" s="1470"/>
      <c r="BC166" s="1470"/>
      <c r="BD166" s="1470"/>
      <c r="BE166" s="1470"/>
      <c r="BF166" s="1470"/>
      <c r="BG166" s="1470"/>
      <c r="BH166" s="1470"/>
      <c r="BI166" s="1470"/>
      <c r="BJ166" s="1470"/>
      <c r="BK166" s="1470"/>
      <c r="BL166" s="1470"/>
      <c r="BM166" s="1470"/>
    </row>
    <row r="167" spans="1:65" ht="12" hidden="1" customHeight="1" outlineLevel="1">
      <c r="A167" s="1531" t="s">
        <v>762</v>
      </c>
      <c r="B167" s="1578"/>
      <c r="C167" s="1579">
        <f>(R167/R160-1)*100</f>
        <v>4.7242820226294002</v>
      </c>
      <c r="D167" s="1529"/>
      <c r="E167" s="1635">
        <v>4</v>
      </c>
      <c r="F167" s="1470"/>
      <c r="G167" s="1565">
        <f>C167-E167</f>
        <v>0.72428202262940022</v>
      </c>
      <c r="H167" s="1470"/>
      <c r="I167" s="1566"/>
      <c r="J167" s="1470"/>
      <c r="K167" s="1534">
        <f>AVERAGEA(K163:K166)</f>
        <v>1089.5</v>
      </c>
      <c r="L167" s="1470"/>
      <c r="M167" s="1532">
        <f>(K167/K160-1)*100</f>
        <v>0.76300578034682598</v>
      </c>
      <c r="N167" s="1470"/>
      <c r="O167" s="1535">
        <f>(G167/M167)*100</f>
        <v>94.924840844610145</v>
      </c>
      <c r="P167" s="1472"/>
      <c r="Q167" s="1472"/>
      <c r="R167" s="1537">
        <f>SUM(R163:R166)</f>
        <v>2734.6588929999998</v>
      </c>
      <c r="S167" s="1538"/>
      <c r="T167" s="1539">
        <f>SUM(T163:T166)</f>
        <v>2.5079224518157153</v>
      </c>
      <c r="U167" s="1479"/>
      <c r="V167" s="1584">
        <f>T167/T160-1</f>
        <v>3.8725687195195979E-2</v>
      </c>
      <c r="W167" s="1479"/>
      <c r="X167" s="1611"/>
      <c r="Y167" s="1470"/>
      <c r="Z167" s="1574">
        <f>AVERAGEA(Z163:Z166)</f>
        <v>6.4204768749999994</v>
      </c>
      <c r="AA167" s="1470"/>
      <c r="AB167" s="1532">
        <f>(Z167/Z160-1)*100</f>
        <v>2.3337759498263777</v>
      </c>
      <c r="AC167" s="1470"/>
      <c r="AD167" s="1535">
        <f>(G167/AB167)*100</f>
        <v>31.034771040608401</v>
      </c>
      <c r="AE167" s="1472"/>
      <c r="AF167" s="1472"/>
      <c r="AG167" s="1537">
        <f>SUM(AG163:AG166)</f>
        <v>2734.6588929999998</v>
      </c>
      <c r="AH167" s="1538"/>
      <c r="AI167" s="1585">
        <f>SUM(AI163:AI166)</f>
        <v>425.63680292416734</v>
      </c>
      <c r="AJ167" s="1479"/>
      <c r="AK167" s="1584">
        <f>AI167/AI160-1</f>
        <v>2.318988263601196E-2</v>
      </c>
      <c r="AL167" s="1470"/>
      <c r="AM167" s="1655">
        <f>SUM(AM163:AM166)</f>
        <v>385.40610700000002</v>
      </c>
      <c r="AN167" s="1682"/>
      <c r="AO167" s="1206">
        <f>+AM167/AM160-1</f>
        <v>0.15391050000000006</v>
      </c>
      <c r="AP167" s="1206"/>
      <c r="AQ167" s="1291">
        <f>AM167/AM167</f>
        <v>1</v>
      </c>
      <c r="AR167" s="1470"/>
      <c r="AS167" s="1303">
        <f>AM167/(R167+AM167)</f>
        <v>0.12352502495941593</v>
      </c>
      <c r="AT167" s="1470"/>
      <c r="AU167" s="1532">
        <f>(AM167-AM160)/AW160*100</f>
        <v>1.7453641979374563</v>
      </c>
      <c r="AV167" s="1473"/>
      <c r="AW167" s="1537">
        <f>'qtrP&amp;L'!BP14</f>
        <v>3120.0650000000001</v>
      </c>
      <c r="AX167" s="1470"/>
      <c r="AY167" s="1470"/>
      <c r="AZ167" s="1470"/>
      <c r="BA167" s="1470"/>
      <c r="BB167" s="1470"/>
      <c r="BC167" s="1470"/>
      <c r="BD167" s="1470"/>
      <c r="BE167" s="1470"/>
      <c r="BF167" s="1470"/>
      <c r="BG167" s="1470"/>
      <c r="BH167" s="1470"/>
      <c r="BI167" s="1470"/>
      <c r="BJ167" s="1470"/>
      <c r="BK167" s="1470"/>
      <c r="BL167" s="1470"/>
      <c r="BM167" s="1470"/>
    </row>
    <row r="168" spans="1:65" ht="12" customHeight="1" collapsed="1">
      <c r="A168" s="1531"/>
      <c r="B168" s="1578"/>
      <c r="C168" s="1579"/>
      <c r="D168" s="1529"/>
      <c r="E168" s="1635"/>
      <c r="F168" s="1470"/>
      <c r="G168" s="1565"/>
      <c r="H168" s="1470"/>
      <c r="I168" s="1566"/>
      <c r="J168" s="1470"/>
      <c r="K168" s="1534"/>
      <c r="L168" s="1470"/>
      <c r="M168" s="1534"/>
      <c r="N168" s="1470"/>
      <c r="O168" s="1535"/>
      <c r="P168" s="1472"/>
      <c r="Q168" s="1472"/>
      <c r="R168" s="1537"/>
      <c r="S168" s="1538"/>
      <c r="T168" s="1539"/>
      <c r="U168" s="1479"/>
      <c r="V168" s="1584"/>
      <c r="W168" s="1479"/>
      <c r="X168" s="1611"/>
      <c r="Y168" s="1470"/>
      <c r="Z168" s="1574"/>
      <c r="AA168" s="1470"/>
      <c r="AB168" s="1534"/>
      <c r="AC168" s="1470"/>
      <c r="AD168" s="1535"/>
      <c r="AE168" s="1472"/>
      <c r="AF168" s="1472"/>
      <c r="AG168" s="1537"/>
      <c r="AH168" s="1538"/>
      <c r="AI168" s="1585"/>
      <c r="AJ168" s="1479"/>
      <c r="AK168" s="1584"/>
      <c r="AL168" s="1470"/>
      <c r="AM168" s="1655"/>
      <c r="AN168" s="1637"/>
      <c r="AO168" s="1206"/>
      <c r="AP168" s="1206"/>
      <c r="AQ168" s="1206"/>
      <c r="AR168" s="1206"/>
      <c r="AS168" s="1664"/>
      <c r="AT168" s="1206"/>
      <c r="AU168" s="1532"/>
      <c r="AV168" s="1473"/>
      <c r="AW168" s="1537"/>
      <c r="AX168" s="1470"/>
      <c r="AY168" s="1470"/>
      <c r="AZ168" s="1470"/>
      <c r="BA168" s="1470"/>
      <c r="BB168" s="1470"/>
      <c r="BC168" s="1470"/>
      <c r="BD168" s="1470"/>
      <c r="BE168" s="1470"/>
      <c r="BF168" s="1470"/>
      <c r="BG168" s="1470"/>
      <c r="BH168" s="1470"/>
      <c r="BI168" s="1470"/>
      <c r="BJ168" s="1470"/>
      <c r="BK168" s="1470"/>
      <c r="BL168" s="1470"/>
      <c r="BM168" s="1470"/>
    </row>
    <row r="169" spans="1:65" ht="12" customHeight="1">
      <c r="A169" s="1580" t="s">
        <v>479</v>
      </c>
      <c r="B169" s="1499"/>
      <c r="C169" s="1499"/>
      <c r="D169" s="1499"/>
      <c r="E169" s="1499"/>
      <c r="F169" s="1499"/>
      <c r="G169" s="1499"/>
      <c r="H169" s="1499"/>
      <c r="I169" s="1571"/>
      <c r="J169" s="1499"/>
      <c r="K169" s="1499"/>
      <c r="L169" s="1499"/>
      <c r="M169" s="1572"/>
      <c r="N169" s="1499"/>
      <c r="O169" s="1628"/>
      <c r="P169" s="1499"/>
      <c r="Q169" s="1499"/>
      <c r="R169" s="1499"/>
      <c r="S169" s="1499"/>
      <c r="T169" s="1530"/>
      <c r="U169" s="1530"/>
      <c r="V169" s="1303"/>
      <c r="W169" s="1479"/>
      <c r="X169" s="1654"/>
      <c r="Y169" s="1499"/>
      <c r="Z169" s="1499"/>
      <c r="AA169" s="1499"/>
      <c r="AB169" s="1572"/>
      <c r="AC169" s="1499"/>
      <c r="AD169" s="1551"/>
      <c r="AE169" s="1499"/>
      <c r="AF169" s="1499"/>
      <c r="AG169" s="1499"/>
      <c r="AH169" s="1499"/>
      <c r="AI169" s="1530"/>
      <c r="AJ169" s="1530"/>
      <c r="AK169" s="1303"/>
      <c r="AL169" s="1487"/>
      <c r="AM169" s="1512"/>
      <c r="AN169" s="1514"/>
      <c r="AO169" s="1487"/>
      <c r="AP169" s="1487"/>
      <c r="AQ169" s="1487"/>
      <c r="AR169" s="1487"/>
      <c r="AS169" s="1487"/>
      <c r="AT169" s="1487"/>
      <c r="AU169" s="1665"/>
      <c r="AV169" s="1473"/>
      <c r="AW169" s="1499"/>
      <c r="AX169" s="1470"/>
      <c r="AY169" s="1470"/>
      <c r="AZ169" s="1470"/>
      <c r="BA169" s="1470"/>
      <c r="BB169" s="1470"/>
      <c r="BC169" s="1470"/>
      <c r="BD169" s="1470"/>
      <c r="BE169" s="1470"/>
      <c r="BF169" s="1470"/>
      <c r="BG169" s="1470"/>
      <c r="BH169" s="1470"/>
      <c r="BI169" s="1470"/>
      <c r="BJ169" s="1470"/>
      <c r="BK169" s="1470"/>
      <c r="BL169" s="1470"/>
      <c r="BM169" s="1470"/>
    </row>
    <row r="170" spans="1:65" ht="12" customHeight="1">
      <c r="A170" s="1531" t="s">
        <v>758</v>
      </c>
      <c r="B170" s="1573"/>
      <c r="C170" s="1581">
        <f>(R170/R163-1)*100</f>
        <v>17.313225615046335</v>
      </c>
      <c r="D170" s="1573" t="s">
        <v>697</v>
      </c>
      <c r="E170" s="1646">
        <f>+'qtrP&amp;L'!BV10</f>
        <v>17</v>
      </c>
      <c r="F170" s="1573" t="s">
        <v>697</v>
      </c>
      <c r="G170" s="1565">
        <f>C170-E170</f>
        <v>0.31322561504633484</v>
      </c>
      <c r="H170" s="1573" t="s">
        <v>697</v>
      </c>
      <c r="I170" s="1639">
        <f>I166+6-7</f>
        <v>1068</v>
      </c>
      <c r="J170" s="1647">
        <f>I170-I166</f>
        <v>-1</v>
      </c>
      <c r="K170" s="1534">
        <f>(I170+I166)/2</f>
        <v>1068.5</v>
      </c>
      <c r="L170" s="1573"/>
      <c r="M170" s="1532">
        <f>(K170/K163-1)*100</f>
        <v>-1.2476894639556368</v>
      </c>
      <c r="N170" s="1573" t="s">
        <v>697</v>
      </c>
      <c r="O170" s="1535">
        <f>(G170/M170)*100</f>
        <v>-25.10445299852848</v>
      </c>
      <c r="P170" s="1573" t="s">
        <v>697</v>
      </c>
      <c r="Q170" s="1573"/>
      <c r="R170" s="1667">
        <f>'qtrP&amp;L'!BT10-AM170</f>
        <v>624.19818368000006</v>
      </c>
      <c r="S170" s="1557"/>
      <c r="T170" s="1539">
        <f xml:space="preserve"> R170/K170</f>
        <v>0.58418173484323821</v>
      </c>
      <c r="U170" s="1479"/>
      <c r="V170" s="1584">
        <f>T170/T163-1</f>
        <v>0.18795423598951944</v>
      </c>
      <c r="W170" s="1479"/>
      <c r="X170" s="1641">
        <v>6.4144199999999998</v>
      </c>
      <c r="Y170" s="1600"/>
      <c r="Z170" s="1574">
        <f>(X170+X166)/2</f>
        <v>6.3523519999999998</v>
      </c>
      <c r="AA170" s="1573"/>
      <c r="AB170" s="1532">
        <f>(Z170/Z163-1)*100</f>
        <v>0.150359107115694</v>
      </c>
      <c r="AC170" s="1573" t="s">
        <v>697</v>
      </c>
      <c r="AD170" s="1535">
        <f>(G170/AB170)*100</f>
        <v>208.31835267904526</v>
      </c>
      <c r="AE170" s="1573" t="s">
        <v>697</v>
      </c>
      <c r="AF170" s="1573"/>
      <c r="AG170" s="1538">
        <f>R170</f>
        <v>624.19818368000006</v>
      </c>
      <c r="AH170" s="1557"/>
      <c r="AI170" s="1640">
        <f xml:space="preserve"> AG170/Z170</f>
        <v>98.262530741369503</v>
      </c>
      <c r="AJ170" s="1479"/>
      <c r="AK170" s="1584">
        <f>AI170/AI163-1</f>
        <v>0.17137099318409965</v>
      </c>
      <c r="AL170" s="1470"/>
      <c r="AM170" s="1655">
        <f>+AM163*(1+AO170)</f>
        <v>84.496816320000008</v>
      </c>
      <c r="AN170" s="1651"/>
      <c r="AO170" s="111">
        <v>0.19</v>
      </c>
      <c r="AP170" s="111"/>
      <c r="AQ170" s="1291">
        <f>AM170/AM174</f>
        <v>0.17702715029737767</v>
      </c>
      <c r="AR170" s="1602"/>
      <c r="AS170" s="1303">
        <f>AM170/(R170+AM170)</f>
        <v>0.11922874624485851</v>
      </c>
      <c r="AT170" s="1602"/>
      <c r="AU170" s="1557">
        <f>(AM170-AM163)/AW163*100</f>
        <v>2.2370164554191456</v>
      </c>
      <c r="AV170" s="1473"/>
      <c r="AW170" s="1538">
        <f>'qtrP&amp;L'!BT10</f>
        <v>708.69500000000005</v>
      </c>
      <c r="AX170" s="1206"/>
      <c r="AY170" s="1470"/>
      <c r="AZ170" s="1470"/>
      <c r="BA170" s="1470"/>
      <c r="BB170" s="1470"/>
      <c r="BC170" s="1470"/>
      <c r="BD170" s="1470"/>
      <c r="BE170" s="1470"/>
      <c r="BF170" s="1470"/>
      <c r="BG170" s="1470"/>
      <c r="BH170" s="1470"/>
      <c r="BI170" s="1470"/>
      <c r="BJ170" s="1470"/>
      <c r="BK170" s="1470"/>
      <c r="BL170" s="1470"/>
      <c r="BM170" s="1470"/>
    </row>
    <row r="171" spans="1:65" ht="12" customHeight="1">
      <c r="A171" s="1531" t="s">
        <v>759</v>
      </c>
      <c r="B171" s="1573"/>
      <c r="C171" s="1581">
        <f>(R171/R164-1)*100</f>
        <v>8.3775500063328678</v>
      </c>
      <c r="D171" s="1573"/>
      <c r="E171" s="1646">
        <f>+'qtrP&amp;L'!BV11</f>
        <v>9</v>
      </c>
      <c r="F171" s="1573"/>
      <c r="G171" s="1565">
        <f>C171-E171</f>
        <v>-0.62244999366713216</v>
      </c>
      <c r="H171" s="1573"/>
      <c r="I171" s="1639">
        <f>I170+3-8</f>
        <v>1063</v>
      </c>
      <c r="J171" s="1647">
        <f>I171-I170</f>
        <v>-5</v>
      </c>
      <c r="K171" s="1534">
        <f>AVERAGEA(I170,I171)</f>
        <v>1065.5</v>
      </c>
      <c r="L171" s="1573"/>
      <c r="M171" s="1532">
        <f>(K171/K164-1)*100</f>
        <v>-1.7519594283079809</v>
      </c>
      <c r="N171" s="1573"/>
      <c r="O171" s="1535">
        <f>(G171/M171)*100</f>
        <v>35.528790428000157</v>
      </c>
      <c r="P171" s="1573"/>
      <c r="Q171" s="1573"/>
      <c r="R171" s="1605">
        <f>'qtrP&amp;L'!BT11-AM171</f>
        <v>645.06747264000001</v>
      </c>
      <c r="S171" s="1557"/>
      <c r="T171" s="1255">
        <f xml:space="preserve"> R171/K171</f>
        <v>0.60541292598779917</v>
      </c>
      <c r="U171" s="1479"/>
      <c r="V171" s="1584">
        <f>T171/T164-1</f>
        <v>0.10310138884906617</v>
      </c>
      <c r="W171" s="1479"/>
      <c r="X171" s="1641">
        <v>6.2830279999999998</v>
      </c>
      <c r="Y171" s="1600"/>
      <c r="Z171" s="1574">
        <f>AVERAGEA(X170,X171)</f>
        <v>6.3487239999999998</v>
      </c>
      <c r="AA171" s="1573"/>
      <c r="AB171" s="1532">
        <f>(Z171/Z164-1)*100</f>
        <v>-1.2332073401742916</v>
      </c>
      <c r="AC171" s="1573"/>
      <c r="AD171" s="1535">
        <f>(G171/AB171)*100</f>
        <v>50.474074666078458</v>
      </c>
      <c r="AE171" s="1573"/>
      <c r="AF171" s="1573"/>
      <c r="AG171" s="1557">
        <f>R171</f>
        <v>645.06747264000001</v>
      </c>
      <c r="AH171" s="1557"/>
      <c r="AI171" s="1587">
        <f xml:space="preserve"> AG171/Z171</f>
        <v>101.60584593691583</v>
      </c>
      <c r="AJ171" s="1479"/>
      <c r="AK171" s="1584">
        <f>AI171/AI164-1</f>
        <v>9.7307577655261879E-2</v>
      </c>
      <c r="AL171" s="1470"/>
      <c r="AM171" s="1655">
        <f>+AM164*(1+AO171)</f>
        <v>94.612527359999987</v>
      </c>
      <c r="AN171" s="1651"/>
      <c r="AO171" s="111">
        <v>0.28000000000000003</v>
      </c>
      <c r="AP171" s="111"/>
      <c r="AQ171" s="1291">
        <f>AM171/AM174</f>
        <v>0.19822032155084957</v>
      </c>
      <c r="AR171" s="1602"/>
      <c r="AS171" s="1303">
        <f>AM171/(R171+AM171)</f>
        <v>0.12791007916937053</v>
      </c>
      <c r="AT171" s="1602"/>
      <c r="AU171" s="1557">
        <f>(AM171-AM164)/AW164*100</f>
        <v>3.0930909791965564</v>
      </c>
      <c r="AV171" s="1473"/>
      <c r="AW171" s="1538">
        <f>'qtrP&amp;L'!BT11</f>
        <v>739.68</v>
      </c>
      <c r="AX171" s="1206"/>
      <c r="AY171" s="1470"/>
      <c r="AZ171" s="1470"/>
      <c r="BA171" s="1470"/>
      <c r="BB171" s="1470"/>
      <c r="BC171" s="1470"/>
      <c r="BD171" s="1470"/>
      <c r="BE171" s="1470"/>
      <c r="BF171" s="1470"/>
      <c r="BG171" s="1470"/>
      <c r="BH171" s="1470"/>
      <c r="BI171" s="1470"/>
      <c r="BJ171" s="1470"/>
      <c r="BK171" s="1470"/>
      <c r="BL171" s="1470"/>
      <c r="BM171" s="1470"/>
    </row>
    <row r="172" spans="1:65" ht="12" customHeight="1">
      <c r="A172" s="1531" t="s">
        <v>760</v>
      </c>
      <c r="B172" s="1573"/>
      <c r="C172" s="1581">
        <f>(R172/R165-1)*100</f>
        <v>9.4865015609689287</v>
      </c>
      <c r="D172" s="1573"/>
      <c r="E172" s="1646">
        <f>+'qtrP&amp;L'!BV12</f>
        <v>10</v>
      </c>
      <c r="F172" s="1573"/>
      <c r="G172" s="1565">
        <f>C172-E172</f>
        <v>-0.51349843903107129</v>
      </c>
      <c r="H172" s="1573"/>
      <c r="I172" s="1639">
        <v>1063</v>
      </c>
      <c r="J172" s="1647">
        <f>I172-I171</f>
        <v>0</v>
      </c>
      <c r="K172" s="1534">
        <f>AVERAGEA(I171,I172)</f>
        <v>1063</v>
      </c>
      <c r="L172" s="1573"/>
      <c r="M172" s="1532">
        <f>(K172/K165-1)*100</f>
        <v>-3.2757051865332065</v>
      </c>
      <c r="N172" s="1573"/>
      <c r="O172" s="1535">
        <f>(G172/M172)*100</f>
        <v>15.675966235976341</v>
      </c>
      <c r="P172" s="1573"/>
      <c r="Q172" s="1573"/>
      <c r="R172" s="1605">
        <f>'qtrP&amp;L'!BT12-AM172</f>
        <v>797.41848656000002</v>
      </c>
      <c r="S172" s="1557"/>
      <c r="T172" s="1255">
        <f xml:space="preserve"> R172/K172</f>
        <v>0.75015850099717785</v>
      </c>
      <c r="U172" s="1479"/>
      <c r="V172" s="1584">
        <f>T172/T165-1</f>
        <v>0.13194416947793819</v>
      </c>
      <c r="W172" s="1479"/>
      <c r="X172" s="1641">
        <v>6.3000661999999998</v>
      </c>
      <c r="Y172" s="1600"/>
      <c r="Z172" s="1574">
        <f>AVERAGEA(X171,X172)</f>
        <v>6.2915470999999998</v>
      </c>
      <c r="AA172" s="1573"/>
      <c r="AB172" s="1532">
        <f>(Z172/Z165-1)*100</f>
        <v>-3.1723182788179316</v>
      </c>
      <c r="AC172" s="1573"/>
      <c r="AD172" s="1535">
        <f>(G172/AB172)*100</f>
        <v>16.186851188916986</v>
      </c>
      <c r="AE172" s="1573"/>
      <c r="AF172" s="1573"/>
      <c r="AG172" s="1557">
        <f>R172</f>
        <v>797.41848656000002</v>
      </c>
      <c r="AH172" s="1557"/>
      <c r="AI172" s="1587">
        <f xml:space="preserve"> AG172/Z172</f>
        <v>126.74441975646977</v>
      </c>
      <c r="AJ172" s="1479"/>
      <c r="AK172" s="1584">
        <f>AI172/AI165-1</f>
        <v>0.13073554602121185</v>
      </c>
      <c r="AL172" s="1470"/>
      <c r="AM172" s="1655">
        <f>+AM165*(1+AO172)</f>
        <v>112.95551344</v>
      </c>
      <c r="AN172" s="1651"/>
      <c r="AO172" s="111">
        <v>0.24</v>
      </c>
      <c r="AP172" s="111"/>
      <c r="AQ172" s="1291">
        <f>AM172/AM174</f>
        <v>0.23665024938847712</v>
      </c>
      <c r="AR172" s="1602"/>
      <c r="AS172" s="1303">
        <f>AM172/(R172+AM172)</f>
        <v>0.12407594399664314</v>
      </c>
      <c r="AT172" s="1602"/>
      <c r="AU172" s="1557">
        <f>(AM172-AM165)/AW165*100</f>
        <v>2.6680315491830182</v>
      </c>
      <c r="AV172" s="1473"/>
      <c r="AW172" s="1538">
        <f>'qtrP&amp;L'!BT12</f>
        <v>910.37400000000002</v>
      </c>
      <c r="AX172" s="1206"/>
      <c r="AY172" s="1470"/>
      <c r="AZ172" s="1470"/>
      <c r="BA172" s="1303"/>
      <c r="BB172" s="1470"/>
      <c r="BC172" s="1470"/>
      <c r="BD172" s="1470"/>
      <c r="BE172" s="1470"/>
      <c r="BF172" s="1470"/>
      <c r="BG172" s="1470"/>
      <c r="BH172" s="1470"/>
      <c r="BI172" s="1470"/>
      <c r="BJ172" s="1470"/>
      <c r="BK172" s="1470"/>
      <c r="BL172" s="1470"/>
      <c r="BM172" s="1470"/>
    </row>
    <row r="173" spans="1:65" ht="12" customHeight="1">
      <c r="A173" s="1531" t="s">
        <v>761</v>
      </c>
      <c r="B173" s="1573"/>
      <c r="C173" s="1570">
        <f>(R173/R166-1)*100</f>
        <v>6.0016001941840091</v>
      </c>
      <c r="D173" s="1573"/>
      <c r="E173" s="1649">
        <f>+'qtrP&amp;L'!BV13</f>
        <v>4</v>
      </c>
      <c r="F173" s="1573"/>
      <c r="G173" s="1570">
        <f>C173-E173</f>
        <v>2.0016001941840091</v>
      </c>
      <c r="H173" s="1573"/>
      <c r="I173" s="1639">
        <f>yrSales!T19</f>
        <v>1044</v>
      </c>
      <c r="J173" s="1647">
        <f>I173-I172</f>
        <v>-19</v>
      </c>
      <c r="K173" s="1545">
        <f>AVERAGEA(I172,I173)</f>
        <v>1053.5</v>
      </c>
      <c r="L173" s="1573"/>
      <c r="M173" s="1544">
        <f>(K173/K166-1)*100</f>
        <v>-3.5697940503432446</v>
      </c>
      <c r="N173" s="1573"/>
      <c r="O173" s="1475">
        <f>(G173/M173)*100</f>
        <v>-56.070466978103404</v>
      </c>
      <c r="P173" s="1573"/>
      <c r="Q173" s="1573"/>
      <c r="R173" s="1607">
        <f>'qtrP&amp;L'!BT13-AM173</f>
        <v>931.80792936000012</v>
      </c>
      <c r="S173" s="1557"/>
      <c r="T173" s="1562">
        <f xml:space="preserve"> R173/K173</f>
        <v>0.88448783043189383</v>
      </c>
      <c r="U173" s="1479"/>
      <c r="V173" s="1589">
        <f>T173/T166-1</f>
        <v>9.9257220808220747E-2</v>
      </c>
      <c r="W173" s="1479"/>
      <c r="X173" s="1641">
        <v>6.2032780000000001</v>
      </c>
      <c r="Y173" s="1600"/>
      <c r="Z173" s="1577">
        <f>AVERAGEA(X172,X173)</f>
        <v>6.2516721000000004</v>
      </c>
      <c r="AA173" s="1573"/>
      <c r="AB173" s="1544">
        <f>(Z173/Z166-1)*100</f>
        <v>-2.5220833676363741</v>
      </c>
      <c r="AC173" s="1573"/>
      <c r="AD173" s="1475">
        <f>(G173/AB173)*100</f>
        <v>-79.362967135374788</v>
      </c>
      <c r="AE173" s="1573"/>
      <c r="AF173" s="1573"/>
      <c r="AG173" s="1544">
        <f>R173</f>
        <v>931.80792936000012</v>
      </c>
      <c r="AH173" s="1557"/>
      <c r="AI173" s="1590">
        <f xml:space="preserve"> AG173/Z173</f>
        <v>149.04939261929621</v>
      </c>
      <c r="AJ173" s="1479"/>
      <c r="AK173" s="1589">
        <f>AI173/AI166-1</f>
        <v>8.7442200821415961E-2</v>
      </c>
      <c r="AL173" s="1470"/>
      <c r="AM173" s="1656">
        <f>+AM166*(1+AO173)</f>
        <v>185.24507064000005</v>
      </c>
      <c r="AN173" s="1651"/>
      <c r="AO173" s="1658">
        <v>0.24</v>
      </c>
      <c r="AP173" s="1659"/>
      <c r="AQ173" s="1609">
        <f>AM173/AM174</f>
        <v>0.38810227876329567</v>
      </c>
      <c r="AR173" s="1603"/>
      <c r="AS173" s="1594">
        <f>AM173/(R173+AM173)</f>
        <v>0.16583373451393985</v>
      </c>
      <c r="AT173" s="1603"/>
      <c r="AU173" s="1544">
        <f>(AM173-AM166)/AW166*100</f>
        <v>3.4862330243222286</v>
      </c>
      <c r="AV173" s="1473"/>
      <c r="AW173" s="1683">
        <f>'qtrP&amp;L'!BT13</f>
        <v>1117.0530000000001</v>
      </c>
      <c r="AX173" s="1206"/>
      <c r="AY173" s="1470"/>
      <c r="AZ173" s="1470"/>
      <c r="BA173" s="1470"/>
      <c r="BB173" s="1470"/>
      <c r="BC173" s="1470"/>
      <c r="BD173" s="1470"/>
      <c r="BE173" s="1470"/>
      <c r="BF173" s="1470"/>
      <c r="BG173" s="1470"/>
      <c r="BH173" s="1470"/>
      <c r="BI173" s="1470"/>
      <c r="BJ173" s="1470"/>
      <c r="BK173" s="1470"/>
      <c r="BL173" s="1470"/>
      <c r="BM173" s="1470"/>
    </row>
    <row r="174" spans="1:65" ht="12" customHeight="1">
      <c r="A174" s="1531" t="s">
        <v>762</v>
      </c>
      <c r="B174" s="1578"/>
      <c r="C174" s="1579">
        <f>(R174/R167-1)*100</f>
        <v>9.647754603520875</v>
      </c>
      <c r="D174" s="1529"/>
      <c r="E174" s="1635">
        <v>9</v>
      </c>
      <c r="F174" s="1470"/>
      <c r="G174" s="1565">
        <f>C174-E174</f>
        <v>0.64775460352087499</v>
      </c>
      <c r="H174" s="1470"/>
      <c r="I174" s="1566"/>
      <c r="J174" s="1470"/>
      <c r="K174" s="1534">
        <f>AVERAGEA(K170:K173)</f>
        <v>1062.625</v>
      </c>
      <c r="L174" s="1470"/>
      <c r="M174" s="1532">
        <f>(K174/K167-1)*100</f>
        <v>-2.4667278568150541</v>
      </c>
      <c r="N174" s="1470"/>
      <c r="O174" s="1535">
        <f>(G174/M174)*100</f>
        <v>-26.259670345525315</v>
      </c>
      <c r="P174" s="1472"/>
      <c r="Q174" s="1472"/>
      <c r="R174" s="1537">
        <f>SUM(R170:R173)</f>
        <v>2998.4920722400002</v>
      </c>
      <c r="S174" s="1538"/>
      <c r="T174" s="1539">
        <f>SUM(T170:T173)</f>
        <v>2.8242409922601093</v>
      </c>
      <c r="U174" s="1479"/>
      <c r="V174" s="1584">
        <f>T174/T167-1</f>
        <v>0.12612771986445681</v>
      </c>
      <c r="W174" s="1479"/>
      <c r="X174" s="1611"/>
      <c r="Y174" s="1470"/>
      <c r="Z174" s="1574">
        <f>AVERAGEA(Z170:Z173)</f>
        <v>6.3110738</v>
      </c>
      <c r="AA174" s="1470"/>
      <c r="AB174" s="1532">
        <f>(Z174/Z167-1)*100</f>
        <v>-1.7039711711445027</v>
      </c>
      <c r="AC174" s="1470"/>
      <c r="AD174" s="1535">
        <f>(G174/AB174)*100</f>
        <v>-38.014410953079626</v>
      </c>
      <c r="AE174" s="1472"/>
      <c r="AF174" s="1472"/>
      <c r="AG174" s="1537">
        <f>SUM(AG170:AG173)</f>
        <v>2998.4920722400002</v>
      </c>
      <c r="AH174" s="1538"/>
      <c r="AI174" s="1585">
        <f>SUM(AI170:AI173)</f>
        <v>475.66218905405128</v>
      </c>
      <c r="AJ174" s="1479"/>
      <c r="AK174" s="1584">
        <f>AI174/AI167-1</f>
        <v>0.11753068763369279</v>
      </c>
      <c r="AL174" s="1470"/>
      <c r="AM174" s="1684">
        <f>SUM(AM170:AM173)</f>
        <v>477.30992776000005</v>
      </c>
      <c r="AN174" s="1682"/>
      <c r="AO174" s="1206">
        <f>+AM174/AM167-1</f>
        <v>0.23845968989796007</v>
      </c>
      <c r="AP174" s="1206"/>
      <c r="AQ174" s="1291">
        <f>AM174/AM174</f>
        <v>1</v>
      </c>
      <c r="AR174" s="1470"/>
      <c r="AS174" s="1303">
        <f>AM174/(R174+AM174)</f>
        <v>0.13732368177473861</v>
      </c>
      <c r="AT174" s="1470"/>
      <c r="AU174" s="1532">
        <f>(AM174-AM167)/AW167*100</f>
        <v>2.94557391464601</v>
      </c>
      <c r="AV174" s="1473"/>
      <c r="AW174" s="1537">
        <f>'qtrP&amp;L'!BT14</f>
        <v>3475.8019999999997</v>
      </c>
      <c r="AX174" s="1470"/>
      <c r="AY174" s="1470"/>
      <c r="AZ174" s="1470"/>
      <c r="BA174" s="1470"/>
      <c r="BB174" s="1470"/>
      <c r="BC174" s="1470"/>
      <c r="BD174" s="1470"/>
      <c r="BE174" s="1470"/>
      <c r="BF174" s="1470"/>
      <c r="BG174" s="1470"/>
      <c r="BH174" s="1470"/>
      <c r="BI174" s="1470"/>
      <c r="BJ174" s="1470"/>
      <c r="BK174" s="1470"/>
      <c r="BL174" s="1470"/>
      <c r="BM174" s="1470"/>
    </row>
    <row r="175" spans="1:65" ht="12" customHeight="1">
      <c r="A175" s="1531"/>
      <c r="B175" s="1578"/>
      <c r="C175" s="1579"/>
      <c r="D175" s="1529"/>
      <c r="E175" s="1635"/>
      <c r="F175" s="1470"/>
      <c r="G175" s="1565"/>
      <c r="H175" s="1470"/>
      <c r="I175" s="1566"/>
      <c r="J175" s="1470"/>
      <c r="K175" s="1534"/>
      <c r="L175" s="1470"/>
      <c r="M175" s="1532"/>
      <c r="N175" s="1470"/>
      <c r="O175" s="1535"/>
      <c r="P175" s="1472"/>
      <c r="Q175" s="1472"/>
      <c r="R175" s="1537"/>
      <c r="S175" s="1538"/>
      <c r="T175" s="1539"/>
      <c r="U175" s="1479"/>
      <c r="V175" s="1584"/>
      <c r="W175" s="1479"/>
      <c r="X175" s="1611"/>
      <c r="Y175" s="1470"/>
      <c r="Z175" s="1574"/>
      <c r="AA175" s="1470"/>
      <c r="AB175" s="1532"/>
      <c r="AC175" s="1470"/>
      <c r="AD175" s="1535"/>
      <c r="AE175" s="1472"/>
      <c r="AF175" s="1472"/>
      <c r="AG175" s="1537"/>
      <c r="AH175" s="1538"/>
      <c r="AI175" s="1585"/>
      <c r="AJ175" s="1479"/>
      <c r="AK175" s="1584"/>
      <c r="AL175" s="1470"/>
      <c r="AM175" s="1655"/>
      <c r="AN175" s="1682"/>
      <c r="AO175" s="1206"/>
      <c r="AP175" s="1206"/>
      <c r="AQ175" s="1291"/>
      <c r="AR175" s="1470"/>
      <c r="AS175" s="1303"/>
      <c r="AT175" s="1470"/>
      <c r="AU175" s="1532"/>
      <c r="AV175" s="1473"/>
      <c r="AW175" s="1537"/>
      <c r="AX175" s="1470"/>
      <c r="AY175" s="1470"/>
      <c r="AZ175" s="1470"/>
      <c r="BA175" s="1470"/>
      <c r="BB175" s="1470"/>
      <c r="BC175" s="1470"/>
      <c r="BD175" s="1470"/>
      <c r="BE175" s="1470"/>
      <c r="BF175" s="1470"/>
      <c r="BG175" s="1470"/>
      <c r="BH175" s="1470"/>
      <c r="BI175" s="1470"/>
      <c r="BJ175" s="1470"/>
      <c r="BK175" s="1470"/>
      <c r="BL175" s="1470"/>
      <c r="BM175" s="1470"/>
    </row>
    <row r="176" spans="1:65" ht="12" customHeight="1">
      <c r="A176" s="1580" t="s">
        <v>190</v>
      </c>
      <c r="B176" s="1578"/>
      <c r="C176" s="1579"/>
      <c r="D176" s="1529"/>
      <c r="E176" s="1635"/>
      <c r="F176" s="1470"/>
      <c r="G176" s="1565"/>
      <c r="H176" s="1470"/>
      <c r="I176" s="1566"/>
      <c r="J176" s="1470"/>
      <c r="K176" s="1534"/>
      <c r="L176" s="1470"/>
      <c r="M176" s="1532"/>
      <c r="N176" s="1470"/>
      <c r="O176" s="1535"/>
      <c r="P176" s="1472"/>
      <c r="Q176" s="1472"/>
      <c r="R176" s="1537"/>
      <c r="S176" s="1538"/>
      <c r="T176" s="1539"/>
      <c r="U176" s="1479"/>
      <c r="V176" s="1584"/>
      <c r="W176" s="1479"/>
      <c r="X176" s="1611"/>
      <c r="Y176" s="1470"/>
      <c r="Z176" s="1574"/>
      <c r="AA176" s="1470"/>
      <c r="AB176" s="1532"/>
      <c r="AC176" s="1470"/>
      <c r="AD176" s="1535"/>
      <c r="AE176" s="1472"/>
      <c r="AF176" s="1472"/>
      <c r="AG176" s="1537"/>
      <c r="AH176" s="1538"/>
      <c r="AI176" s="1585"/>
      <c r="AJ176" s="1479"/>
      <c r="AK176" s="1584"/>
      <c r="AL176" s="1470"/>
      <c r="AM176" s="1655"/>
      <c r="AN176" s="1682"/>
      <c r="AO176" s="1206"/>
      <c r="AP176" s="1206"/>
      <c r="AQ176" s="1291"/>
      <c r="AR176" s="1470"/>
      <c r="AS176" s="1303"/>
      <c r="AT176" s="1470"/>
      <c r="AU176" s="1532"/>
      <c r="AV176" s="1473"/>
      <c r="AW176" s="1537"/>
      <c r="AX176" s="1470"/>
      <c r="AY176" s="1470"/>
      <c r="AZ176" s="1470"/>
      <c r="BA176" s="1470"/>
      <c r="BB176" s="1470"/>
      <c r="BC176" s="1470"/>
      <c r="BD176" s="1470"/>
      <c r="BE176" s="1470"/>
      <c r="BF176" s="1470"/>
      <c r="BG176" s="1470"/>
      <c r="BH176" s="1470"/>
      <c r="BI176" s="1470"/>
      <c r="BJ176" s="1470"/>
      <c r="BK176" s="1470"/>
      <c r="BL176" s="1470"/>
      <c r="BM176" s="1470"/>
    </row>
    <row r="177" spans="1:65" ht="12" customHeight="1">
      <c r="A177" s="1531" t="s">
        <v>758</v>
      </c>
      <c r="B177" s="1578"/>
      <c r="C177" s="1581">
        <f>(R177/R170-1)*100</f>
        <v>-7.9297308468579519</v>
      </c>
      <c r="D177" s="1573" t="s">
        <v>697</v>
      </c>
      <c r="E177" s="1646">
        <f>'qtrP&amp;L'!BZ10</f>
        <v>-5</v>
      </c>
      <c r="F177" s="1470" t="s">
        <v>697</v>
      </c>
      <c r="G177" s="1565">
        <f>C177-E177</f>
        <v>-2.9297308468579519</v>
      </c>
      <c r="H177" s="1470" t="s">
        <v>697</v>
      </c>
      <c r="I177" s="1639">
        <v>1037</v>
      </c>
      <c r="J177" s="1685">
        <f>I177-I173</f>
        <v>-7</v>
      </c>
      <c r="K177" s="1534">
        <f>(I177+I173)/2</f>
        <v>1040.5</v>
      </c>
      <c r="L177" s="1470"/>
      <c r="M177" s="1532">
        <f>(K177/K170-1)*100</f>
        <v>-2.6204960224613938</v>
      </c>
      <c r="N177" s="1573" t="s">
        <v>697</v>
      </c>
      <c r="O177" s="1535">
        <f>(G177/M177)*100</f>
        <v>111.80062178099008</v>
      </c>
      <c r="P177" s="1472" t="s">
        <v>697</v>
      </c>
      <c r="Q177" s="1472"/>
      <c r="R177" s="1667">
        <f>'qtrP&amp;L'!BX10-AM177</f>
        <v>574.70094776320002</v>
      </c>
      <c r="S177" s="1538"/>
      <c r="T177" s="1539">
        <f xml:space="preserve"> R177/K177</f>
        <v>0.55233152115636719</v>
      </c>
      <c r="U177" s="1479"/>
      <c r="V177" s="1584">
        <f>T177/T170-1</f>
        <v>-5.4521070733952071E-2</v>
      </c>
      <c r="W177" s="1479"/>
      <c r="X177" s="1641">
        <v>6.1916380000000002</v>
      </c>
      <c r="Y177" s="1470"/>
      <c r="Z177" s="1574">
        <f>(X177+X173)/2</f>
        <v>6.1974580000000001</v>
      </c>
      <c r="AA177" s="1470"/>
      <c r="AB177" s="1532">
        <f>(Z177/Z170-1)*100</f>
        <v>-2.4383724327619039</v>
      </c>
      <c r="AC177" s="1470" t="s">
        <v>697</v>
      </c>
      <c r="AD177" s="1535">
        <f>(G177/AB177)*100</f>
        <v>120.15108141374017</v>
      </c>
      <c r="AE177" s="1573" t="s">
        <v>697</v>
      </c>
      <c r="AF177" s="1472"/>
      <c r="AG177" s="1538">
        <f>R177</f>
        <v>574.70094776320002</v>
      </c>
      <c r="AH177" s="1538"/>
      <c r="AI177" s="1585">
        <f xml:space="preserve"> AG177/Z177</f>
        <v>92.731721257844754</v>
      </c>
      <c r="AJ177" s="1479"/>
      <c r="AK177" s="1584">
        <f>AI177/AI170-1</f>
        <v>-5.6286047609358181E-2</v>
      </c>
      <c r="AL177" s="1470"/>
      <c r="AM177" s="1655">
        <f>+AM170*(1+AO177)</f>
        <v>104.77605223680001</v>
      </c>
      <c r="AN177" s="1682"/>
      <c r="AO177" s="111">
        <v>0.24</v>
      </c>
      <c r="AP177" s="1206"/>
      <c r="AQ177" s="1291">
        <f>AM177/AM181</f>
        <v>0.19350875526509748</v>
      </c>
      <c r="AR177" s="1470"/>
      <c r="AS177" s="1303">
        <f>AM177/(R177+AM177)</f>
        <v>0.15420102849220799</v>
      </c>
      <c r="AT177" s="1470"/>
      <c r="AU177" s="1557">
        <f>(AM177-AM170)/AW170*100</f>
        <v>2.8614899098766045</v>
      </c>
      <c r="AV177" s="1473"/>
      <c r="AW177" s="1538">
        <f>'qtrP&amp;L'!BX10</f>
        <v>679.47699999999998</v>
      </c>
      <c r="AX177" s="1470"/>
      <c r="AY177" s="1470"/>
      <c r="AZ177" s="1470"/>
      <c r="BA177" s="1470"/>
      <c r="BB177" s="1470"/>
      <c r="BC177" s="1470"/>
      <c r="BD177" s="1470"/>
      <c r="BE177" s="1470"/>
      <c r="BF177" s="1470"/>
      <c r="BG177" s="1470"/>
      <c r="BH177" s="1470"/>
      <c r="BI177" s="1470"/>
      <c r="BJ177" s="1470"/>
      <c r="BK177" s="1470"/>
      <c r="BL177" s="1470"/>
      <c r="BM177" s="1470"/>
    </row>
    <row r="178" spans="1:65" ht="12" customHeight="1">
      <c r="A178" s="1531" t="s">
        <v>759</v>
      </c>
      <c r="B178" s="1578"/>
      <c r="C178" s="1581">
        <f>(R178/R171-1)*100</f>
        <v>-3.5305419937535665</v>
      </c>
      <c r="D178" s="1529"/>
      <c r="E178" s="1646">
        <f>'qtrP&amp;L'!BZ11</f>
        <v>-7</v>
      </c>
      <c r="F178" s="1470"/>
      <c r="G178" s="1565">
        <f>C178-E178</f>
        <v>3.4694580062464335</v>
      </c>
      <c r="H178" s="1470"/>
      <c r="I178" s="1639">
        <v>1056</v>
      </c>
      <c r="J178" s="1685">
        <f>I178-I177</f>
        <v>19</v>
      </c>
      <c r="K178" s="1541">
        <f>AVERAGEA(I177,I178)</f>
        <v>1046.5</v>
      </c>
      <c r="L178" s="1470"/>
      <c r="M178" s="1532">
        <f>(K178/K171-1)*100</f>
        <v>-1.7832003754106096</v>
      </c>
      <c r="N178" s="1470"/>
      <c r="O178" s="1535">
        <f>(G178/M178)*100</f>
        <v>-194.56355292924033</v>
      </c>
      <c r="P178" s="1472"/>
      <c r="Q178" s="1472"/>
      <c r="R178" s="1605">
        <f>'qtrP&amp;L'!BX11-AM178</f>
        <v>622.29309463039999</v>
      </c>
      <c r="S178" s="1538"/>
      <c r="T178" s="1255">
        <f xml:space="preserve"> R178/K178</f>
        <v>0.59464223089383661</v>
      </c>
      <c r="U178" s="1479"/>
      <c r="V178" s="1584">
        <f>T178/T171-1</f>
        <v>-1.7790659286616606E-2</v>
      </c>
      <c r="W178" s="1479"/>
      <c r="X178" s="1641">
        <v>6.3730549999999999</v>
      </c>
      <c r="Y178" s="1470"/>
      <c r="Z178" s="1686">
        <f>AVERAGEA(X177,X178)</f>
        <v>6.2823465000000001</v>
      </c>
      <c r="AA178" s="1470"/>
      <c r="AB178" s="1532">
        <f>(Z178/Z171-1)*100</f>
        <v>-1.0455250535383098</v>
      </c>
      <c r="AC178" s="1470"/>
      <c r="AD178" s="1535">
        <f>(G178/AB178)*100</f>
        <v>-331.8388205528837</v>
      </c>
      <c r="AE178" s="1573"/>
      <c r="AF178" s="1472"/>
      <c r="AG178" s="1557">
        <f>R178</f>
        <v>622.29309463039999</v>
      </c>
      <c r="AH178" s="1538"/>
      <c r="AI178" s="1587">
        <f xml:space="preserve"> AG178/Z178</f>
        <v>99.054245834800739</v>
      </c>
      <c r="AJ178" s="1479"/>
      <c r="AK178" s="1584">
        <f>AI178/AI171-1</f>
        <v>-2.511272927838526E-2</v>
      </c>
      <c r="AL178" s="1470"/>
      <c r="AM178" s="1655">
        <f>+AM171*(1+AO178)</f>
        <v>105.0199053696</v>
      </c>
      <c r="AN178" s="1682"/>
      <c r="AO178" s="111">
        <v>0.11</v>
      </c>
      <c r="AP178" s="1206"/>
      <c r="AQ178" s="1291">
        <f>AM178/AM181</f>
        <v>0.19395912264569865</v>
      </c>
      <c r="AR178" s="1470"/>
      <c r="AS178" s="1303">
        <f>AM178/(R178+AM178)</f>
        <v>0.14439437404473726</v>
      </c>
      <c r="AT178" s="1470"/>
      <c r="AU178" s="1557">
        <f>(AM178-AM171)/AW171*100</f>
        <v>1.4070108708630773</v>
      </c>
      <c r="AV178" s="1473"/>
      <c r="AW178" s="1557">
        <f>'qtrP&amp;L'!BX11</f>
        <v>727.31299999999999</v>
      </c>
      <c r="AX178" s="1470"/>
      <c r="AY178" s="1470"/>
      <c r="AZ178" s="1470"/>
      <c r="BA178" s="1470"/>
      <c r="BB178" s="1470"/>
      <c r="BC178" s="1470"/>
      <c r="BD178" s="1470"/>
      <c r="BE178" s="1470"/>
      <c r="BF178" s="1470"/>
      <c r="BG178" s="1470"/>
      <c r="BH178" s="1470"/>
      <c r="BI178" s="1470"/>
      <c r="BJ178" s="1470"/>
      <c r="BK178" s="1470"/>
      <c r="BL178" s="1470"/>
      <c r="BM178" s="1470"/>
    </row>
    <row r="179" spans="1:65" ht="12" customHeight="1">
      <c r="A179" s="1531" t="s">
        <v>760</v>
      </c>
      <c r="B179" s="1578"/>
      <c r="C179" s="1581">
        <f>(R179/R172-1)*100</f>
        <v>-8.9923498045470396</v>
      </c>
      <c r="D179" s="1529"/>
      <c r="E179" s="1646">
        <f>'qtrP&amp;L'!BZ12</f>
        <v>-5</v>
      </c>
      <c r="F179" s="1470"/>
      <c r="G179" s="1565">
        <f>C179-E179</f>
        <v>-3.9923498045470396</v>
      </c>
      <c r="H179" s="1470"/>
      <c r="I179" s="1639">
        <v>1064</v>
      </c>
      <c r="J179" s="1685">
        <f>I179-I178</f>
        <v>8</v>
      </c>
      <c r="K179" s="1541">
        <f>AVERAGEA(I178,I179)</f>
        <v>1060</v>
      </c>
      <c r="L179" s="1470"/>
      <c r="M179" s="1532">
        <f>(K179/K172-1)*100</f>
        <v>-0.2822201317027262</v>
      </c>
      <c r="N179" s="1470"/>
      <c r="O179" s="1535">
        <f>(G179/M179)*100</f>
        <v>1414.622614077844</v>
      </c>
      <c r="P179" s="1472"/>
      <c r="Q179" s="1472"/>
      <c r="R179" s="1605">
        <f>'qtrP&amp;L'!BX12-AM179</f>
        <v>725.71182684239989</v>
      </c>
      <c r="S179" s="1538"/>
      <c r="T179" s="1255">
        <f xml:space="preserve"> R179/K179</f>
        <v>0.68463379890792442</v>
      </c>
      <c r="U179" s="1479"/>
      <c r="V179" s="1584">
        <f>T179/T172-1</f>
        <v>-8.7347809832391543E-2</v>
      </c>
      <c r="W179" s="1479"/>
      <c r="X179" s="1641">
        <v>6.4554970000000003</v>
      </c>
      <c r="Y179" s="1470"/>
      <c r="Z179" s="1686">
        <f>AVERAGEA(X178,X179)</f>
        <v>6.4142760000000001</v>
      </c>
      <c r="AA179" s="1470"/>
      <c r="AB179" s="1532">
        <f>(Z179/Z172-1)*100</f>
        <v>1.950695084202736</v>
      </c>
      <c r="AC179" s="1470"/>
      <c r="AD179" s="1535">
        <f>(G179/AB179)*100</f>
        <v>-204.66293460614034</v>
      </c>
      <c r="AE179" s="1573"/>
      <c r="AF179" s="1472"/>
      <c r="AG179" s="1557">
        <f>R179</f>
        <v>725.71182684239989</v>
      </c>
      <c r="AH179" s="1538"/>
      <c r="AI179" s="1587">
        <f xml:space="preserve"> AG179/Z179</f>
        <v>113.14009980898855</v>
      </c>
      <c r="AJ179" s="1479"/>
      <c r="AK179" s="1584">
        <f>AI179/AI172-1</f>
        <v>-0.10733663835947127</v>
      </c>
      <c r="AL179" s="1470"/>
      <c r="AM179" s="1655">
        <f>+AM172*(1+AO179)</f>
        <v>131.59317315760001</v>
      </c>
      <c r="AN179" s="1682"/>
      <c r="AO179" s="111">
        <v>0.16500000000000001</v>
      </c>
      <c r="AP179" s="1206"/>
      <c r="AQ179" s="1291">
        <f>AM179/AM181</f>
        <v>0.24303674929038657</v>
      </c>
      <c r="AR179" s="1470"/>
      <c r="AS179" s="1303">
        <f>AM179/(R179+AM179)</f>
        <v>0.15349633229434104</v>
      </c>
      <c r="AT179" s="1470"/>
      <c r="AU179" s="1557">
        <f>(AM179-AM172)/AW172*100</f>
        <v>2.0472530759446119</v>
      </c>
      <c r="AV179" s="1473"/>
      <c r="AW179" s="1557">
        <f>'qtrP&amp;L'!BX12</f>
        <v>857.30499999999995</v>
      </c>
      <c r="AX179" s="1470"/>
      <c r="AY179" s="1470"/>
      <c r="AZ179" s="1470"/>
      <c r="BA179" s="1470"/>
      <c r="BB179" s="1470"/>
      <c r="BC179" s="1470"/>
      <c r="BD179" s="1470"/>
      <c r="BE179" s="1470"/>
      <c r="BF179" s="1470"/>
      <c r="BG179" s="1470"/>
      <c r="BH179" s="1470"/>
      <c r="BI179" s="1470"/>
      <c r="BJ179" s="1470"/>
      <c r="BK179" s="1470"/>
      <c r="BL179" s="1470"/>
      <c r="BM179" s="1470"/>
    </row>
    <row r="180" spans="1:65" ht="12" customHeight="1">
      <c r="A180" s="1531" t="s">
        <v>761</v>
      </c>
      <c r="B180" s="1578"/>
      <c r="C180" s="1570">
        <f>(R180/R173-1)*100</f>
        <v>-9.6764153652490474</v>
      </c>
      <c r="D180" s="1529"/>
      <c r="E180" s="1649">
        <f>'qtrP&amp;L'!BZ13</f>
        <v>-7</v>
      </c>
      <c r="F180" s="1470"/>
      <c r="G180" s="1570">
        <f>C180-E180</f>
        <v>-2.6764153652490474</v>
      </c>
      <c r="H180" s="1470"/>
      <c r="I180" s="1639">
        <f>yrSales!U19</f>
        <v>1066</v>
      </c>
      <c r="J180" s="1685">
        <f>I180-I179</f>
        <v>2</v>
      </c>
      <c r="K180" s="1545">
        <f>AVERAGEA(I179,I180)</f>
        <v>1065</v>
      </c>
      <c r="L180" s="1470"/>
      <c r="M180" s="1544">
        <f>(K180/K173-1)*100</f>
        <v>1.0915994304698584</v>
      </c>
      <c r="N180" s="1470"/>
      <c r="O180" s="1475">
        <f>(G180/M180)*100</f>
        <v>-245.18292063390277</v>
      </c>
      <c r="P180" s="1472"/>
      <c r="Q180" s="1472"/>
      <c r="R180" s="1607">
        <f>'qtrP&amp;L'!BX13-AM180</f>
        <v>841.64232370880006</v>
      </c>
      <c r="S180" s="1538"/>
      <c r="T180" s="1562">
        <f xml:space="preserve"> R180/K180</f>
        <v>0.79027448235568076</v>
      </c>
      <c r="U180" s="1479"/>
      <c r="V180" s="1589">
        <f>T180/T173-1</f>
        <v>-0.10651740457549186</v>
      </c>
      <c r="W180" s="1479"/>
      <c r="X180" s="1641">
        <v>6.5034859999999997</v>
      </c>
      <c r="Y180" s="1470"/>
      <c r="Z180" s="1577">
        <f>AVERAGEA(X179,X180)</f>
        <v>6.4794915</v>
      </c>
      <c r="AA180" s="1470"/>
      <c r="AB180" s="1544">
        <f>(Z180/Z173-1)*100</f>
        <v>3.6441354625748712</v>
      </c>
      <c r="AC180" s="1470"/>
      <c r="AD180" s="1475">
        <f>(G180/AB180)*100</f>
        <v>-73.444453224522761</v>
      </c>
      <c r="AE180" s="1573"/>
      <c r="AF180" s="1472"/>
      <c r="AG180" s="1544">
        <f>R180</f>
        <v>841.64232370880006</v>
      </c>
      <c r="AH180" s="1538"/>
      <c r="AI180" s="1590">
        <f xml:space="preserve"> AG180/Z180</f>
        <v>129.89326765978473</v>
      </c>
      <c r="AJ180" s="1479"/>
      <c r="AK180" s="1589">
        <f>AI180/AI173-1</f>
        <v>-0.12852199276276355</v>
      </c>
      <c r="AL180" s="1470"/>
      <c r="AM180" s="1656">
        <f>+AM173*(1+AO180)</f>
        <v>200.06467629120007</v>
      </c>
      <c r="AN180" s="1682"/>
      <c r="AO180" s="1658">
        <v>0.08</v>
      </c>
      <c r="AP180" s="1206"/>
      <c r="AQ180" s="1609">
        <f>AM180/AM181</f>
        <v>0.36949537279881739</v>
      </c>
      <c r="AR180" s="1470"/>
      <c r="AS180" s="1594">
        <f>AM180/(R180+AM180)</f>
        <v>0.19205465288339241</v>
      </c>
      <c r="AT180" s="1470"/>
      <c r="AU180" s="1544">
        <f>(AM180-AM173)/AW173*100</f>
        <v>1.3266698761115203</v>
      </c>
      <c r="AV180" s="1473"/>
      <c r="AW180" s="1544">
        <f>'qtrP&amp;L'!BX13</f>
        <v>1041.7070000000001</v>
      </c>
      <c r="AX180" s="1470"/>
      <c r="AY180" s="1470"/>
      <c r="AZ180" s="1470"/>
      <c r="BA180" s="1470"/>
      <c r="BB180" s="1470"/>
      <c r="BC180" s="1470"/>
      <c r="BD180" s="1470"/>
      <c r="BE180" s="1470"/>
      <c r="BF180" s="1470"/>
      <c r="BG180" s="1470"/>
      <c r="BH180" s="1470"/>
      <c r="BI180" s="1470"/>
      <c r="BJ180" s="1470"/>
      <c r="BK180" s="1470"/>
      <c r="BL180" s="1470"/>
      <c r="BM180" s="1470"/>
    </row>
    <row r="181" spans="1:65" ht="12" customHeight="1">
      <c r="A181" s="1531" t="s">
        <v>762</v>
      </c>
      <c r="B181" s="1578"/>
      <c r="C181" s="1579">
        <f>(R181/R174-1)*100</f>
        <v>-7.8087209722147115</v>
      </c>
      <c r="D181" s="1529"/>
      <c r="E181" s="1635">
        <v>-6</v>
      </c>
      <c r="F181" s="1470"/>
      <c r="G181" s="1832">
        <f>C181-E181</f>
        <v>-1.8087209722147115</v>
      </c>
      <c r="H181" s="1470"/>
      <c r="J181" s="1470"/>
      <c r="K181" s="1534">
        <f>AVERAGEA(K177:K180)</f>
        <v>1053</v>
      </c>
      <c r="L181" s="1470"/>
      <c r="M181" s="1532">
        <f>(K181/K174-1)*100</f>
        <v>-0.90577579108340744</v>
      </c>
      <c r="N181" s="1470"/>
      <c r="O181" s="1535">
        <f>(G181/M181)*100</f>
        <v>199.68749330905416</v>
      </c>
      <c r="P181" s="1472"/>
      <c r="Q181" s="1472"/>
      <c r="R181" s="1537">
        <f>SUM(R177:R180)</f>
        <v>2764.3481929447998</v>
      </c>
      <c r="S181" s="1538"/>
      <c r="T181" s="1539">
        <f>SUM(T177:T180)</f>
        <v>2.6218820333138093</v>
      </c>
      <c r="U181" s="1479"/>
      <c r="V181" s="1584">
        <f>T181/T174-1</f>
        <v>-7.1650740677183355E-2</v>
      </c>
      <c r="W181" s="1479"/>
      <c r="X181" s="1611"/>
      <c r="Y181" s="1470"/>
      <c r="Z181" s="1574">
        <f>AVERAGEA(Z177:Z180)</f>
        <v>6.3433930000000007</v>
      </c>
      <c r="AA181" s="1470"/>
      <c r="AB181" s="1532">
        <f>(Z181/Z174-1)*100</f>
        <v>0.51210302753867953</v>
      </c>
      <c r="AC181" s="1470"/>
      <c r="AD181" s="1535">
        <f>(G181/AB181)*100</f>
        <v>-353.19474303988511</v>
      </c>
      <c r="AE181" s="1472"/>
      <c r="AF181" s="1472"/>
      <c r="AG181" s="1537">
        <f>SUM(AG177:AG180)</f>
        <v>2764.3481929447998</v>
      </c>
      <c r="AH181" s="1538"/>
      <c r="AI181" s="1585">
        <f>SUM(AI177:AI180)</f>
        <v>434.81933456141877</v>
      </c>
      <c r="AJ181" s="1479"/>
      <c r="AK181" s="1584">
        <f>AI181/AI174-1</f>
        <v>-8.5865253603311653E-2</v>
      </c>
      <c r="AL181" s="1470"/>
      <c r="AM181" s="1655">
        <f>SUM(AM177:AM180)</f>
        <v>541.45380705520006</v>
      </c>
      <c r="AN181" s="1682"/>
      <c r="AO181" s="1206">
        <f>+AM181/AM174-1</f>
        <v>0.13438622489212637</v>
      </c>
      <c r="AP181" s="1206"/>
      <c r="AQ181" s="1291">
        <f>AM181/AM181</f>
        <v>1</v>
      </c>
      <c r="AR181" s="1470"/>
      <c r="AS181" s="1303">
        <f>AM181/(R181+AM181)</f>
        <v>0.16378894049165682</v>
      </c>
      <c r="AT181" s="1470"/>
      <c r="AU181" s="1532">
        <f>(AM181-AM174)/AW174*100</f>
        <v>1.8454411181994836</v>
      </c>
      <c r="AV181" s="1473"/>
      <c r="AW181" s="1537">
        <f>'qtrP&amp;L'!BX14</f>
        <v>3305.8019999999997</v>
      </c>
      <c r="AX181" s="1470"/>
      <c r="AY181" s="1470"/>
      <c r="AZ181" s="1470"/>
      <c r="BA181" s="1470"/>
      <c r="BB181" s="1470"/>
      <c r="BC181" s="1470"/>
      <c r="BD181" s="1470"/>
      <c r="BE181" s="1206"/>
      <c r="BF181" s="1470"/>
      <c r="BG181" s="1470"/>
      <c r="BH181" s="1470"/>
      <c r="BI181" s="1470"/>
      <c r="BJ181" s="1470"/>
      <c r="BK181" s="1470"/>
      <c r="BL181" s="1470"/>
      <c r="BM181" s="1470"/>
    </row>
    <row r="182" spans="1:65" ht="12" customHeight="1">
      <c r="A182" s="1536"/>
      <c r="B182" s="1573"/>
      <c r="C182" s="1581"/>
      <c r="D182" s="1573"/>
      <c r="E182" s="1661"/>
      <c r="F182" s="1573"/>
      <c r="G182" s="1581"/>
      <c r="H182" s="1573"/>
      <c r="I182" s="1566"/>
      <c r="J182" s="1573"/>
      <c r="K182" s="1541"/>
      <c r="L182" s="1573"/>
      <c r="M182" s="1541"/>
      <c r="N182" s="1573"/>
      <c r="O182" s="1688"/>
      <c r="P182" s="1573"/>
      <c r="Q182" s="1573"/>
      <c r="R182" s="1538"/>
      <c r="S182" s="1557"/>
      <c r="T182" s="1542"/>
      <c r="U182" s="1543"/>
      <c r="V182" s="1558"/>
      <c r="W182" s="1479"/>
      <c r="X182" s="1612"/>
      <c r="Y182" s="1573"/>
      <c r="Z182" s="1541"/>
      <c r="AA182" s="1573"/>
      <c r="AB182" s="1541"/>
      <c r="AC182" s="1573"/>
      <c r="AD182" s="1535"/>
      <c r="AE182" s="1573"/>
      <c r="AF182" s="1573"/>
      <c r="AG182" s="1538"/>
      <c r="AH182" s="1557"/>
      <c r="AI182" s="1542"/>
      <c r="AJ182" s="1543"/>
      <c r="AK182" s="1558"/>
      <c r="AL182" s="1470"/>
      <c r="AM182" s="1689"/>
      <c r="AN182" s="1690"/>
      <c r="AO182" s="1470"/>
      <c r="AP182" s="1470"/>
      <c r="AQ182" s="1470"/>
      <c r="AR182" s="1470"/>
      <c r="AS182" s="1664"/>
      <c r="AT182" s="1470"/>
      <c r="AU182" s="1470"/>
      <c r="AV182" s="1473"/>
      <c r="AW182" s="1470"/>
      <c r="AX182" s="1470"/>
      <c r="AY182" s="1470"/>
      <c r="AZ182" s="1470"/>
      <c r="BA182" s="1470"/>
      <c r="BB182" s="1470"/>
      <c r="BC182" s="1470"/>
      <c r="BD182" s="1470"/>
      <c r="BE182" s="1470"/>
      <c r="BF182" s="1470"/>
      <c r="BG182" s="1470"/>
      <c r="BH182" s="1470"/>
      <c r="BI182" s="1470"/>
      <c r="BJ182" s="1470"/>
      <c r="BK182" s="1470"/>
      <c r="BL182" s="1470"/>
      <c r="BM182" s="1470"/>
    </row>
    <row r="183" spans="1:65" ht="12" customHeight="1">
      <c r="A183" s="1580" t="s">
        <v>187</v>
      </c>
      <c r="B183" s="1578"/>
      <c r="C183" s="1579"/>
      <c r="D183" s="1529"/>
      <c r="E183" s="1635"/>
      <c r="F183" s="1470"/>
      <c r="G183" s="1565"/>
      <c r="H183" s="1470"/>
      <c r="I183" s="1566"/>
      <c r="J183" s="1470"/>
      <c r="K183" s="1534"/>
      <c r="L183" s="1470"/>
      <c r="M183" s="1532"/>
      <c r="N183" s="1470"/>
      <c r="O183" s="1535"/>
      <c r="P183" s="1472"/>
      <c r="Q183" s="1472"/>
      <c r="R183" s="1537"/>
      <c r="S183" s="1538"/>
      <c r="T183" s="1539"/>
      <c r="U183" s="1479"/>
      <c r="V183" s="1584"/>
      <c r="W183" s="1479"/>
      <c r="X183" s="1611"/>
      <c r="Y183" s="1470"/>
      <c r="Z183" s="1574"/>
      <c r="AA183" s="1470"/>
      <c r="AB183" s="1532"/>
      <c r="AC183" s="1470"/>
      <c r="AD183" s="1535"/>
      <c r="AE183" s="1472"/>
      <c r="AF183" s="1472"/>
      <c r="AG183" s="1537"/>
      <c r="AH183" s="1538"/>
      <c r="AI183" s="1585"/>
      <c r="AJ183" s="1479"/>
      <c r="AK183" s="1584"/>
      <c r="AL183" s="1470"/>
      <c r="AM183" s="1655"/>
      <c r="AN183" s="1682"/>
      <c r="AO183" s="1206"/>
      <c r="AP183" s="1206"/>
      <c r="AQ183" s="1291"/>
      <c r="AR183" s="1470"/>
      <c r="AS183" s="1303"/>
      <c r="AT183" s="1470"/>
      <c r="AU183" s="1532"/>
      <c r="AV183" s="1473"/>
      <c r="AW183" s="1537"/>
      <c r="AX183" s="1470"/>
      <c r="AY183" s="1470"/>
      <c r="AZ183" s="1470"/>
      <c r="BA183" s="1470"/>
      <c r="BB183" s="1470"/>
      <c r="BC183" s="1470"/>
      <c r="BD183" s="1470"/>
      <c r="BE183" s="1470"/>
      <c r="BF183" s="1470"/>
      <c r="BG183" s="1470"/>
      <c r="BH183" s="1470"/>
      <c r="BI183" s="1470"/>
      <c r="BJ183" s="1470"/>
      <c r="BK183" s="1470"/>
      <c r="BL183" s="1470"/>
      <c r="BM183" s="1470"/>
    </row>
    <row r="184" spans="1:65" ht="12" customHeight="1">
      <c r="A184" s="1531" t="s">
        <v>758</v>
      </c>
      <c r="B184" s="1578"/>
      <c r="C184" s="1581">
        <f>(R184/R177-1)*100</f>
        <v>-6.3496122129486849</v>
      </c>
      <c r="D184" s="1573" t="s">
        <v>697</v>
      </c>
      <c r="E184" s="1646">
        <f>'qtrP&amp;L'!CD10</f>
        <v>-10</v>
      </c>
      <c r="F184" s="1470" t="s">
        <v>697</v>
      </c>
      <c r="G184" s="1565">
        <f>C184-E184</f>
        <v>3.6503877870513151</v>
      </c>
      <c r="H184" s="1470" t="s">
        <v>697</v>
      </c>
      <c r="I184" s="1639">
        <v>1057</v>
      </c>
      <c r="J184" s="1685">
        <f>I184-I180</f>
        <v>-9</v>
      </c>
      <c r="K184" s="1534">
        <f>AVERAGEA(I180,I184)</f>
        <v>1061.5</v>
      </c>
      <c r="L184" s="1470"/>
      <c r="M184" s="1532">
        <f>(K184/K177-1)*100</f>
        <v>2.0182604517059</v>
      </c>
      <c r="N184" s="1573" t="s">
        <v>697</v>
      </c>
      <c r="O184" s="1535">
        <f>(G184/M184)*100</f>
        <v>180.86802344890063</v>
      </c>
      <c r="P184" s="1472" t="s">
        <v>697</v>
      </c>
      <c r="Q184" s="1472"/>
      <c r="R184" s="1605">
        <f>'qtrP&amp;L'!CB10-AM184</f>
        <v>538.20966619609601</v>
      </c>
      <c r="S184" s="1538"/>
      <c r="T184" s="1539">
        <f xml:space="preserve"> R184/K184</f>
        <v>0.50702747639764112</v>
      </c>
      <c r="U184" s="1479"/>
      <c r="V184" s="1584">
        <f>T184/T177-1</f>
        <v>-8.2023283161310467E-2</v>
      </c>
      <c r="W184" s="1479"/>
      <c r="X184" s="1691">
        <v>6.4953599999999998</v>
      </c>
      <c r="Y184" s="1470"/>
      <c r="Z184" s="1574">
        <f>AVERAGEA(X180,X184)</f>
        <v>6.4994230000000002</v>
      </c>
      <c r="AA184" s="1470"/>
      <c r="AB184" s="1532">
        <f>(Z184/Z177-1)*100</f>
        <v>4.8724009101796195</v>
      </c>
      <c r="AC184" s="1470" t="s">
        <v>697</v>
      </c>
      <c r="AD184" s="1535">
        <f>(G184/AB184)*100</f>
        <v>74.919692659624445</v>
      </c>
      <c r="AE184" s="1573" t="s">
        <v>697</v>
      </c>
      <c r="AF184" s="1472"/>
      <c r="AG184" s="1538">
        <f>R184</f>
        <v>538.20966619609601</v>
      </c>
      <c r="AH184" s="1538"/>
      <c r="AI184" s="1585">
        <f xml:space="preserve"> AG184/Z184</f>
        <v>82.808837983940421</v>
      </c>
      <c r="AJ184" s="1479"/>
      <c r="AK184" s="1584">
        <f>AI184/AI177-1</f>
        <v>-0.10700635272705983</v>
      </c>
      <c r="AL184" s="1470"/>
      <c r="AM184" s="1655">
        <f>+AM177*(1+AO184)</f>
        <v>107.91933380390401</v>
      </c>
      <c r="AN184" s="1682"/>
      <c r="AO184" s="1800">
        <v>0.03</v>
      </c>
      <c r="AP184" s="1206"/>
      <c r="AQ184" s="1291">
        <f>AM184/AM188</f>
        <v>0.18713137954612985</v>
      </c>
      <c r="AR184" s="1470"/>
      <c r="AS184" s="1303">
        <f>AM184/(R184+AM184)</f>
        <v>0.1670244390886402</v>
      </c>
      <c r="AT184" s="1470"/>
      <c r="AU184" s="1557">
        <f>(AM184-AM177)/AW177*100</f>
        <v>0.4626030854766236</v>
      </c>
      <c r="AV184" s="1473"/>
      <c r="AW184" s="1538">
        <f>'qtrP&amp;L'!CB10</f>
        <v>646.12900000000002</v>
      </c>
      <c r="AX184" s="1470"/>
      <c r="AY184" s="1470"/>
      <c r="AZ184" s="1470"/>
      <c r="BA184" s="1470"/>
      <c r="BB184" s="1470"/>
      <c r="BC184" s="1470"/>
      <c r="BD184" s="1470"/>
      <c r="BE184" s="1470"/>
      <c r="BF184" s="1470"/>
      <c r="BG184" s="1470"/>
      <c r="BH184" s="1470"/>
      <c r="BI184" s="1470"/>
      <c r="BJ184" s="1470"/>
      <c r="BK184" s="1470"/>
      <c r="BL184" s="1470"/>
      <c r="BM184" s="1470"/>
    </row>
    <row r="185" spans="1:65" ht="12" customHeight="1">
      <c r="A185" s="1531" t="s">
        <v>759</v>
      </c>
      <c r="B185" s="1578"/>
      <c r="C185" s="1581">
        <f>(R185/R178-1)*100</f>
        <v>-3.1928037338882276</v>
      </c>
      <c r="D185" s="1529"/>
      <c r="E185" s="1646">
        <f>'qtrP&amp;L'!CD11</f>
        <v>-7</v>
      </c>
      <c r="F185" s="1470"/>
      <c r="G185" s="1565">
        <f>C185-E185</f>
        <v>3.8071962661117724</v>
      </c>
      <c r="H185" s="1470"/>
      <c r="I185" s="1639">
        <v>1072</v>
      </c>
      <c r="J185" s="1685">
        <f>I185-I184</f>
        <v>15</v>
      </c>
      <c r="K185" s="1534">
        <f>AVERAGEA(I184,I185)</f>
        <v>1064.5</v>
      </c>
      <c r="L185" s="1470"/>
      <c r="M185" s="1532">
        <f>(K185/K178-1)*100</f>
        <v>1.7200191113234675</v>
      </c>
      <c r="N185" s="1470"/>
      <c r="O185" s="1535">
        <f>(G185/M185)*100</f>
        <v>221.34616069366393</v>
      </c>
      <c r="P185" s="1472"/>
      <c r="Q185" s="1472"/>
      <c r="R185" s="1605">
        <f>'qtrP&amp;L'!CB11-AM185</f>
        <v>602.42449746931197</v>
      </c>
      <c r="S185" s="1538"/>
      <c r="T185" s="1255">
        <f xml:space="preserve"> R185/K185</f>
        <v>0.56592249644839077</v>
      </c>
      <c r="U185" s="1479"/>
      <c r="V185" s="1584">
        <f>T185/T178-1</f>
        <v>-4.829750218425588E-2</v>
      </c>
      <c r="W185" s="1479"/>
      <c r="X185" s="1691">
        <v>6.6320560000000004</v>
      </c>
      <c r="Y185" s="1470"/>
      <c r="Z185" s="1574">
        <f>AVERAGEA(X184,X185)</f>
        <v>6.5637080000000001</v>
      </c>
      <c r="AA185" s="1470"/>
      <c r="AB185" s="1532">
        <f>(Z185/Z178-1)*100</f>
        <v>4.4786052472591154</v>
      </c>
      <c r="AC185" s="1470"/>
      <c r="AD185" s="1535">
        <f>(G185/AB185)*100</f>
        <v>85.008525108163042</v>
      </c>
      <c r="AE185" s="1573"/>
      <c r="AF185" s="1472"/>
      <c r="AG185" s="1557">
        <f>R185</f>
        <v>602.42449746931197</v>
      </c>
      <c r="AH185" s="1538"/>
      <c r="AI185" s="1587">
        <f xml:space="preserve"> AG185/Z185</f>
        <v>91.781123942337473</v>
      </c>
      <c r="AJ185" s="1479"/>
      <c r="AK185" s="1584">
        <f>AI185/AI178-1</f>
        <v>-7.3425645020740782E-2</v>
      </c>
      <c r="AL185" s="1470"/>
      <c r="AM185" s="1655">
        <f>+AM178*(1+AO185)</f>
        <v>108.170502530688</v>
      </c>
      <c r="AN185" s="1682"/>
      <c r="AO185" s="1800">
        <v>0.03</v>
      </c>
      <c r="AP185" s="1206"/>
      <c r="AQ185" s="1291">
        <f>AM185/AM188</f>
        <v>0.18756690438385112</v>
      </c>
      <c r="AR185" s="1470"/>
      <c r="AS185" s="1303">
        <f>AM185/(R185+AM185)</f>
        <v>0.15222525141703502</v>
      </c>
      <c r="AT185" s="1470"/>
      <c r="AU185" s="1557">
        <f>(AM185-AM178)/AW178*100</f>
        <v>0.43318312213421195</v>
      </c>
      <c r="AV185" s="1473"/>
      <c r="AW185" s="1557">
        <f>'qtrP&amp;L'!CB11</f>
        <v>710.59500000000003</v>
      </c>
      <c r="AX185" s="1470"/>
      <c r="AY185" s="1470"/>
      <c r="AZ185" s="1470"/>
      <c r="BA185" s="1470"/>
      <c r="BB185" s="1470"/>
      <c r="BC185" s="1470"/>
      <c r="BD185" s="1470"/>
      <c r="BE185" s="1470"/>
      <c r="BF185" s="1470"/>
      <c r="BG185" s="1470"/>
      <c r="BH185" s="1470"/>
      <c r="BI185" s="1470"/>
      <c r="BJ185" s="1470"/>
      <c r="BK185" s="1470"/>
      <c r="BL185" s="1470"/>
      <c r="BM185" s="1470"/>
    </row>
    <row r="186" spans="1:65" ht="12" customHeight="1">
      <c r="A186" s="1531" t="s">
        <v>760</v>
      </c>
      <c r="B186" s="1578"/>
      <c r="C186" s="1581">
        <f>(R186/R179-1)*100</f>
        <v>-0.95944353353359935</v>
      </c>
      <c r="D186" s="1529"/>
      <c r="E186" s="1646">
        <f>'qtrP&amp;L'!CD12</f>
        <v>-5</v>
      </c>
      <c r="F186" s="1470"/>
      <c r="G186" s="1565">
        <f>C186-E186</f>
        <v>4.0405564664664002</v>
      </c>
      <c r="H186" s="1470"/>
      <c r="I186" s="1639">
        <v>1092</v>
      </c>
      <c r="J186" s="1685">
        <f>I186-I185</f>
        <v>20</v>
      </c>
      <c r="K186" s="1534">
        <f>AVERAGEA(I185,I186)</f>
        <v>1082</v>
      </c>
      <c r="L186" s="1470"/>
      <c r="M186" s="1532">
        <f>(K186/K179-1)*100</f>
        <v>2.0754716981132182</v>
      </c>
      <c r="N186" s="1470"/>
      <c r="O186" s="1535">
        <f>(G186/M186)*100</f>
        <v>194.68135702065283</v>
      </c>
      <c r="P186" s="1472"/>
      <c r="Q186" s="1472"/>
      <c r="R186" s="1605">
        <f>'qtrP&amp;L'!CB12-AM186</f>
        <v>718.74903164767193</v>
      </c>
      <c r="S186" s="1538"/>
      <c r="T186" s="1255">
        <f xml:space="preserve"> R186/K186</f>
        <v>0.66427821778897589</v>
      </c>
      <c r="U186" s="1479"/>
      <c r="V186" s="1584">
        <f>T186/T179-1</f>
        <v>-2.9732071585449327E-2</v>
      </c>
      <c r="W186" s="1479"/>
      <c r="X186" s="1691">
        <v>6.7960729999999998</v>
      </c>
      <c r="Y186" s="1470"/>
      <c r="Z186" s="1574">
        <f>AVERAGEA(X185,X186)</f>
        <v>6.7140645000000001</v>
      </c>
      <c r="AA186" s="1470"/>
      <c r="AB186" s="1532">
        <f>(Z186/Z179-1)*100</f>
        <v>4.6737698845512821</v>
      </c>
      <c r="AC186" s="1470"/>
      <c r="AD186" s="1535">
        <f>(G186/AB186)*100</f>
        <v>86.45176305795647</v>
      </c>
      <c r="AE186" s="1573"/>
      <c r="AF186" s="1472"/>
      <c r="AG186" s="1557">
        <f>R186</f>
        <v>718.74903164767193</v>
      </c>
      <c r="AH186" s="1538"/>
      <c r="AI186" s="1587">
        <f xml:space="preserve"> AG186/Z186</f>
        <v>107.05125511494147</v>
      </c>
      <c r="AJ186" s="1479"/>
      <c r="AK186" s="1584">
        <f>AI186/AI179-1</f>
        <v>-5.3816858075313001E-2</v>
      </c>
      <c r="AL186" s="1470"/>
      <c r="AM186" s="1655">
        <f>+AM179*(1+AO186)</f>
        <v>135.54096835232801</v>
      </c>
      <c r="AN186" s="1682"/>
      <c r="AO186" s="1800">
        <v>0.03</v>
      </c>
      <c r="AP186" s="1206"/>
      <c r="AQ186" s="1291">
        <f>AM186/AM188</f>
        <v>0.23502710310348413</v>
      </c>
      <c r="AR186" s="1470"/>
      <c r="AS186" s="1303">
        <f>AM186/(R186+AM186)</f>
        <v>0.15865920044988002</v>
      </c>
      <c r="AT186" s="1470"/>
      <c r="AU186" s="1557">
        <f>(AM186-AM179)/AW179*100</f>
        <v>0.46048899688302325</v>
      </c>
      <c r="AV186" s="1473"/>
      <c r="AW186" s="1557">
        <f>'qtrP&amp;L'!CB12</f>
        <v>854.29</v>
      </c>
      <c r="AX186" s="1470"/>
      <c r="AY186" s="1470"/>
      <c r="AZ186" s="1470"/>
      <c r="BA186" s="1470"/>
      <c r="BB186" s="1470"/>
      <c r="BC186" s="1470"/>
      <c r="BD186" s="1470"/>
      <c r="BE186" s="1470"/>
      <c r="BF186" s="1470"/>
      <c r="BG186" s="1470"/>
      <c r="BH186" s="1470"/>
      <c r="BI186" s="1470"/>
      <c r="BJ186" s="1470"/>
      <c r="BK186" s="1470"/>
      <c r="BL186" s="1470"/>
      <c r="BM186" s="1470"/>
    </row>
    <row r="187" spans="1:65" ht="12" customHeight="1">
      <c r="A187" s="1531" t="s">
        <v>761</v>
      </c>
      <c r="B187" s="1578"/>
      <c r="C187" s="1570">
        <f>(R187/R180-1)*100</f>
        <v>0.6104630576275083</v>
      </c>
      <c r="D187" s="1529"/>
      <c r="E187" s="1649">
        <f>'qtrP&amp;L'!CD13</f>
        <v>0</v>
      </c>
      <c r="F187" s="1470"/>
      <c r="G187" s="1570">
        <f>C187-E187</f>
        <v>0.6104630576275083</v>
      </c>
      <c r="H187" s="1470"/>
      <c r="I187" s="1639">
        <f>yrSales!V19</f>
        <v>1056</v>
      </c>
      <c r="J187" s="1685">
        <f>I187-I186</f>
        <v>-36</v>
      </c>
      <c r="K187" s="1545">
        <f>AVERAGEA(I186,I187)</f>
        <v>1074</v>
      </c>
      <c r="L187" s="1470"/>
      <c r="M187" s="1544">
        <f>(K187/K180-1)*100</f>
        <v>0.84507042253521014</v>
      </c>
      <c r="N187" s="1470"/>
      <c r="O187" s="1475">
        <f>(G187/M187)*100</f>
        <v>72.238128485921919</v>
      </c>
      <c r="P187" s="1472"/>
      <c r="Q187" s="1472"/>
      <c r="R187" s="1545">
        <f>'qtrP&amp;L'!CB13-AM187</f>
        <v>846.7802391724</v>
      </c>
      <c r="S187" s="1538"/>
      <c r="T187" s="1562">
        <f xml:space="preserve"> R187/K187</f>
        <v>0.788435976883054</v>
      </c>
      <c r="U187" s="1479"/>
      <c r="V187" s="1589">
        <f>T187/T180-1</f>
        <v>-2.3264138140288715E-3</v>
      </c>
      <c r="W187" s="1479"/>
      <c r="X187" s="1644">
        <f>yrSales!V34</f>
        <v>6.6131099999999998</v>
      </c>
      <c r="Y187" s="1470"/>
      <c r="Z187" s="1577">
        <f>AVERAGEA(X186,X187)</f>
        <v>6.7045914999999994</v>
      </c>
      <c r="AA187" s="1470"/>
      <c r="AB187" s="1544">
        <f>(Z187/Z180-1)*100</f>
        <v>3.4740380475844379</v>
      </c>
      <c r="AC187" s="1470"/>
      <c r="AD187" s="1475">
        <f>(G187/AB187)*100</f>
        <v>17.572146570241923</v>
      </c>
      <c r="AE187" s="1573"/>
      <c r="AF187" s="1472"/>
      <c r="AG187" s="1544">
        <f>R187</f>
        <v>846.7802391724</v>
      </c>
      <c r="AH187" s="1538"/>
      <c r="AI187" s="1590">
        <f xml:space="preserve"> AG187/Z187</f>
        <v>126.29855811087074</v>
      </c>
      <c r="AJ187" s="1479"/>
      <c r="AK187" s="1589">
        <f>AI187/AI180-1</f>
        <v>-2.7674333040332844E-2</v>
      </c>
      <c r="AL187" s="1470"/>
      <c r="AM187" s="1656">
        <f>+AM180*(1+AO187)</f>
        <v>225.07276082760009</v>
      </c>
      <c r="AN187" s="1682"/>
      <c r="AO187" s="1693">
        <v>0.125</v>
      </c>
      <c r="AP187" s="1206"/>
      <c r="AQ187" s="1609">
        <f>AM187/AM188</f>
        <v>0.39027461296653504</v>
      </c>
      <c r="AR187" s="1470"/>
      <c r="AS187" s="1594">
        <f>AM187/(R187+AM187)</f>
        <v>0.20998472815544678</v>
      </c>
      <c r="AT187" s="1470"/>
      <c r="AU187" s="1544">
        <f>(AM187-AM180)/AW180*100</f>
        <v>2.400683161042406</v>
      </c>
      <c r="AV187" s="1473"/>
      <c r="AW187" s="1544">
        <f>'qtrP&amp;L'!CB13</f>
        <v>1071.8530000000001</v>
      </c>
      <c r="AX187" s="1470"/>
      <c r="AY187" s="1470"/>
      <c r="AZ187" s="1470"/>
      <c r="BA187" s="1470"/>
      <c r="BB187" s="1470"/>
      <c r="BC187" s="1470"/>
      <c r="BD187" s="1470"/>
      <c r="BE187" s="1470"/>
      <c r="BF187" s="1470"/>
      <c r="BG187" s="1470"/>
      <c r="BH187" s="1470"/>
      <c r="BI187" s="1470"/>
      <c r="BJ187" s="1470"/>
      <c r="BK187" s="1470"/>
      <c r="BL187" s="1470"/>
      <c r="BM187" s="1470"/>
    </row>
    <row r="188" spans="1:65" ht="12" customHeight="1">
      <c r="A188" s="1531" t="s">
        <v>762</v>
      </c>
      <c r="B188" s="1578"/>
      <c r="C188" s="1579">
        <f>(R188/R181-1)*100</f>
        <v>-2.1048274095072372</v>
      </c>
      <c r="D188" s="1529"/>
      <c r="E188" s="1646">
        <f>'qtrP&amp;L'!CD14</f>
        <v>-5</v>
      </c>
      <c r="F188" s="1470"/>
      <c r="G188" s="1832">
        <f>C188-E188</f>
        <v>2.8951725904927628</v>
      </c>
      <c r="H188" s="1470"/>
      <c r="J188" s="1470"/>
      <c r="K188" s="1534">
        <f>AVERAGEA(K184:K187)</f>
        <v>1070.5</v>
      </c>
      <c r="L188" s="1470"/>
      <c r="M188" s="1532">
        <f>(K188/K181-1)*100</f>
        <v>1.6619183285849992</v>
      </c>
      <c r="N188" s="1470"/>
      <c r="O188" s="1535">
        <f>(G188/M188)*100</f>
        <v>174.20667073079267</v>
      </c>
      <c r="P188" s="1472"/>
      <c r="Q188" s="1472"/>
      <c r="R188" s="1537">
        <f>SUM(R184:R187)</f>
        <v>2706.1634344854797</v>
      </c>
      <c r="S188" s="1538"/>
      <c r="T188" s="1539">
        <f>SUM(T184:T187)</f>
        <v>2.5256641675180616</v>
      </c>
      <c r="U188" s="1479"/>
      <c r="V188" s="1584">
        <f>T188/T181-1</f>
        <v>-3.6698014850857885E-2</v>
      </c>
      <c r="W188" s="1479"/>
      <c r="X188" s="1611"/>
      <c r="Y188" s="1470"/>
      <c r="Z188" s="1574">
        <f>AVERAGEA(Z184:Z187)</f>
        <v>6.6204467500000002</v>
      </c>
      <c r="AA188" s="1470"/>
      <c r="AB188" s="1532">
        <f>(Z188/Z181-1)*100</f>
        <v>4.3675955438989833</v>
      </c>
      <c r="AC188" s="1470"/>
      <c r="AD188" s="1535">
        <f>(G188/AB188)*100</f>
        <v>66.287561689107818</v>
      </c>
      <c r="AE188" s="1472"/>
      <c r="AF188" s="1472"/>
      <c r="AG188" s="1537">
        <f>SUM(AG184:AG187)</f>
        <v>2706.1634344854797</v>
      </c>
      <c r="AH188" s="1538"/>
      <c r="AI188" s="1585">
        <f>SUM(AI184:AI187)</f>
        <v>407.93977515209008</v>
      </c>
      <c r="AJ188" s="1479"/>
      <c r="AK188" s="1584">
        <f>AI188/AI181-1</f>
        <v>-6.1817764926301644E-2</v>
      </c>
      <c r="AL188" s="1470"/>
      <c r="AM188" s="1655">
        <f>SUM(AM184:AM187)</f>
        <v>576.70356551452005</v>
      </c>
      <c r="AN188" s="1682"/>
      <c r="AO188" s="1206">
        <f>+AM188/AM181-1</f>
        <v>6.5102060415887619E-2</v>
      </c>
      <c r="AP188" s="1206"/>
      <c r="AQ188" s="1291">
        <f>AM188/AM188</f>
        <v>1</v>
      </c>
      <c r="AR188" s="1470"/>
      <c r="AS188" s="1303">
        <f>AM188/(R188+AM188)</f>
        <v>0.17567070658498199</v>
      </c>
      <c r="AT188" s="1470"/>
      <c r="AU188" s="1532">
        <f>(AM188-AM181)/AW181*100</f>
        <v>1.0662997499342064</v>
      </c>
      <c r="AV188" s="1473"/>
      <c r="AW188" s="1537">
        <f>'qtrP&amp;L'!CB14</f>
        <v>3282.8670000000002</v>
      </c>
      <c r="AX188" s="1470"/>
      <c r="AY188" s="1470"/>
      <c r="AZ188" s="1470"/>
      <c r="BA188" s="1470"/>
      <c r="BB188" s="1470"/>
      <c r="BC188" s="1470"/>
      <c r="BD188" s="1470"/>
      <c r="BE188" s="1206"/>
      <c r="BF188" s="1470"/>
      <c r="BG188" s="1470"/>
      <c r="BH188" s="1470"/>
      <c r="BI188" s="1470"/>
      <c r="BJ188" s="1470"/>
      <c r="BK188" s="1470"/>
      <c r="BL188" s="1470"/>
      <c r="BM188" s="1470"/>
    </row>
    <row r="189" spans="1:65" ht="12" customHeight="1">
      <c r="A189" s="1536"/>
      <c r="B189" s="1573"/>
      <c r="C189" s="1581"/>
      <c r="D189" s="1573"/>
      <c r="E189" s="1661"/>
      <c r="F189" s="1573"/>
      <c r="G189" s="1581"/>
      <c r="H189" s="1573"/>
      <c r="I189" s="1566"/>
      <c r="J189" s="1573"/>
      <c r="K189" s="1541"/>
      <c r="L189" s="1573"/>
      <c r="M189" s="1541"/>
      <c r="N189" s="1573"/>
      <c r="O189" s="1688"/>
      <c r="P189" s="1573"/>
      <c r="Q189" s="1573"/>
      <c r="R189" s="1538"/>
      <c r="S189" s="1557"/>
      <c r="T189" s="1542"/>
      <c r="U189" s="1543"/>
      <c r="V189" s="1558"/>
      <c r="W189" s="1479"/>
      <c r="X189" s="1612"/>
      <c r="Y189" s="1573"/>
      <c r="Z189" s="1541"/>
      <c r="AA189" s="1573"/>
      <c r="AB189" s="1541"/>
      <c r="AC189" s="1573"/>
      <c r="AD189" s="1535"/>
      <c r="AE189" s="1573"/>
      <c r="AF189" s="1573"/>
      <c r="AG189" s="1538"/>
      <c r="AH189" s="1557"/>
      <c r="AI189" s="1542"/>
      <c r="AJ189" s="1543"/>
      <c r="AK189" s="1558"/>
      <c r="AL189" s="1470"/>
      <c r="AM189" s="1689"/>
      <c r="AN189" s="1690"/>
      <c r="AO189" s="1470"/>
      <c r="AP189" s="1470"/>
      <c r="AQ189" s="1470"/>
      <c r="AR189" s="1470"/>
      <c r="AS189" s="1664"/>
      <c r="AT189" s="1470"/>
      <c r="AU189" s="1470"/>
      <c r="AV189" s="1473"/>
      <c r="AW189" s="1470"/>
      <c r="AX189" s="1470"/>
      <c r="AY189" s="1470"/>
      <c r="AZ189" s="1470"/>
      <c r="BA189" s="1470"/>
      <c r="BB189" s="1470"/>
      <c r="BC189" s="1470"/>
      <c r="BD189" s="1470"/>
      <c r="BE189" s="1470"/>
      <c r="BF189" s="1470"/>
      <c r="BG189" s="1470"/>
      <c r="BH189" s="1470"/>
      <c r="BI189" s="1470"/>
      <c r="BJ189" s="1470"/>
      <c r="BK189" s="1470"/>
      <c r="BL189" s="1470"/>
      <c r="BM189" s="1470"/>
    </row>
    <row r="190" spans="1:65" ht="12" customHeight="1">
      <c r="A190" s="1580" t="s">
        <v>788</v>
      </c>
      <c r="B190" s="1578"/>
      <c r="C190" s="1579"/>
      <c r="D190" s="1529"/>
      <c r="E190" s="1635"/>
      <c r="F190" s="1470"/>
      <c r="G190" s="1565"/>
      <c r="H190" s="1470"/>
      <c r="I190" s="1566"/>
      <c r="J190" s="1470"/>
      <c r="K190" s="1534"/>
      <c r="L190" s="1470"/>
      <c r="M190" s="1532"/>
      <c r="N190" s="1470"/>
      <c r="O190" s="1535"/>
      <c r="P190" s="1472"/>
      <c r="Q190" s="1472"/>
      <c r="R190" s="1537"/>
      <c r="S190" s="1538"/>
      <c r="T190" s="1539"/>
      <c r="U190" s="1479"/>
      <c r="V190" s="1584"/>
      <c r="W190" s="1479"/>
      <c r="X190" s="1611"/>
      <c r="Y190" s="1470"/>
      <c r="Z190" s="1574"/>
      <c r="AA190" s="1470"/>
      <c r="AB190" s="1532"/>
      <c r="AC190" s="1470"/>
      <c r="AD190" s="1535"/>
      <c r="AE190" s="1472"/>
      <c r="AF190" s="1472"/>
      <c r="AG190" s="1537"/>
      <c r="AH190" s="1538"/>
      <c r="AI190" s="1585"/>
      <c r="AJ190" s="1479"/>
      <c r="AK190" s="1584"/>
      <c r="AL190" s="1470"/>
      <c r="AM190" s="1655"/>
      <c r="AN190" s="1682"/>
      <c r="AO190" s="1206"/>
      <c r="AP190" s="1206"/>
      <c r="AQ190" s="1291"/>
      <c r="AR190" s="1470"/>
      <c r="AS190" s="1303"/>
      <c r="AT190" s="1470"/>
      <c r="AU190" s="1532"/>
      <c r="AV190" s="1473"/>
      <c r="AW190" s="1537"/>
      <c r="AX190" s="1470"/>
      <c r="AY190" s="1470"/>
      <c r="AZ190" s="1470"/>
      <c r="BA190" s="1470"/>
      <c r="BB190" s="1470"/>
      <c r="BC190" s="1470"/>
      <c r="BD190" s="1470"/>
      <c r="BE190" s="1470"/>
      <c r="BF190" s="1470"/>
      <c r="BG190" s="1470"/>
      <c r="BH190" s="1470"/>
      <c r="BI190" s="1470"/>
      <c r="BJ190" s="1470"/>
      <c r="BK190" s="1470"/>
      <c r="BL190" s="1470"/>
      <c r="BM190" s="1470"/>
    </row>
    <row r="191" spans="1:65" ht="12" customHeight="1">
      <c r="A191" s="1531" t="s">
        <v>758</v>
      </c>
      <c r="B191" s="1578"/>
      <c r="C191" s="1581">
        <f>(R191/R184-1)*100</f>
        <v>8.3159883790307809</v>
      </c>
      <c r="D191" s="1573" t="s">
        <v>697</v>
      </c>
      <c r="E191" s="1784">
        <f>'qtrP&amp;L'!CH10</f>
        <v>7</v>
      </c>
      <c r="F191" s="1472" t="s">
        <v>697</v>
      </c>
      <c r="G191" s="1565">
        <f>C191-E191</f>
        <v>1.3159883790307809</v>
      </c>
      <c r="H191" s="1470" t="s">
        <v>697</v>
      </c>
      <c r="I191" s="1639">
        <v>1054</v>
      </c>
      <c r="J191" s="1685">
        <f>I191-I187</f>
        <v>-2</v>
      </c>
      <c r="K191" s="1534">
        <f>AVERAGEA(I187,I191)</f>
        <v>1055</v>
      </c>
      <c r="L191" s="1470"/>
      <c r="M191" s="1532">
        <f>(K191/K184-1)*100</f>
        <v>-0.61234102684879499</v>
      </c>
      <c r="N191" s="1573" t="s">
        <v>697</v>
      </c>
      <c r="O191" s="1535">
        <f>(G191/M191)*100</f>
        <v>-214.91102528325888</v>
      </c>
      <c r="P191" s="1472" t="s">
        <v>697</v>
      </c>
      <c r="Q191" s="1472"/>
      <c r="R191" s="1605">
        <f>'qtrP&amp;L'!CF10-AM191</f>
        <v>582.96711949178371</v>
      </c>
      <c r="S191" s="1538"/>
      <c r="T191" s="1539">
        <f xml:space="preserve"> R191/K191</f>
        <v>0.55257546871259122</v>
      </c>
      <c r="U191" s="1479"/>
      <c r="V191" s="1584">
        <f>T191/T184-1</f>
        <v>8.983338070465563E-2</v>
      </c>
      <c r="W191" s="1479"/>
      <c r="X191" s="1641">
        <v>6.617032</v>
      </c>
      <c r="Y191" s="1470"/>
      <c r="Z191" s="1574">
        <f>AVERAGEA(X187,X191)</f>
        <v>6.6150710000000004</v>
      </c>
      <c r="AA191" s="1470"/>
      <c r="AB191" s="1532">
        <f>(Z191/Z184-1)*100</f>
        <v>1.7793579522366931</v>
      </c>
      <c r="AC191" s="1470" t="s">
        <v>697</v>
      </c>
      <c r="AD191" s="1535">
        <f>(G191/AB191)*100</f>
        <v>73.958608349520333</v>
      </c>
      <c r="AE191" s="1573" t="s">
        <v>697</v>
      </c>
      <c r="AF191" s="1472"/>
      <c r="AG191" s="1538">
        <f>R191</f>
        <v>582.96711949178371</v>
      </c>
      <c r="AH191" s="1538"/>
      <c r="AI191" s="1585">
        <f xml:space="preserve"> AG191/Z191</f>
        <v>88.127114507430633</v>
      </c>
      <c r="AJ191" s="1479"/>
      <c r="AK191" s="1584">
        <f>AI191/AI184-1</f>
        <v>6.4223537643670614E-2</v>
      </c>
      <c r="AL191" s="1470"/>
      <c r="AM191" s="1655">
        <f>+AM184*(1+AO191)</f>
        <v>116.55288050821633</v>
      </c>
      <c r="AN191" s="1682"/>
      <c r="AO191" s="1694">
        <v>0.08</v>
      </c>
      <c r="AP191" s="1206"/>
      <c r="AQ191" s="1291">
        <f>AM191/AM195</f>
        <v>0.1756894933001957</v>
      </c>
      <c r="AR191" s="1470"/>
      <c r="AS191" s="1303">
        <f>AM191/(R191+AM191)</f>
        <v>0.1666183676066679</v>
      </c>
      <c r="AT191" s="1470"/>
      <c r="AU191" s="1557">
        <f>(AM191-AM184)/AW184*100</f>
        <v>1.3361955127091218</v>
      </c>
      <c r="AV191" s="1473"/>
      <c r="AW191" s="1538">
        <f>'qtrP&amp;L'!CF10</f>
        <v>699.52</v>
      </c>
      <c r="AX191" s="1470"/>
      <c r="AY191" s="1470"/>
      <c r="AZ191" s="1470"/>
      <c r="BA191" s="1470"/>
      <c r="BB191" s="1470"/>
      <c r="BC191" s="1470"/>
      <c r="BD191" s="1470"/>
      <c r="BE191" s="1470"/>
      <c r="BF191" s="1470"/>
      <c r="BG191" s="1470"/>
      <c r="BH191" s="1470"/>
      <c r="BI191" s="1470"/>
      <c r="BJ191" s="1470"/>
      <c r="BK191" s="1470"/>
      <c r="BL191" s="1470"/>
      <c r="BM191" s="1470"/>
    </row>
    <row r="192" spans="1:65" ht="12" customHeight="1">
      <c r="A192" s="1531" t="s">
        <v>759</v>
      </c>
      <c r="B192" s="1578"/>
      <c r="C192" s="1581">
        <f>(R192/R185-1)*100</f>
        <v>12.977453627129009</v>
      </c>
      <c r="D192" s="1529"/>
      <c r="E192" s="1784">
        <f>'qtrP&amp;L'!CH11</f>
        <v>11</v>
      </c>
      <c r="F192" s="1472"/>
      <c r="G192" s="1565">
        <f>C192-E192</f>
        <v>1.9774536271290089</v>
      </c>
      <c r="H192" s="1470"/>
      <c r="I192" s="1639">
        <v>1057</v>
      </c>
      <c r="J192" s="1685">
        <f>I192-I191</f>
        <v>3</v>
      </c>
      <c r="K192" s="1534">
        <f>AVERAGEA(I191,I192)</f>
        <v>1055.5</v>
      </c>
      <c r="L192" s="1470"/>
      <c r="M192" s="1532">
        <f>(K192/K185-1)*100</f>
        <v>-0.84546735556599861</v>
      </c>
      <c r="N192" s="1470"/>
      <c r="O192" s="1535">
        <f>(G192/M192)*100</f>
        <v>-233.88882067542411</v>
      </c>
      <c r="P192" s="1472"/>
      <c r="Q192" s="1472"/>
      <c r="R192" s="1605">
        <f>'qtrP&amp;L'!CF11-AM192</f>
        <v>680.60385726685695</v>
      </c>
      <c r="S192" s="1538"/>
      <c r="T192" s="1255">
        <f xml:space="preserve"> R192/K192</f>
        <v>0.64481653933382943</v>
      </c>
      <c r="U192" s="1479"/>
      <c r="V192" s="1584">
        <f>T192/T185-1</f>
        <v>0.13940785775536568</v>
      </c>
      <c r="W192" s="1479"/>
      <c r="X192" s="1641">
        <v>6.643357</v>
      </c>
      <c r="Y192" s="1470"/>
      <c r="Z192" s="1574">
        <f>AVERAGEA(X191,X192)</f>
        <v>6.6301945</v>
      </c>
      <c r="AA192" s="1470"/>
      <c r="AB192" s="1532">
        <f>(Z192/Z185-1)*100</f>
        <v>1.0129411606975891</v>
      </c>
      <c r="AC192" s="1470"/>
      <c r="AD192" s="1535">
        <f>(G192/AB192)*100</f>
        <v>195.21900223377065</v>
      </c>
      <c r="AE192" s="1573"/>
      <c r="AF192" s="1472"/>
      <c r="AG192" s="1557">
        <f>R192</f>
        <v>680.60385726685695</v>
      </c>
      <c r="AH192" s="1538"/>
      <c r="AI192" s="1587">
        <f xml:space="preserve"> AG192/Z192</f>
        <v>102.65217065153321</v>
      </c>
      <c r="AJ192" s="1479"/>
      <c r="AK192" s="1584">
        <f>AI192/AI185-1</f>
        <v>0.11844534303181553</v>
      </c>
      <c r="AL192" s="1470"/>
      <c r="AM192" s="1655">
        <f>+AM185*(1+AO192)</f>
        <v>116.82414273314305</v>
      </c>
      <c r="AN192" s="1682"/>
      <c r="AO192" s="1694">
        <v>0.08</v>
      </c>
      <c r="AP192" s="1206"/>
      <c r="AQ192" s="1291">
        <f>AM192/AM195</f>
        <v>0.17609838858138524</v>
      </c>
      <c r="AR192" s="1470"/>
      <c r="AS192" s="1303">
        <f>AM192/(R192+AM192)</f>
        <v>0.14650117970919388</v>
      </c>
      <c r="AT192" s="1470"/>
      <c r="AU192" s="1557">
        <f>(AM192-AM185)/AW185*100</f>
        <v>1.2178020113362817</v>
      </c>
      <c r="AV192" s="1473"/>
      <c r="AW192" s="1557">
        <f>'qtrP&amp;L'!CF11</f>
        <v>797.428</v>
      </c>
      <c r="AX192" s="1470"/>
      <c r="AY192" s="1470"/>
      <c r="AZ192" s="1470"/>
      <c r="BA192" s="1470"/>
      <c r="BB192" s="1470"/>
      <c r="BC192" s="1470"/>
      <c r="BD192" s="1470"/>
      <c r="BE192" s="1470"/>
      <c r="BF192" s="1470"/>
      <c r="BG192" s="1470"/>
      <c r="BH192" s="1470"/>
      <c r="BI192" s="1470"/>
      <c r="BJ192" s="1470"/>
      <c r="BK192" s="1470"/>
      <c r="BL192" s="1470"/>
      <c r="BM192" s="1470"/>
    </row>
    <row r="193" spans="1:65" ht="12" customHeight="1">
      <c r="A193" s="1531" t="s">
        <v>760</v>
      </c>
      <c r="B193" s="1578"/>
      <c r="C193" s="1581">
        <f>(R193/R186-1)*100</f>
        <v>5.6187381016712612</v>
      </c>
      <c r="D193" s="1529"/>
      <c r="E193" s="1784">
        <f>'qtrP&amp;L'!CH12</f>
        <v>9</v>
      </c>
      <c r="F193" s="1472"/>
      <c r="G193" s="1565">
        <f>C193-E193</f>
        <v>-3.3812618983287388</v>
      </c>
      <c r="H193" s="1470"/>
      <c r="I193" s="1639">
        <v>1068</v>
      </c>
      <c r="J193" s="1685">
        <f>I193-I192</f>
        <v>11</v>
      </c>
      <c r="K193" s="1534">
        <f>AVERAGEA(I192,I193)</f>
        <v>1062.5</v>
      </c>
      <c r="L193" s="1470"/>
      <c r="M193" s="1532">
        <f>(K193/K186-1)*100</f>
        <v>-1.8022181146025829</v>
      </c>
      <c r="N193" s="1470"/>
      <c r="O193" s="1535">
        <f>(G193/M193)*100</f>
        <v>187.61668584572848</v>
      </c>
      <c r="P193" s="1472"/>
      <c r="Q193" s="1472"/>
      <c r="R193" s="1605">
        <f>'qtrP&amp;L'!CF12-AM193</f>
        <v>759.13365734425292</v>
      </c>
      <c r="S193" s="1538"/>
      <c r="T193" s="1255">
        <f xml:space="preserve"> R193/K193</f>
        <v>0.71447873632400272</v>
      </c>
      <c r="U193" s="1479"/>
      <c r="V193" s="1584">
        <f>T193/T186-1</f>
        <v>7.5571525891842795E-2</v>
      </c>
      <c r="W193" s="1479"/>
      <c r="X193" s="1641">
        <v>6.7213120000000002</v>
      </c>
      <c r="Y193" s="1470"/>
      <c r="Z193" s="1574">
        <f>AVERAGEA(X192,X193)</f>
        <v>6.6823344999999996</v>
      </c>
      <c r="AA193" s="1470"/>
      <c r="AB193" s="1532">
        <f>(Z193/Z186-1)*100</f>
        <v>-0.4725900384186188</v>
      </c>
      <c r="AC193" s="1470"/>
      <c r="AD193" s="1535">
        <f>(G193/AB193)*100</f>
        <v>715.47464471386672</v>
      </c>
      <c r="AE193" s="1573"/>
      <c r="AF193" s="1472"/>
      <c r="AG193" s="1557">
        <f>R193</f>
        <v>759.13365734425292</v>
      </c>
      <c r="AH193" s="1538"/>
      <c r="AI193" s="1587">
        <f xml:space="preserve"> AG193/Z193</f>
        <v>113.60306152651486</v>
      </c>
      <c r="AJ193" s="1479"/>
      <c r="AK193" s="1584">
        <f>AI193/AI186-1</f>
        <v>6.1202518406147544E-2</v>
      </c>
      <c r="AL193" s="1470"/>
      <c r="AM193" s="1655">
        <f>+AM186*(1+AO193)</f>
        <v>159.93834265574705</v>
      </c>
      <c r="AN193" s="1682"/>
      <c r="AO193" s="1694">
        <v>0.18</v>
      </c>
      <c r="AP193" s="1206"/>
      <c r="AQ193" s="1291">
        <f>AM193/AM195</f>
        <v>0.24108787580312455</v>
      </c>
      <c r="AR193" s="1470"/>
      <c r="AS193" s="1303">
        <f>AM193/(R193+AM193)</f>
        <v>0.17402155941617964</v>
      </c>
      <c r="AT193" s="1470"/>
      <c r="AU193" s="1557">
        <f>(AM193-AM186)/AW186*100</f>
        <v>2.8558656080978406</v>
      </c>
      <c r="AV193" s="1473"/>
      <c r="AW193" s="1557">
        <f>'qtrP&amp;L'!CF12</f>
        <v>919.072</v>
      </c>
      <c r="AX193" s="1470"/>
      <c r="AY193" s="1470"/>
      <c r="AZ193" s="1470"/>
      <c r="BA193" s="1470"/>
      <c r="BB193" s="1470"/>
      <c r="BC193" s="1470"/>
      <c r="BD193" s="1470"/>
      <c r="BE193" s="1470"/>
      <c r="BF193" s="1470"/>
      <c r="BG193" s="1470"/>
      <c r="BH193" s="1470"/>
      <c r="BI193" s="1470"/>
      <c r="BJ193" s="1470"/>
      <c r="BK193" s="1470"/>
      <c r="BL193" s="1470"/>
      <c r="BM193" s="1470"/>
    </row>
    <row r="194" spans="1:65" ht="12" customHeight="1">
      <c r="A194" s="1531" t="s">
        <v>761</v>
      </c>
      <c r="B194" s="1578"/>
      <c r="C194" s="1570">
        <f>(R194/R187-1)*100</f>
        <v>-1.3037092334971856</v>
      </c>
      <c r="D194" s="1529"/>
      <c r="E194" s="1649">
        <f>'qtrP&amp;L'!CH13</f>
        <v>4</v>
      </c>
      <c r="F194" s="1470"/>
      <c r="G194" s="1570">
        <f>C194-E194</f>
        <v>-5.3037092334971856</v>
      </c>
      <c r="H194" s="1470"/>
      <c r="I194" s="1639">
        <f>yrSales!W19</f>
        <v>1047</v>
      </c>
      <c r="J194" s="1470">
        <f>I194-I193</f>
        <v>-21</v>
      </c>
      <c r="K194" s="1545">
        <f>AVERAGEA(I193,I194)</f>
        <v>1057.5</v>
      </c>
      <c r="L194" s="1470"/>
      <c r="M194" s="1532">
        <f>(K194/K187-1)*100</f>
        <v>-1.5363128491620137</v>
      </c>
      <c r="N194" s="1470"/>
      <c r="O194" s="1475">
        <f>(G194/M194)*100</f>
        <v>345.22325556217987</v>
      </c>
      <c r="P194" s="1472"/>
      <c r="Q194" s="1472"/>
      <c r="R194" s="1607">
        <f>'qtrP&amp;L'!CF13-AM194</f>
        <v>835.74068700687985</v>
      </c>
      <c r="S194" s="1538"/>
      <c r="T194" s="1562">
        <f xml:space="preserve"> R194/K194</f>
        <v>0.79029852199232142</v>
      </c>
      <c r="U194" s="1479"/>
      <c r="V194" s="1589">
        <f>T194/T187-1</f>
        <v>2.3623289193761554E-3</v>
      </c>
      <c r="W194" s="1479"/>
      <c r="X194" s="1644">
        <f>+yrSales!W34</f>
        <v>6.6011119999999996</v>
      </c>
      <c r="Y194" s="1470"/>
      <c r="Z194" s="1577">
        <f>AVERAGEA(X193,X194)</f>
        <v>6.6612119999999999</v>
      </c>
      <c r="AA194" s="1470"/>
      <c r="AB194" s="1544">
        <f>(Z194/Z187-1)*100</f>
        <v>-0.64701182764079768</v>
      </c>
      <c r="AC194" s="1470"/>
      <c r="AD194" s="1475">
        <f>(G194/AB194)*100</f>
        <v>819.72369080734211</v>
      </c>
      <c r="AE194" s="1573"/>
      <c r="AF194" s="1472"/>
      <c r="AG194" s="1544">
        <f>R194</f>
        <v>835.74068700687985</v>
      </c>
      <c r="AH194" s="1538"/>
      <c r="AI194" s="1590">
        <f xml:space="preserve"> AG194/Z194</f>
        <v>125.46375749741637</v>
      </c>
      <c r="AJ194" s="1479"/>
      <c r="AK194" s="1589">
        <f>AI194/AI187-1</f>
        <v>-6.6097398572163568E-3</v>
      </c>
      <c r="AL194" s="1470"/>
      <c r="AM194" s="1656">
        <f>+AM187*(1+AO194)</f>
        <v>270.08731299312012</v>
      </c>
      <c r="AN194" s="1682"/>
      <c r="AO194" s="1693">
        <v>0.2</v>
      </c>
      <c r="AP194" s="1206"/>
      <c r="AQ194" s="1609">
        <f>AM194/AM195</f>
        <v>0.40712424231529454</v>
      </c>
      <c r="AR194" s="1470"/>
      <c r="AS194" s="1594">
        <f>AM194/(R194+AM194)</f>
        <v>0.24423989353961026</v>
      </c>
      <c r="AT194" s="1470"/>
      <c r="AU194" s="1544">
        <f>(AM194-AM187)/AW187*100</f>
        <v>4.1996945631089364</v>
      </c>
      <c r="AV194" s="1473"/>
      <c r="AW194" s="1544">
        <f>'qtrP&amp;L'!CF13</f>
        <v>1105.828</v>
      </c>
      <c r="AX194" s="1470"/>
      <c r="AY194" s="1470"/>
      <c r="AZ194" s="1470"/>
      <c r="BA194" s="1470"/>
      <c r="BB194" s="1470"/>
      <c r="BC194" s="1470"/>
      <c r="BD194" s="1470"/>
      <c r="BE194" s="1470"/>
      <c r="BF194" s="1470"/>
      <c r="BG194" s="1470"/>
      <c r="BH194" s="1470"/>
      <c r="BI194" s="1470"/>
      <c r="BJ194" s="1470"/>
      <c r="BK194" s="1470"/>
      <c r="BL194" s="1470"/>
      <c r="BM194" s="1470"/>
    </row>
    <row r="195" spans="1:65" ht="12" customHeight="1">
      <c r="A195" s="1531" t="s">
        <v>762</v>
      </c>
      <c r="B195" s="1578"/>
      <c r="C195" s="1579">
        <f>(R195/R188-1)*100</f>
        <v>5.6272243089134477</v>
      </c>
      <c r="D195" s="1529"/>
      <c r="E195" s="1784">
        <f>'qtrP&amp;L'!CH14</f>
        <v>7</v>
      </c>
      <c r="F195" s="1470"/>
      <c r="G195" s="1832">
        <f>C195-E195</f>
        <v>-1.3727756910865523</v>
      </c>
      <c r="H195" s="1470"/>
      <c r="J195" s="1470"/>
      <c r="K195" s="1534">
        <f>AVERAGEA(K191:K194)</f>
        <v>1057.625</v>
      </c>
      <c r="L195" s="1470"/>
      <c r="M195" s="1532">
        <f>(K195/K188-1)*100</f>
        <v>-1.2027090144792196</v>
      </c>
      <c r="N195" s="1470"/>
      <c r="O195" s="1535">
        <f>(G195/M195)*100</f>
        <v>114.14030115014748</v>
      </c>
      <c r="P195" s="1472"/>
      <c r="Q195" s="1472"/>
      <c r="R195" s="1537">
        <f>SUM(R191:R194)</f>
        <v>2858.4453211097734</v>
      </c>
      <c r="S195" s="1538"/>
      <c r="T195" s="1539">
        <f>SUM(T191:T194)</f>
        <v>2.7021692663627448</v>
      </c>
      <c r="U195" s="1479"/>
      <c r="V195" s="1584">
        <f>T195/T188-1</f>
        <v>6.988462722584865E-2</v>
      </c>
      <c r="W195" s="1479"/>
      <c r="X195" s="1611"/>
      <c r="Y195" s="1470"/>
      <c r="Z195" s="1574">
        <f>AVERAGEA(Z191:Z194)</f>
        <v>6.6472029999999993</v>
      </c>
      <c r="AA195" s="1470"/>
      <c r="AB195" s="1532">
        <f>(Z195/Z188-1)*100</f>
        <v>0.40414568699611575</v>
      </c>
      <c r="AC195" s="1470"/>
      <c r="AD195" s="1535">
        <f>(G195/AB195)*100</f>
        <v>-339.67347302156065</v>
      </c>
      <c r="AE195" s="1472"/>
      <c r="AF195" s="1472"/>
      <c r="AG195" s="1537">
        <f>SUM(AG191:AG194)</f>
        <v>2858.4453211097734</v>
      </c>
      <c r="AH195" s="1538"/>
      <c r="AI195" s="1585">
        <f>SUM(AI191:AI194)</f>
        <v>429.84610418289503</v>
      </c>
      <c r="AJ195" s="1479"/>
      <c r="AK195" s="1584">
        <f>AI195/AI188-1</f>
        <v>5.3699909558065917E-2</v>
      </c>
      <c r="AL195" s="1470"/>
      <c r="AM195" s="1655">
        <f>SUM(AM191:AM194)</f>
        <v>663.40267889022653</v>
      </c>
      <c r="AN195" s="1682"/>
      <c r="AO195" s="1206">
        <f>+AM195/AM188-1</f>
        <v>0.15033566386633268</v>
      </c>
      <c r="AP195" s="1206"/>
      <c r="AQ195" s="1291">
        <f>AM195/AM195</f>
        <v>1</v>
      </c>
      <c r="AR195" s="1470"/>
      <c r="AS195" s="1303">
        <f>AM195/(R195+AM195)</f>
        <v>0.18836777705631433</v>
      </c>
      <c r="AT195" s="1470"/>
      <c r="AU195" s="1532">
        <f>(AM195-AM188)/AW188*100</f>
        <v>2.6409572296321011</v>
      </c>
      <c r="AV195" s="1473"/>
      <c r="AW195" s="1537">
        <f>'qtrP&amp;L'!CF14</f>
        <v>3521.848</v>
      </c>
      <c r="AX195" s="1470"/>
      <c r="AY195" s="1470"/>
      <c r="AZ195" s="1470"/>
      <c r="BA195" s="1470"/>
      <c r="BB195" s="1470"/>
      <c r="BC195" s="1470"/>
      <c r="BD195" s="1470"/>
      <c r="BE195" s="1206"/>
      <c r="BF195" s="1470"/>
      <c r="BG195" s="1470"/>
      <c r="BH195" s="1470"/>
      <c r="BI195" s="1470"/>
      <c r="BJ195" s="1470"/>
      <c r="BK195" s="1470"/>
      <c r="BL195" s="1470"/>
      <c r="BM195" s="1470"/>
    </row>
    <row r="196" spans="1:65" ht="12" customHeight="1">
      <c r="A196" s="1536"/>
      <c r="B196" s="1573"/>
      <c r="C196" s="1581"/>
      <c r="D196" s="1573"/>
      <c r="E196" s="1661"/>
      <c r="F196" s="1573"/>
      <c r="G196" s="1581"/>
      <c r="H196" s="1573"/>
      <c r="J196" s="1573"/>
      <c r="K196" s="1541"/>
      <c r="L196" s="1573"/>
      <c r="M196" s="1541"/>
      <c r="N196" s="1573"/>
      <c r="O196" s="1688"/>
      <c r="P196" s="1573"/>
      <c r="Q196" s="1573"/>
      <c r="R196" s="1538"/>
      <c r="S196" s="1557"/>
      <c r="T196" s="1542"/>
      <c r="U196" s="1543"/>
      <c r="V196" s="1558"/>
      <c r="W196" s="1479"/>
      <c r="X196" s="1612"/>
      <c r="Y196" s="1573"/>
      <c r="Z196" s="1541"/>
      <c r="AA196" s="1573"/>
      <c r="AB196" s="1541"/>
      <c r="AC196" s="1573"/>
      <c r="AD196" s="1535"/>
      <c r="AE196" s="1573"/>
      <c r="AF196" s="1573"/>
      <c r="AG196" s="1538"/>
      <c r="AH196" s="1557"/>
      <c r="AI196" s="1542"/>
      <c r="AJ196" s="1543"/>
      <c r="AK196" s="1558"/>
      <c r="AL196" s="1470"/>
      <c r="AM196" s="1689"/>
      <c r="AN196" s="1690"/>
      <c r="AO196" s="1470"/>
      <c r="AP196" s="1470"/>
      <c r="AQ196" s="1470"/>
      <c r="AR196" s="1470"/>
      <c r="AS196" s="1664"/>
      <c r="AT196" s="1470"/>
      <c r="AU196" s="1470"/>
      <c r="AV196" s="1473"/>
      <c r="AW196" s="1470"/>
      <c r="AX196" s="1470"/>
      <c r="AY196" s="1470"/>
      <c r="AZ196" s="1470"/>
      <c r="BA196" s="1470"/>
      <c r="BB196" s="1470"/>
      <c r="BC196" s="1470"/>
      <c r="BD196" s="1470"/>
      <c r="BE196" s="1470"/>
      <c r="BF196" s="1470"/>
      <c r="BG196" s="1470"/>
      <c r="BH196" s="1470"/>
      <c r="BI196" s="1470"/>
      <c r="BJ196" s="1470"/>
      <c r="BK196" s="1470"/>
      <c r="BL196" s="1470"/>
      <c r="BM196" s="1470"/>
    </row>
    <row r="197" spans="1:65" ht="12" customHeight="1">
      <c r="A197" s="1580" t="s">
        <v>800</v>
      </c>
      <c r="B197" s="1578"/>
      <c r="C197" s="1579"/>
      <c r="D197" s="1529"/>
      <c r="E197" s="1635"/>
      <c r="F197" s="1470"/>
      <c r="G197" s="1565"/>
      <c r="H197" s="1470"/>
      <c r="J197" s="1470"/>
      <c r="K197" s="1534"/>
      <c r="L197" s="1470"/>
      <c r="M197" s="1532"/>
      <c r="N197" s="1470"/>
      <c r="O197" s="1535"/>
      <c r="P197" s="1472"/>
      <c r="Q197" s="1472"/>
      <c r="R197" s="1537"/>
      <c r="S197" s="1538"/>
      <c r="T197" s="1539"/>
      <c r="U197" s="1479"/>
      <c r="V197" s="1584"/>
      <c r="W197" s="1479"/>
      <c r="X197" s="1611"/>
      <c r="Y197" s="1470"/>
      <c r="Z197" s="1574"/>
      <c r="AA197" s="1470"/>
      <c r="AB197" s="1532"/>
      <c r="AC197" s="1470"/>
      <c r="AD197" s="1535"/>
      <c r="AE197" s="1472"/>
      <c r="AF197" s="1472"/>
      <c r="AG197" s="1537"/>
      <c r="AH197" s="1538"/>
      <c r="AI197" s="1585"/>
      <c r="AJ197" s="1479"/>
      <c r="AK197" s="1584"/>
      <c r="AL197" s="1470"/>
      <c r="AM197" s="1655"/>
      <c r="AN197" s="1682"/>
      <c r="AO197" s="1206"/>
      <c r="AP197" s="1206"/>
      <c r="AQ197" s="1291"/>
      <c r="AR197" s="1470"/>
      <c r="AS197" s="1303"/>
      <c r="AT197" s="1470"/>
      <c r="AU197" s="1532"/>
      <c r="AV197" s="1473"/>
      <c r="AW197" s="1537"/>
      <c r="AX197" s="1470"/>
      <c r="AY197" s="1470"/>
      <c r="AZ197" s="1470"/>
      <c r="BA197" s="1470"/>
      <c r="BB197" s="1470"/>
      <c r="BC197" s="1470"/>
      <c r="BD197" s="1470"/>
      <c r="BE197" s="1470"/>
      <c r="BF197" s="1470"/>
      <c r="BG197" s="1470"/>
      <c r="BH197" s="1470"/>
      <c r="BI197" s="1470"/>
      <c r="BJ197" s="1470"/>
      <c r="BK197" s="1470"/>
      <c r="BL197" s="1470"/>
      <c r="BM197" s="1470"/>
    </row>
    <row r="198" spans="1:65" ht="12" customHeight="1">
      <c r="A198" s="1531" t="s">
        <v>758</v>
      </c>
      <c r="B198" s="1578"/>
      <c r="C198" s="1581">
        <f>(R198/R191-1)*100</f>
        <v>3.560711947363715</v>
      </c>
      <c r="D198" s="1573" t="s">
        <v>697</v>
      </c>
      <c r="E198" s="1784">
        <f>'qtrP&amp;L'!CL10</f>
        <v>6</v>
      </c>
      <c r="F198" s="1472" t="s">
        <v>697</v>
      </c>
      <c r="G198" s="1565">
        <f>C198-E198</f>
        <v>-2.439288052636285</v>
      </c>
      <c r="H198" s="1470" t="s">
        <v>697</v>
      </c>
      <c r="I198" s="1639">
        <v>1046</v>
      </c>
      <c r="J198" s="1685">
        <f>I198-I194</f>
        <v>-1</v>
      </c>
      <c r="K198" s="1534">
        <f>AVERAGEA(I194,I198)</f>
        <v>1046.5</v>
      </c>
      <c r="L198" s="1470"/>
      <c r="M198" s="1532">
        <f>(K198/K191-1)*100</f>
        <v>-0.80568720379147196</v>
      </c>
      <c r="N198" s="1573" t="s">
        <v>697</v>
      </c>
      <c r="O198" s="1535">
        <f>(G198/M198)*100</f>
        <v>302.75869359191432</v>
      </c>
      <c r="P198" s="1472" t="s">
        <v>697</v>
      </c>
      <c r="Q198" s="1472"/>
      <c r="R198" s="1676">
        <f>'qtrP&amp;L'!CJ10-AM198</f>
        <v>603.72489936472971</v>
      </c>
      <c r="S198" s="1538"/>
      <c r="T198" s="1539">
        <f xml:space="preserve"> R198/K198</f>
        <v>0.5768990916050929</v>
      </c>
      <c r="U198" s="1479"/>
      <c r="V198" s="1584">
        <f>T198/T191-1</f>
        <v>4.4018644094302006E-2</v>
      </c>
      <c r="W198" s="1479"/>
      <c r="X198" s="1641">
        <v>6.6017799999999998</v>
      </c>
      <c r="Y198" s="1470"/>
      <c r="Z198" s="1574">
        <f>AVERAGEA(X194,X198)</f>
        <v>6.6014459999999993</v>
      </c>
      <c r="AA198" s="1470"/>
      <c r="AB198" s="1532">
        <f>(Z198/Z191-1)*100</f>
        <v>-0.20596906669635429</v>
      </c>
      <c r="AC198" s="1470" t="s">
        <v>697</v>
      </c>
      <c r="AD198" s="1535">
        <f>(G198/AB198)*100</f>
        <v>1184.2982501019708</v>
      </c>
      <c r="AE198" s="1573" t="s">
        <v>697</v>
      </c>
      <c r="AF198" s="1472"/>
      <c r="AG198" s="1538">
        <f>R198</f>
        <v>603.72489936472971</v>
      </c>
      <c r="AH198" s="1538"/>
      <c r="AI198" s="1585">
        <f xml:space="preserve"> AG198/Z198</f>
        <v>91.45343298494447</v>
      </c>
      <c r="AJ198" s="1479"/>
      <c r="AK198" s="1584">
        <f>AI198/AI191-1</f>
        <v>3.7744552242583218E-2</v>
      </c>
      <c r="AL198" s="1470"/>
      <c r="AM198" s="1655">
        <f>+AM191*(1+AO198)</f>
        <v>145.6911006352704</v>
      </c>
      <c r="AN198" s="1682"/>
      <c r="AO198" s="1799">
        <v>0.25</v>
      </c>
      <c r="AP198" s="1206"/>
      <c r="AQ198" s="1291">
        <f>AM198/AM202</f>
        <v>0.1818369839332947</v>
      </c>
      <c r="AR198" s="1470"/>
      <c r="AS198" s="1303">
        <f>AM198/'qtrP&amp;L'!CJ10</f>
        <v>0.19440617845798647</v>
      </c>
      <c r="AT198" s="1470"/>
      <c r="AU198" s="1557">
        <f>(AM198-AM191)/AW191*100</f>
        <v>4.1654591901666951</v>
      </c>
      <c r="AV198" s="1473"/>
      <c r="AW198" s="1538">
        <f>'qtrP&amp;L'!CJ10</f>
        <v>749.41600000000005</v>
      </c>
      <c r="AX198" s="1470"/>
      <c r="AY198" s="1470"/>
      <c r="AZ198" s="1470"/>
      <c r="BA198" s="1470"/>
      <c r="BB198" s="1470"/>
      <c r="BC198" s="1470"/>
      <c r="BD198" s="1470"/>
      <c r="BE198" s="1470"/>
      <c r="BF198" s="1470"/>
      <c r="BG198" s="1470"/>
      <c r="BH198" s="1470"/>
      <c r="BI198" s="1470"/>
      <c r="BJ198" s="1470"/>
      <c r="BK198" s="1470"/>
      <c r="BL198" s="1470"/>
      <c r="BM198" s="1470"/>
    </row>
    <row r="199" spans="1:65" ht="12" customHeight="1">
      <c r="A199" s="1531" t="s">
        <v>759</v>
      </c>
      <c r="B199" s="1578"/>
      <c r="C199" s="1581">
        <f>(R199/R192-1)*100</f>
        <v>-1.7951302426743809</v>
      </c>
      <c r="D199" s="1529"/>
      <c r="E199" s="1784">
        <f>'qtrP&amp;L'!CL11</f>
        <v>3</v>
      </c>
      <c r="F199" s="1472"/>
      <c r="G199" s="1565">
        <f>C199-E199</f>
        <v>-4.7951302426743805</v>
      </c>
      <c r="H199" s="1470"/>
      <c r="I199" s="1639">
        <v>1044</v>
      </c>
      <c r="J199" s="1685">
        <f>I199-I198</f>
        <v>-2</v>
      </c>
      <c r="K199" s="1534">
        <f>AVERAGEA(I198,I199)</f>
        <v>1045</v>
      </c>
      <c r="L199" s="1470"/>
      <c r="M199" s="1532">
        <f>(K199/K192-1)*100</f>
        <v>-0.99478919943154498</v>
      </c>
      <c r="N199" s="1470"/>
      <c r="O199" s="1535">
        <f>(G199/M199)*100</f>
        <v>482.02475915645994</v>
      </c>
      <c r="P199" s="1472"/>
      <c r="Q199" s="1472"/>
      <c r="R199" s="1676">
        <f>'qtrP&amp;L'!CJ11-AM199</f>
        <v>668.38613159225122</v>
      </c>
      <c r="S199" s="1538"/>
      <c r="T199" s="1255">
        <f xml:space="preserve"> R199/K199</f>
        <v>0.63960395367679546</v>
      </c>
      <c r="U199" s="1479"/>
      <c r="V199" s="1584">
        <f>T199/T192-1</f>
        <v>-8.0838274750507644E-3</v>
      </c>
      <c r="W199" s="1479"/>
      <c r="X199" s="1641">
        <v>6.5989560000000003</v>
      </c>
      <c r="Y199" s="1470"/>
      <c r="Z199" s="1574">
        <f>AVERAGEA(X198,X199)</f>
        <v>6.6003679999999996</v>
      </c>
      <c r="AA199" s="1470"/>
      <c r="AB199" s="1532">
        <f>(Z199/Z192-1)*100</f>
        <v>-0.44985859766256686</v>
      </c>
      <c r="AC199" s="1470"/>
      <c r="AD199" s="1535">
        <f>(G199/AB199)*100</f>
        <v>1065.91943948377</v>
      </c>
      <c r="AE199" s="1573"/>
      <c r="AF199" s="1472"/>
      <c r="AG199" s="1557">
        <f>R199</f>
        <v>668.38613159225122</v>
      </c>
      <c r="AH199" s="1538"/>
      <c r="AI199" s="1587">
        <f xml:space="preserve"> AG199/Z199</f>
        <v>101.26497970904823</v>
      </c>
      <c r="AJ199" s="1479"/>
      <c r="AK199" s="1584">
        <f>AI199/AI192-1</f>
        <v>-1.3513508128279006E-2</v>
      </c>
      <c r="AL199" s="1470"/>
      <c r="AM199" s="1655">
        <f>+AM192*(1+AO199)</f>
        <v>154.20786840774883</v>
      </c>
      <c r="AN199" s="1682"/>
      <c r="AO199" s="1799">
        <v>0.32</v>
      </c>
      <c r="AP199" s="1206"/>
      <c r="AQ199" s="1291">
        <f>AM199/AM202</f>
        <v>0.19246675718543557</v>
      </c>
      <c r="AR199" s="1470"/>
      <c r="AS199" s="1303">
        <f>AM199/'qtrP&amp;L'!CJ11</f>
        <v>0.18746534548969337</v>
      </c>
      <c r="AT199" s="1470"/>
      <c r="AU199" s="1557">
        <f>(AM199-AM192)/AW192*100</f>
        <v>4.688037750694205</v>
      </c>
      <c r="AV199" s="1473"/>
      <c r="AW199" s="1557">
        <f>'qtrP&amp;L'!CJ11</f>
        <v>822.59400000000005</v>
      </c>
      <c r="AX199" s="1470"/>
      <c r="AY199" s="1470"/>
      <c r="AZ199" s="1470"/>
      <c r="BA199" s="1470"/>
      <c r="BB199" s="1470"/>
      <c r="BC199" s="1470"/>
      <c r="BD199" s="1470"/>
      <c r="BE199" s="1470"/>
      <c r="BF199" s="1470"/>
      <c r="BG199" s="1470"/>
      <c r="BH199" s="1470"/>
      <c r="BI199" s="1470"/>
      <c r="BJ199" s="1470"/>
      <c r="BK199" s="1470"/>
      <c r="BL199" s="1470"/>
      <c r="BM199" s="1470"/>
    </row>
    <row r="200" spans="1:65" ht="12" customHeight="1">
      <c r="A200" s="1531" t="s">
        <v>760</v>
      </c>
      <c r="B200" s="1578"/>
      <c r="C200" s="1581">
        <f>(R200/R193-1)*100</f>
        <v>-2.6407693686809064</v>
      </c>
      <c r="D200" s="1529"/>
      <c r="E200" s="1784">
        <f>'qtrP&amp;L'!CL12</f>
        <v>2</v>
      </c>
      <c r="F200" s="1472"/>
      <c r="G200" s="1565">
        <f>C200-E200</f>
        <v>-4.6407693686809068</v>
      </c>
      <c r="H200" s="1470"/>
      <c r="I200" s="1639">
        <v>1052</v>
      </c>
      <c r="J200" s="1685">
        <f>I200-I199</f>
        <v>8</v>
      </c>
      <c r="K200" s="1534">
        <f>AVERAGEA(I199,I200)</f>
        <v>1048</v>
      </c>
      <c r="L200" s="1470"/>
      <c r="M200" s="1532">
        <f>(K200/K193-1)*100</f>
        <v>-1.3647058823529457</v>
      </c>
      <c r="N200" s="1470"/>
      <c r="O200" s="1535">
        <f>(G200/M200)*100</f>
        <v>340.0563761533412</v>
      </c>
      <c r="P200" s="1472"/>
      <c r="Q200" s="1472"/>
      <c r="R200" s="1676">
        <f>'qtrP&amp;L'!CJ12-AM200</f>
        <v>739.08668825375878</v>
      </c>
      <c r="S200" s="1538"/>
      <c r="T200" s="1255">
        <f xml:space="preserve"> R200/K200</f>
        <v>0.70523538955511333</v>
      </c>
      <c r="U200" s="1479"/>
      <c r="V200" s="1584">
        <f>T200/T193-1</f>
        <v>-1.2937189448697151E-2</v>
      </c>
      <c r="W200" s="1479"/>
      <c r="X200" s="1641">
        <v>6.6380080000000001</v>
      </c>
      <c r="Y200" s="1470"/>
      <c r="Z200" s="1574">
        <f>AVERAGEA(X199,X200)</f>
        <v>6.6184820000000002</v>
      </c>
      <c r="AA200" s="1470"/>
      <c r="AB200" s="1532">
        <f>(Z200/Z193-1)*100</f>
        <v>-0.95554180952778234</v>
      </c>
      <c r="AC200" s="1470"/>
      <c r="AD200" s="1535">
        <f>(G200/AB200)*100</f>
        <v>485.66889720653046</v>
      </c>
      <c r="AE200" s="1573"/>
      <c r="AF200" s="1472"/>
      <c r="AG200" s="1557">
        <f>R200</f>
        <v>739.08668825375878</v>
      </c>
      <c r="AH200" s="1538"/>
      <c r="AI200" s="1587">
        <f xml:space="preserve"> AG200/Z200</f>
        <v>111.670121374321</v>
      </c>
      <c r="AJ200" s="1479"/>
      <c r="AK200" s="1584">
        <f>AI200/AI193-1</f>
        <v>-1.7014859689698736E-2</v>
      </c>
      <c r="AL200" s="1470"/>
      <c r="AM200" s="1655">
        <f>+AM193*(1+AO200)</f>
        <v>201.52231174624129</v>
      </c>
      <c r="AN200" s="1682"/>
      <c r="AO200" s="1799">
        <v>0.26</v>
      </c>
      <c r="AP200" s="1206"/>
      <c r="AQ200" s="1291">
        <f>AM200/AM202</f>
        <v>0.25151988833510447</v>
      </c>
      <c r="AR200" s="1470"/>
      <c r="AS200" s="1303">
        <f>AM200/'qtrP&amp;L'!CJ12</f>
        <v>0.21424663356000345</v>
      </c>
      <c r="AT200" s="1470"/>
      <c r="AU200" s="1557">
        <f>(AM200-AM193)/AW193*100</f>
        <v>4.5245605448206705</v>
      </c>
      <c r="AV200" s="1473"/>
      <c r="AW200" s="1557">
        <f>'qtrP&amp;L'!CJ12</f>
        <v>940.60900000000004</v>
      </c>
      <c r="AX200" s="1470"/>
      <c r="AY200" s="1470"/>
      <c r="AZ200" s="1470"/>
      <c r="BA200" s="1470"/>
      <c r="BB200" s="1470"/>
      <c r="BC200" s="1470"/>
      <c r="BD200" s="1470"/>
      <c r="BE200" s="1470"/>
      <c r="BF200" s="1470"/>
      <c r="BG200" s="1470"/>
      <c r="BH200" s="1470"/>
      <c r="BI200" s="1470"/>
      <c r="BJ200" s="1470"/>
      <c r="BK200" s="1470"/>
      <c r="BL200" s="1470"/>
      <c r="BM200" s="1470"/>
    </row>
    <row r="201" spans="1:65" ht="12" customHeight="1">
      <c r="A201" s="1531" t="s">
        <v>761</v>
      </c>
      <c r="B201" s="1578"/>
      <c r="C201" s="1570">
        <f>(R201/R194-1)*100</f>
        <v>-4.5817566410916939</v>
      </c>
      <c r="D201" s="1529"/>
      <c r="E201" s="1649">
        <f>'qtrP&amp;L'!CL13</f>
        <v>0.4</v>
      </c>
      <c r="F201" s="1470"/>
      <c r="G201" s="1570">
        <f>C201-E201</f>
        <v>-4.9817566410916942</v>
      </c>
      <c r="H201" s="1470"/>
      <c r="I201" s="1639">
        <f>yrSales!X19</f>
        <v>1050</v>
      </c>
      <c r="J201" s="1470">
        <f>I201-I200</f>
        <v>-2</v>
      </c>
      <c r="K201" s="1545">
        <f>AVERAGEA(I200,I201)</f>
        <v>1051</v>
      </c>
      <c r="L201" s="1470"/>
      <c r="M201" s="1532">
        <f>(K201/K194-1)*100</f>
        <v>-0.61465721040189214</v>
      </c>
      <c r="N201" s="1470"/>
      <c r="O201" s="1475">
        <f>(G201/M201)*100</f>
        <v>810.49348430068608</v>
      </c>
      <c r="P201" s="1472"/>
      <c r="Q201" s="1472"/>
      <c r="R201" s="1692">
        <f>'qtrP&amp;L'!CJ13-AM201</f>
        <v>797.44908257763677</v>
      </c>
      <c r="S201" s="1538"/>
      <c r="T201" s="1562">
        <f xml:space="preserve"> R201/K201</f>
        <v>0.75875269512620058</v>
      </c>
      <c r="U201" s="1479"/>
      <c r="V201" s="1589">
        <f>T201/T194-1</f>
        <v>-3.9916342987197595E-2</v>
      </c>
      <c r="W201" s="1479"/>
      <c r="X201" s="1644">
        <f>+yrSales!X34</f>
        <v>6.6192669999999998</v>
      </c>
      <c r="Y201" s="1470"/>
      <c r="Z201" s="1577">
        <f>AVERAGEA(X200,X201)</f>
        <v>6.6286375</v>
      </c>
      <c r="AA201" s="1470"/>
      <c r="AB201" s="1544">
        <f>(Z201/Z194-1)*100</f>
        <v>-0.48901761421195067</v>
      </c>
      <c r="AC201" s="1470"/>
      <c r="AD201" s="1475">
        <f>(G201/AB201)*100</f>
        <v>1018.7274438201513</v>
      </c>
      <c r="AE201" s="1573"/>
      <c r="AF201" s="1472"/>
      <c r="AG201" s="1544">
        <f>R201</f>
        <v>797.44908257763677</v>
      </c>
      <c r="AH201" s="1538"/>
      <c r="AI201" s="1590">
        <f xml:space="preserve"> AG201/Z201</f>
        <v>120.30361934524807</v>
      </c>
      <c r="AJ201" s="1479"/>
      <c r="AK201" s="1589">
        <f>AI201/AI194-1</f>
        <v>-4.1128515956287748E-2</v>
      </c>
      <c r="AL201" s="1470"/>
      <c r="AM201" s="1656">
        <f>+AM194*(1+AO201)</f>
        <v>299.79691742236338</v>
      </c>
      <c r="AN201" s="1682"/>
      <c r="AO201" s="1835">
        <v>0.11</v>
      </c>
      <c r="AP201" s="1206"/>
      <c r="AQ201" s="1609">
        <f>AM201/AM202</f>
        <v>0.37417637054616509</v>
      </c>
      <c r="AR201" s="1470"/>
      <c r="AS201" s="1594">
        <f>AM201/'qtrP&amp;L'!CJ13</f>
        <v>0.27322671253516839</v>
      </c>
      <c r="AT201" s="1470"/>
      <c r="AU201" s="1544">
        <f>(AM201-AM194)/AW194*100</f>
        <v>2.6866388289357168</v>
      </c>
      <c r="AV201" s="1473"/>
      <c r="AW201" s="1544">
        <f>'qtrP&amp;L'!CJ13</f>
        <v>1097.2460000000001</v>
      </c>
      <c r="AX201" s="1470"/>
      <c r="AY201" s="1470"/>
      <c r="AZ201" s="1470"/>
      <c r="BA201" s="1470"/>
      <c r="BB201" s="1470"/>
      <c r="BC201" s="1470"/>
      <c r="BD201" s="1470"/>
      <c r="BE201" s="1470"/>
      <c r="BF201" s="1470"/>
      <c r="BG201" s="1470"/>
      <c r="BH201" s="1470"/>
      <c r="BI201" s="1470"/>
      <c r="BJ201" s="1470"/>
      <c r="BK201" s="1470"/>
      <c r="BL201" s="1470"/>
      <c r="BM201" s="1470"/>
    </row>
    <row r="202" spans="1:65" ht="12" customHeight="1">
      <c r="A202" s="1531" t="s">
        <v>762</v>
      </c>
      <c r="B202" s="1578"/>
      <c r="C202" s="1579">
        <f>(R202/R195-1)*100</f>
        <v>-1.7421539937683028</v>
      </c>
      <c r="D202" s="1529"/>
      <c r="E202" s="2185">
        <f>'qtrP&amp;L'!CL14</f>
        <v>3</v>
      </c>
      <c r="F202" s="1470"/>
      <c r="G202" s="1832">
        <f>C202-E202</f>
        <v>-4.7421539937683033</v>
      </c>
      <c r="H202" s="1470"/>
      <c r="J202" s="1470"/>
      <c r="K202" s="1534">
        <f>AVERAGEA(K198:K201)</f>
        <v>1047.625</v>
      </c>
      <c r="L202" s="1470"/>
      <c r="M202" s="1532">
        <f>(K202/K195-1)*100</f>
        <v>-0.94551471457274827</v>
      </c>
      <c r="N202" s="1470"/>
      <c r="O202" s="1535">
        <f>(G202/M202)*100</f>
        <v>501.54206176591873</v>
      </c>
      <c r="P202" s="1472"/>
      <c r="Q202" s="1472"/>
      <c r="R202" s="1537">
        <f>SUM(R198:R201)</f>
        <v>2808.6468017883763</v>
      </c>
      <c r="S202" s="1538"/>
      <c r="T202" s="1539">
        <f>SUM(T198:T201)</f>
        <v>2.6804911299632024</v>
      </c>
      <c r="U202" s="1479"/>
      <c r="V202" s="1584">
        <f>T202/T195-1</f>
        <v>-8.0224938790464106E-3</v>
      </c>
      <c r="W202" s="1479"/>
      <c r="X202" s="1611"/>
      <c r="Y202" s="1470"/>
      <c r="Z202" s="1574">
        <f>AVERAGEA(Z198:Z201)</f>
        <v>6.6122333749999997</v>
      </c>
      <c r="AA202" s="1470"/>
      <c r="AB202" s="1532">
        <f>(Z202/Z195-1)*100</f>
        <v>-0.52608029271860035</v>
      </c>
      <c r="AC202" s="1470"/>
      <c r="AD202" s="1535">
        <f>(G202/AB202)*100</f>
        <v>901.41259032200139</v>
      </c>
      <c r="AE202" s="1472"/>
      <c r="AF202" s="1472"/>
      <c r="AG202" s="1537">
        <f>SUM(AG198:AG201)</f>
        <v>2808.6468017883763</v>
      </c>
      <c r="AH202" s="1538"/>
      <c r="AI202" s="1585">
        <f>SUM(AI198:AI201)</f>
        <v>424.69215341356181</v>
      </c>
      <c r="AJ202" s="1479"/>
      <c r="AK202" s="1584">
        <f>AI202/AI195-1</f>
        <v>-1.1990223289636393E-2</v>
      </c>
      <c r="AL202" s="1470"/>
      <c r="AM202" s="1655">
        <f>SUM(AM198:AM201)</f>
        <v>801.21819821162399</v>
      </c>
      <c r="AN202" s="1682"/>
      <c r="AO202" s="1206">
        <f>+AM202/AM195-1</f>
        <v>0.20774037203458717</v>
      </c>
      <c r="AP202" s="1206"/>
      <c r="AQ202" s="1291">
        <f>AM202/AM202</f>
        <v>1</v>
      </c>
      <c r="AR202" s="1470"/>
      <c r="AS202" s="1303">
        <f>AM202/'qtrP&amp;L'!CJ14</f>
        <v>0.22195239938657649</v>
      </c>
      <c r="AT202" s="1470"/>
      <c r="AU202" s="1532">
        <f>(AM202-AM195)/AW195*100</f>
        <v>3.9131592085006925</v>
      </c>
      <c r="AV202" s="1473"/>
      <c r="AW202" s="1537">
        <f>'qtrP&amp;L'!CJ14</f>
        <v>3609.8650000000002</v>
      </c>
      <c r="AX202" s="1470"/>
      <c r="AY202" s="1470"/>
      <c r="AZ202" s="1470"/>
      <c r="BA202" s="1470"/>
      <c r="BB202" s="1470"/>
      <c r="BC202" s="1470"/>
      <c r="BD202" s="1470"/>
      <c r="BE202" s="1206"/>
      <c r="BF202" s="1470"/>
      <c r="BG202" s="1470"/>
      <c r="BH202" s="1470"/>
      <c r="BI202" s="1470"/>
      <c r="BJ202" s="1470"/>
      <c r="BK202" s="1470"/>
      <c r="BL202" s="1470"/>
      <c r="BM202" s="1470"/>
    </row>
    <row r="203" spans="1:65" ht="10.5" customHeight="1">
      <c r="A203" s="1531"/>
      <c r="B203" s="1578"/>
      <c r="C203" s="1579"/>
      <c r="D203" s="1529"/>
      <c r="E203" s="1635"/>
      <c r="F203" s="1470"/>
      <c r="G203" s="1687"/>
      <c r="H203" s="1470"/>
      <c r="J203" s="1470"/>
      <c r="K203" s="1534"/>
      <c r="L203" s="1470"/>
      <c r="M203" s="1532"/>
      <c r="N203" s="1470"/>
      <c r="O203" s="1535"/>
      <c r="P203" s="1472"/>
      <c r="Q203" s="1472"/>
      <c r="R203" s="1537"/>
      <c r="S203" s="1538"/>
      <c r="T203" s="1539"/>
      <c r="U203" s="1479"/>
      <c r="V203" s="1584"/>
      <c r="W203" s="1479"/>
      <c r="X203" s="1611"/>
      <c r="Y203" s="1470"/>
      <c r="Z203" s="1574"/>
      <c r="AA203" s="1470"/>
      <c r="AB203" s="1532"/>
      <c r="AC203" s="1470"/>
      <c r="AD203" s="1535"/>
      <c r="AE203" s="1472"/>
      <c r="AF203" s="1472"/>
      <c r="AG203" s="1537"/>
      <c r="AH203" s="1538"/>
      <c r="AI203" s="1585"/>
      <c r="AJ203" s="1479"/>
      <c r="AK203" s="1584"/>
      <c r="AL203" s="1470"/>
      <c r="AM203" s="1655"/>
      <c r="AN203" s="1682"/>
      <c r="AO203" s="1206"/>
      <c r="AP203" s="1206"/>
      <c r="AQ203" s="1291"/>
      <c r="AR203" s="1470"/>
      <c r="AS203" s="1303"/>
      <c r="AT203" s="1470"/>
      <c r="AU203" s="1532"/>
      <c r="AV203" s="1473"/>
      <c r="AW203" s="1537"/>
      <c r="AX203" s="1470"/>
      <c r="AY203" s="1470"/>
      <c r="AZ203" s="1470"/>
      <c r="BA203" s="1470"/>
      <c r="BB203" s="1470"/>
      <c r="BC203" s="1470"/>
      <c r="BD203" s="1470"/>
      <c r="BE203" s="1206"/>
      <c r="BF203" s="1470"/>
      <c r="BG203" s="1470"/>
      <c r="BH203" s="1470"/>
      <c r="BI203" s="1470"/>
      <c r="BJ203" s="1470"/>
      <c r="BK203" s="1470"/>
      <c r="BL203" s="1470"/>
      <c r="BM203" s="1470"/>
    </row>
    <row r="204" spans="1:65" ht="12" customHeight="1">
      <c r="A204" s="1580" t="s">
        <v>804</v>
      </c>
      <c r="B204" s="1578"/>
      <c r="C204" s="1579"/>
      <c r="D204" s="1529"/>
      <c r="E204" s="1635"/>
      <c r="F204" s="1470"/>
      <c r="G204" s="1565"/>
      <c r="H204" s="1470"/>
      <c r="J204" s="1470"/>
      <c r="K204" s="1534"/>
      <c r="L204" s="1470"/>
      <c r="M204" s="1532"/>
      <c r="N204" s="1470"/>
      <c r="O204" s="1535"/>
      <c r="P204" s="1472"/>
      <c r="Q204" s="1472"/>
      <c r="R204" s="1537"/>
      <c r="S204" s="1538"/>
      <c r="T204" s="1539"/>
      <c r="U204" s="1479"/>
      <c r="V204" s="1584"/>
      <c r="W204" s="1479"/>
      <c r="X204" s="1611"/>
      <c r="Y204" s="1470"/>
      <c r="Z204" s="1574"/>
      <c r="AA204" s="1470"/>
      <c r="AB204" s="1532"/>
      <c r="AC204" s="1470"/>
      <c r="AD204" s="1535"/>
      <c r="AE204" s="1472"/>
      <c r="AF204" s="1472"/>
      <c r="AG204" s="1537"/>
      <c r="AH204" s="1538"/>
      <c r="AI204" s="1585"/>
      <c r="AJ204" s="1479"/>
      <c r="AK204" s="1584"/>
      <c r="AL204" s="1470"/>
      <c r="AM204" s="1655"/>
      <c r="AN204" s="1682"/>
      <c r="AO204" s="1206"/>
      <c r="AP204" s="1206"/>
      <c r="AQ204" s="1291"/>
      <c r="AR204" s="1470"/>
      <c r="AS204" s="1303"/>
      <c r="AT204" s="1470"/>
      <c r="AU204" s="1532"/>
      <c r="AV204" s="1473"/>
      <c r="AW204" s="1537"/>
      <c r="AX204" s="1470"/>
      <c r="AY204" s="1470"/>
      <c r="AZ204" s="1470"/>
      <c r="BA204" s="1470"/>
      <c r="BB204" s="1470"/>
      <c r="BC204" s="1470"/>
      <c r="BD204" s="1470"/>
      <c r="BE204" s="1470"/>
      <c r="BF204" s="1470"/>
      <c r="BG204" s="1470"/>
      <c r="BH204" s="1470"/>
      <c r="BI204" s="1470"/>
      <c r="BJ204" s="1470"/>
      <c r="BK204" s="1470"/>
      <c r="BL204" s="1470"/>
      <c r="BM204" s="1470"/>
    </row>
    <row r="205" spans="1:65" ht="12" customHeight="1">
      <c r="A205" s="1531" t="s">
        <v>758</v>
      </c>
      <c r="B205" s="1578"/>
      <c r="C205" s="1581">
        <f>(R205/R198-1)*100</f>
        <v>-6.3889836683781009</v>
      </c>
      <c r="D205" s="1573" t="s">
        <v>697</v>
      </c>
      <c r="E205" s="1784">
        <f>'qtrP&amp;L'!CP10</f>
        <v>2</v>
      </c>
      <c r="F205" s="1472" t="s">
        <v>697</v>
      </c>
      <c r="G205" s="1565">
        <f>C205-E205</f>
        <v>-8.3889836683781009</v>
      </c>
      <c r="H205" s="1470" t="s">
        <v>697</v>
      </c>
      <c r="I205" s="1639">
        <v>1053</v>
      </c>
      <c r="J205" s="1829">
        <f>I205-I201</f>
        <v>3</v>
      </c>
      <c r="K205" s="1534">
        <f>AVERAGEA(I201,I205)</f>
        <v>1051.5</v>
      </c>
      <c r="L205" s="1470"/>
      <c r="M205" s="1532">
        <f>(K205/K198-1)*100</f>
        <v>0.47778308647874468</v>
      </c>
      <c r="N205" s="1573" t="s">
        <v>697</v>
      </c>
      <c r="O205" s="1535">
        <f>(G205/M205)*100</f>
        <v>-1755.8142817915143</v>
      </c>
      <c r="P205" s="1472" t="s">
        <v>697</v>
      </c>
      <c r="Q205" s="1472"/>
      <c r="R205" s="1676">
        <f>'qtrP&amp;L'!CN10-AM205</f>
        <v>565.15301414238502</v>
      </c>
      <c r="S205" s="1538"/>
      <c r="T205" s="1539">
        <f xml:space="preserve"> R205/K205</f>
        <v>0.53747314706836424</v>
      </c>
      <c r="U205" s="1479"/>
      <c r="V205" s="1584">
        <f>T205/T198-1</f>
        <v>-6.834114511609779E-2</v>
      </c>
      <c r="W205" s="1479"/>
      <c r="X205" s="1641">
        <v>6.637435</v>
      </c>
      <c r="Y205" s="1470"/>
      <c r="Z205" s="1574">
        <f>AVERAGEA(X201,X205)</f>
        <v>6.6283510000000003</v>
      </c>
      <c r="AA205" s="1470"/>
      <c r="AB205" s="1532">
        <f>(Z205/Z198-1)*100</f>
        <v>0.40756222197380065</v>
      </c>
      <c r="AC205" s="1470" t="s">
        <v>697</v>
      </c>
      <c r="AD205" s="1535">
        <f>(G205/AB205)*100</f>
        <v>-2058.3320082393138</v>
      </c>
      <c r="AE205" s="1573" t="s">
        <v>697</v>
      </c>
      <c r="AF205" s="1472"/>
      <c r="AG205" s="1538">
        <f>R205</f>
        <v>565.15301414238502</v>
      </c>
      <c r="AH205" s="1538"/>
      <c r="AI205" s="1585">
        <f xml:space="preserve"> AG205/Z205</f>
        <v>85.262988357494194</v>
      </c>
      <c r="AJ205" s="1479"/>
      <c r="AK205" s="1584">
        <f>AI205/AI198-1</f>
        <v>-6.7689581740134064E-2</v>
      </c>
      <c r="AL205" s="1470"/>
      <c r="AM205" s="1655">
        <f>+AM198*(1+AO205)</f>
        <v>196.68298585761505</v>
      </c>
      <c r="AN205" s="1682"/>
      <c r="AO205" s="1799">
        <v>0.35</v>
      </c>
      <c r="AP205" s="1206"/>
      <c r="AQ205" s="1291">
        <f>AM205/AM209</f>
        <v>0.19501742646432046</v>
      </c>
      <c r="AR205" s="1470"/>
      <c r="AS205" s="1303">
        <f>AM205/(R205+AM205)</f>
        <v>0.25816971875523742</v>
      </c>
      <c r="AT205" s="1470"/>
      <c r="AU205" s="1557">
        <f>(AM205-AM198)/AW198*100</f>
        <v>6.8042162460295277</v>
      </c>
      <c r="AV205" s="1473"/>
      <c r="AW205" s="1538">
        <f>'qtrP&amp;L'!CN10</f>
        <v>761.83600000000001</v>
      </c>
      <c r="AX205" s="1470"/>
      <c r="AY205" s="1470"/>
      <c r="AZ205" s="1470"/>
      <c r="BA205" s="1470"/>
      <c r="BB205" s="1470"/>
      <c r="BC205" s="1470"/>
      <c r="BD205" s="1470"/>
      <c r="BE205" s="1470"/>
      <c r="BF205" s="1470"/>
      <c r="BG205" s="1470"/>
      <c r="BH205" s="1470"/>
      <c r="BI205" s="1470"/>
      <c r="BJ205" s="1470"/>
      <c r="BK205" s="1470"/>
      <c r="BL205" s="1470"/>
      <c r="BM205" s="1470"/>
    </row>
    <row r="206" spans="1:65" ht="12" customHeight="1">
      <c r="A206" s="1531" t="s">
        <v>759</v>
      </c>
      <c r="B206" s="1578"/>
      <c r="C206" s="1581">
        <f>(R206/R199-1)*100</f>
        <v>-2.7126603813311334</v>
      </c>
      <c r="D206" s="1529"/>
      <c r="E206" s="1784">
        <f>'qtrP&amp;L'!CP11</f>
        <v>2</v>
      </c>
      <c r="F206" s="1472"/>
      <c r="G206" s="1565">
        <f>C206-E206</f>
        <v>-4.7126603813311334</v>
      </c>
      <c r="H206" s="1470"/>
      <c r="I206" s="1639">
        <v>1057</v>
      </c>
      <c r="J206" s="1829">
        <f>I206-I205</f>
        <v>4</v>
      </c>
      <c r="K206" s="1534">
        <f>AVERAGEA(I205,I206)</f>
        <v>1055</v>
      </c>
      <c r="L206" s="1470"/>
      <c r="M206" s="1532">
        <f>(K206/K199-1)*100</f>
        <v>0.95693779904306719</v>
      </c>
      <c r="N206" s="1470"/>
      <c r="O206" s="1535">
        <f>(G206/M206)*100</f>
        <v>-492.47300984910083</v>
      </c>
      <c r="P206" s="1472"/>
      <c r="Q206" s="1472"/>
      <c r="R206" s="1676">
        <f>'qtrP&amp;L'!CN11-AM206</f>
        <v>650.25508580623648</v>
      </c>
      <c r="S206" s="1538"/>
      <c r="T206" s="1255">
        <f xml:space="preserve"> R206/K206</f>
        <v>0.61635553156989242</v>
      </c>
      <c r="U206" s="1479"/>
      <c r="V206" s="1584">
        <f>T206/T199-1</f>
        <v>-3.6348152592332039E-2</v>
      </c>
      <c r="W206" s="1479"/>
      <c r="X206" s="1641">
        <v>6.6422759999999998</v>
      </c>
      <c r="Y206" s="1470"/>
      <c r="Z206" s="1574">
        <f>AVERAGEA(X205,X206)</f>
        <v>6.6398554999999995</v>
      </c>
      <c r="AA206" s="1470"/>
      <c r="AB206" s="1532">
        <f>(Z206/Z199-1)*100</f>
        <v>0.59826209690125864</v>
      </c>
      <c r="AC206" s="1470"/>
      <c r="AD206" s="1535">
        <f>(G206/AB206)*100</f>
        <v>-787.72504655412649</v>
      </c>
      <c r="AE206" s="1573"/>
      <c r="AF206" s="1472"/>
      <c r="AG206" s="1557">
        <f>R206</f>
        <v>650.25508580623648</v>
      </c>
      <c r="AH206" s="1538"/>
      <c r="AI206" s="1587">
        <f xml:space="preserve"> AG206/Z206</f>
        <v>97.932114005528661</v>
      </c>
      <c r="AJ206" s="1479"/>
      <c r="AK206" s="1584">
        <f>AI206/AI199-1</f>
        <v>-3.291232282962453E-2</v>
      </c>
      <c r="AL206" s="1470"/>
      <c r="AM206" s="1655">
        <f>+AM199*(1+AO206)</f>
        <v>194.30191419376354</v>
      </c>
      <c r="AN206" s="1682"/>
      <c r="AO206" s="1799">
        <v>0.26</v>
      </c>
      <c r="AP206" s="1206"/>
      <c r="AQ206" s="1291">
        <f>AM206/AM209</f>
        <v>0.19265651829482786</v>
      </c>
      <c r="AR206" s="1470"/>
      <c r="AS206" s="1303">
        <f>AM206/(R206+AM206)</f>
        <v>0.23006370700114206</v>
      </c>
      <c r="AT206" s="1470"/>
      <c r="AU206" s="1557">
        <f>(AM206-AM199)/AW199*100</f>
        <v>4.8740989827320282</v>
      </c>
      <c r="AV206" s="1473"/>
      <c r="AW206" s="1557">
        <f>'qtrP&amp;L'!CN11</f>
        <v>844.55700000000002</v>
      </c>
      <c r="AX206" s="1470"/>
      <c r="AY206" s="1470"/>
      <c r="AZ206" s="1470"/>
      <c r="BA206" s="1470"/>
      <c r="BB206" s="1470"/>
      <c r="BC206" s="1470"/>
      <c r="BD206" s="1470"/>
      <c r="BE206" s="1470"/>
      <c r="BF206" s="1470"/>
      <c r="BG206" s="1470"/>
      <c r="BH206" s="1470"/>
      <c r="BI206" s="1470"/>
      <c r="BJ206" s="1470"/>
      <c r="BK206" s="1470"/>
      <c r="BL206" s="1470"/>
      <c r="BM206" s="1470"/>
    </row>
    <row r="207" spans="1:65" ht="12" customHeight="1">
      <c r="A207" s="1531" t="s">
        <v>760</v>
      </c>
      <c r="B207" s="1578"/>
      <c r="C207" s="1581">
        <f>(R207/R200-1)*100</f>
        <v>-2.4983861196869461</v>
      </c>
      <c r="D207" s="1529"/>
      <c r="E207" s="1784">
        <f>'qtrP&amp;L'!CP12</f>
        <v>3</v>
      </c>
      <c r="F207" s="1472"/>
      <c r="G207" s="1565">
        <f>C207-E207</f>
        <v>-5.4983861196869466</v>
      </c>
      <c r="H207" s="1470"/>
      <c r="I207" s="1639">
        <v>1058</v>
      </c>
      <c r="J207" s="1829">
        <f>I207-I206</f>
        <v>1</v>
      </c>
      <c r="K207" s="1534">
        <f>AVERAGEA(I206,I207)</f>
        <v>1057.5</v>
      </c>
      <c r="L207" s="1470"/>
      <c r="M207" s="1532">
        <f>(K207/K200-1)*100</f>
        <v>0.90648854961832281</v>
      </c>
      <c r="N207" s="1470"/>
      <c r="O207" s="1535">
        <f>(G207/M207)*100</f>
        <v>-606.55880562441121</v>
      </c>
      <c r="P207" s="1472"/>
      <c r="Q207" s="1472"/>
      <c r="R207" s="1676">
        <f>'qtrP&amp;L'!CN12-AM207</f>
        <v>720.62144902197292</v>
      </c>
      <c r="S207" s="1538"/>
      <c r="T207" s="1255">
        <f xml:space="preserve"> R207/K207</f>
        <v>0.68143872247940707</v>
      </c>
      <c r="U207" s="1479"/>
      <c r="V207" s="1584">
        <f>T207/T200-1</f>
        <v>-3.3742871427252186E-2</v>
      </c>
      <c r="W207" s="1479"/>
      <c r="X207" s="1641">
        <v>6.641</v>
      </c>
      <c r="Y207" s="1470"/>
      <c r="Z207" s="1574">
        <f>AVERAGEA(X206,X207)</f>
        <v>6.6416380000000004</v>
      </c>
      <c r="AA207" s="1470"/>
      <c r="AB207" s="1532">
        <f>(Z207/Z200-1)*100</f>
        <v>0.34986874633791132</v>
      </c>
      <c r="AC207" s="1470"/>
      <c r="AD207" s="1535">
        <f>(G207/AB207)*100</f>
        <v>-1571.5568130159527</v>
      </c>
      <c r="AE207" s="1573"/>
      <c r="AF207" s="1472"/>
      <c r="AG207" s="1557">
        <f>R207</f>
        <v>720.62144902197292</v>
      </c>
      <c r="AH207" s="1538"/>
      <c r="AI207" s="1587">
        <f xml:space="preserve"> AG207/Z207</f>
        <v>108.50056100949388</v>
      </c>
      <c r="AJ207" s="1479"/>
      <c r="AK207" s="1584">
        <f>AI207/AI200-1</f>
        <v>-2.8383244558342291E-2</v>
      </c>
      <c r="AL207" s="1470"/>
      <c r="AM207" s="1655">
        <f>+AM200*(1+AO207)</f>
        <v>239.81155097802713</v>
      </c>
      <c r="AN207" s="1682"/>
      <c r="AO207" s="1799">
        <v>0.19</v>
      </c>
      <c r="AP207" s="1206"/>
      <c r="AQ207" s="1291">
        <f>AM207/AM209</f>
        <v>0.23778076839858658</v>
      </c>
      <c r="AR207" s="1470"/>
      <c r="AS207" s="1229">
        <f>AM207/(R207+AM207)</f>
        <v>0.24969107785553718</v>
      </c>
      <c r="AT207" s="1470"/>
      <c r="AU207" s="1557">
        <f>(AM207-AM200)/AW200*100</f>
        <v>4.0706860376400655</v>
      </c>
      <c r="AV207" s="1473"/>
      <c r="AW207" s="1557">
        <f>'qtrP&amp;L'!CN12</f>
        <v>960.43299999999999</v>
      </c>
      <c r="AX207" s="1470"/>
      <c r="AY207" s="1470"/>
      <c r="AZ207" s="1470"/>
      <c r="BA207" s="1470"/>
      <c r="BB207" s="1470"/>
      <c r="BC207" s="1470"/>
      <c r="BD207" s="1470"/>
      <c r="BE207" s="1470"/>
      <c r="BF207" s="1470"/>
      <c r="BG207" s="1470"/>
      <c r="BH207" s="1470"/>
      <c r="BI207" s="1470"/>
      <c r="BJ207" s="1470"/>
      <c r="BK207" s="1470"/>
      <c r="BL207" s="1470"/>
      <c r="BM207" s="1470"/>
    </row>
    <row r="208" spans="1:65" ht="12" customHeight="1">
      <c r="A208" s="1531" t="s">
        <v>761</v>
      </c>
      <c r="B208" s="1578"/>
      <c r="C208" s="1570">
        <f>(R208/R201-1)*100</f>
        <v>6.7126293878422949</v>
      </c>
      <c r="D208" s="1529"/>
      <c r="E208" s="1649">
        <f>'qtrP&amp;L'!CP13</f>
        <v>8</v>
      </c>
      <c r="F208" s="1470"/>
      <c r="G208" s="1570">
        <f>C208-E208</f>
        <v>-1.2873706121577051</v>
      </c>
      <c r="H208" s="1470"/>
      <c r="I208" s="2183">
        <f>yrSales!Y19</f>
        <v>1047</v>
      </c>
      <c r="J208" s="1470">
        <f>I208-I207</f>
        <v>-11</v>
      </c>
      <c r="K208" s="1545">
        <f>AVERAGEA(I207,I208)</f>
        <v>1052.5</v>
      </c>
      <c r="L208" s="1470"/>
      <c r="M208" s="1532">
        <f>(K208/K201-1)*100</f>
        <v>0.14272121788772019</v>
      </c>
      <c r="N208" s="1470"/>
      <c r="O208" s="1475">
        <f>(G208/M208)*100</f>
        <v>-902.01767558520203</v>
      </c>
      <c r="P208" s="1472"/>
      <c r="Q208" s="1472"/>
      <c r="R208" s="1692">
        <f>'qtrP&amp;L'!CN13-AM208</f>
        <v>850.97888404782202</v>
      </c>
      <c r="S208" s="1538"/>
      <c r="T208" s="1562">
        <f xml:space="preserve"> R208/K208</f>
        <v>0.80853100622120855</v>
      </c>
      <c r="U208" s="1479"/>
      <c r="V208" s="1589">
        <f>T208/T201-1</f>
        <v>6.5605448804011868E-2</v>
      </c>
      <c r="W208" s="1479"/>
      <c r="X208" s="1644">
        <f>+yrSales!Y34</f>
        <v>6.5808119999999999</v>
      </c>
      <c r="Y208" s="1470"/>
      <c r="Z208" s="1577">
        <f>AVERAGEA(X207,X208)</f>
        <v>6.6109059999999999</v>
      </c>
      <c r="AA208" s="1470"/>
      <c r="AB208" s="1544">
        <f>(Z208/Z201-1)*100</f>
        <v>-0.267498411249667</v>
      </c>
      <c r="AC208" s="1470"/>
      <c r="AD208" s="1475">
        <f>(G208/AB208)*100</f>
        <v>481.26290027051806</v>
      </c>
      <c r="AE208" s="1573"/>
      <c r="AF208" s="1472"/>
      <c r="AG208" s="1544">
        <f>R208</f>
        <v>850.97888404782202</v>
      </c>
      <c r="AH208" s="1538"/>
      <c r="AI208" s="1590">
        <f xml:space="preserve"> AG208/Z208</f>
        <v>128.72348873933799</v>
      </c>
      <c r="AJ208" s="1479"/>
      <c r="AK208" s="1589">
        <f>AI208/AI201-1</f>
        <v>6.9988496106060838E-2</v>
      </c>
      <c r="AL208" s="1470"/>
      <c r="AM208" s="1656">
        <f>+AM201*(1+AO208)</f>
        <v>377.74411595217788</v>
      </c>
      <c r="AN208" s="1682"/>
      <c r="AO208" s="1835">
        <v>0.26</v>
      </c>
      <c r="AP208" s="1160"/>
      <c r="AQ208" s="2120">
        <f>AM208/AM209</f>
        <v>0.37454528684226507</v>
      </c>
      <c r="AR208" s="1636"/>
      <c r="AS208" s="2121">
        <f>AM208/(R208+AM208)</f>
        <v>0.30742821282923644</v>
      </c>
      <c r="AT208" s="1636"/>
      <c r="AU208" s="2118">
        <f>(AM208-AM201)/AW201*100</f>
        <v>7.10389452591438</v>
      </c>
      <c r="AV208" s="2122"/>
      <c r="AW208" s="2118">
        <f>'qtrP&amp;L'!CN13</f>
        <v>1228.723</v>
      </c>
      <c r="AX208" s="1470"/>
      <c r="AY208" s="1470"/>
      <c r="AZ208" s="1470"/>
      <c r="BA208" s="1470"/>
      <c r="BB208" s="1470"/>
      <c r="BC208" s="1470"/>
      <c r="BD208" s="1470"/>
      <c r="BE208" s="1470"/>
      <c r="BF208" s="1470"/>
      <c r="BG208" s="1470"/>
      <c r="BH208" s="1470"/>
      <c r="BI208" s="1470"/>
      <c r="BJ208" s="1470"/>
      <c r="BK208" s="1470"/>
      <c r="BL208" s="1470"/>
      <c r="BM208" s="1470"/>
    </row>
    <row r="209" spans="1:65" ht="12" customHeight="1">
      <c r="A209" s="1531" t="s">
        <v>762</v>
      </c>
      <c r="B209" s="1578"/>
      <c r="C209" s="1579">
        <f>(R209/R202-1)*100</f>
        <v>-0.7704197180002148</v>
      </c>
      <c r="D209" s="1529"/>
      <c r="E209" s="1784">
        <f>'qtrP&amp;L'!CP14</f>
        <v>4</v>
      </c>
      <c r="F209" s="1470"/>
      <c r="G209" s="1832">
        <f>C209-E209</f>
        <v>-4.7704197180002144</v>
      </c>
      <c r="H209" s="1470"/>
      <c r="J209" s="1470"/>
      <c r="K209" s="1534">
        <f>AVERAGEA(K205:K208)</f>
        <v>1054.125</v>
      </c>
      <c r="L209" s="1470"/>
      <c r="M209" s="1532">
        <f>(K209/K202-1)*100</f>
        <v>0.62045102016465847</v>
      </c>
      <c r="N209" s="1470"/>
      <c r="O209" s="1535">
        <f>(G209/M209)*100</f>
        <v>-768.86322416461098</v>
      </c>
      <c r="P209" s="1472"/>
      <c r="Q209" s="1472"/>
      <c r="R209" s="1537">
        <f>SUM(R205:R208)</f>
        <v>2787.0084330184163</v>
      </c>
      <c r="S209" s="1538"/>
      <c r="T209" s="1539">
        <f>SUM(T205:T208)</f>
        <v>2.6437984073388723</v>
      </c>
      <c r="U209" s="1479"/>
      <c r="V209" s="1584">
        <f>T209/T202-1</f>
        <v>-1.3688805836426621E-2</v>
      </c>
      <c r="W209" s="1479"/>
      <c r="X209" s="1611"/>
      <c r="Y209" s="1470"/>
      <c r="Z209" s="1574">
        <f>AVERAGEA(Z205:Z208)</f>
        <v>6.6301876249999996</v>
      </c>
      <c r="AA209" s="1470"/>
      <c r="AB209" s="1532">
        <f>(Z209/Z202-1)*100</f>
        <v>0.27153079726258689</v>
      </c>
      <c r="AC209" s="1470"/>
      <c r="AD209" s="1535">
        <f>(G209/AB209)*100</f>
        <v>-1756.8613822420029</v>
      </c>
      <c r="AE209" s="1472"/>
      <c r="AF209" s="1472"/>
      <c r="AG209" s="1537">
        <f>SUM(AG205:AG208)</f>
        <v>2787.0084330184163</v>
      </c>
      <c r="AH209" s="1538"/>
      <c r="AI209" s="1585">
        <f>SUM(AI205:AI208)</f>
        <v>420.41915211185471</v>
      </c>
      <c r="AJ209" s="1479"/>
      <c r="AK209" s="1584">
        <f>AI209/AI202-1</f>
        <v>-1.0061408640027469E-2</v>
      </c>
      <c r="AL209" s="1470"/>
      <c r="AM209" s="1655">
        <f>SUM(AM205:AM208)</f>
        <v>1008.5405669815837</v>
      </c>
      <c r="AN209" s="1682"/>
      <c r="AO209" s="1160">
        <f>+AM209/AM202-1</f>
        <v>0.25875893637053915</v>
      </c>
      <c r="AP209" s="1160"/>
      <c r="AQ209" s="1300">
        <f>AM209/AM209</f>
        <v>1</v>
      </c>
      <c r="AR209" s="1636"/>
      <c r="AS209" s="1229">
        <f>AM209/(R209+AM209)</f>
        <v>0.26571665047179832</v>
      </c>
      <c r="AT209" s="1636"/>
      <c r="AU209" s="1674">
        <f>(AM209-AM202)/AW202*100</f>
        <v>5.7432166790159647</v>
      </c>
      <c r="AV209" s="2122"/>
      <c r="AW209" s="2113">
        <f>'qtrP&amp;L'!CN14</f>
        <v>3795.549</v>
      </c>
      <c r="AX209" s="1470"/>
      <c r="AY209" s="1470"/>
      <c r="AZ209" s="1470"/>
      <c r="BA209" s="1470"/>
      <c r="BB209" s="1470"/>
      <c r="BC209" s="1470"/>
      <c r="BD209" s="1470"/>
      <c r="BE209" s="1206"/>
      <c r="BF209" s="1470"/>
      <c r="BG209" s="1470"/>
      <c r="BH209" s="1470"/>
      <c r="BI209" s="1470"/>
      <c r="BJ209" s="1470"/>
      <c r="BK209" s="1470"/>
      <c r="BL209" s="1470"/>
      <c r="BM209" s="1470"/>
    </row>
    <row r="210" spans="1:65" ht="12" customHeight="1">
      <c r="A210" s="1531"/>
      <c r="B210" s="1578"/>
      <c r="C210" s="1579"/>
      <c r="D210" s="1529"/>
      <c r="E210" s="1635"/>
      <c r="F210" s="1470"/>
      <c r="G210" s="1832"/>
      <c r="H210" s="1470"/>
      <c r="J210" s="1470"/>
      <c r="K210" s="1534"/>
      <c r="L210" s="1470"/>
      <c r="M210" s="1532"/>
      <c r="N210" s="1470"/>
      <c r="O210" s="1535"/>
      <c r="P210" s="1472"/>
      <c r="Q210" s="1472"/>
      <c r="R210" s="1537"/>
      <c r="S210" s="1538"/>
      <c r="T210" s="1539"/>
      <c r="U210" s="1479"/>
      <c r="V210" s="1584"/>
      <c r="W210" s="1479"/>
      <c r="X210" s="1611"/>
      <c r="Y210" s="1470"/>
      <c r="Z210" s="1574"/>
      <c r="AA210" s="1470"/>
      <c r="AB210" s="1532"/>
      <c r="AC210" s="1470"/>
      <c r="AD210" s="1535"/>
      <c r="AE210" s="1472"/>
      <c r="AF210" s="1472"/>
      <c r="AG210" s="1537"/>
      <c r="AH210" s="1538"/>
      <c r="AI210" s="1585"/>
      <c r="AJ210" s="1479"/>
      <c r="AK210" s="1584"/>
      <c r="AL210" s="1470"/>
      <c r="AM210" s="1655"/>
      <c r="AN210" s="1682"/>
      <c r="AO210" s="1206"/>
      <c r="AP210" s="1206"/>
      <c r="AQ210" s="1291"/>
      <c r="AR210" s="1470"/>
      <c r="AS210" s="1303"/>
      <c r="AT210" s="1470"/>
      <c r="AU210" s="1532"/>
      <c r="AV210" s="1473"/>
      <c r="AW210" s="1538"/>
      <c r="AX210" s="1470"/>
      <c r="AY210" s="1470"/>
      <c r="AZ210" s="1470"/>
      <c r="BA210" s="1470"/>
      <c r="BB210" s="1470"/>
      <c r="BC210" s="1470"/>
      <c r="BD210" s="1470"/>
      <c r="BE210" s="1206"/>
      <c r="BF210" s="1470"/>
      <c r="BG210" s="1470"/>
      <c r="BH210" s="1470"/>
      <c r="BI210" s="1470"/>
      <c r="BJ210" s="1470"/>
      <c r="BK210" s="1470"/>
      <c r="BL210" s="1470"/>
      <c r="BM210" s="1470"/>
    </row>
    <row r="211" spans="1:65" s="2123" customFormat="1" ht="12" customHeight="1">
      <c r="A211" s="2106" t="s">
        <v>188</v>
      </c>
      <c r="B211" s="2107"/>
      <c r="C211" s="2108"/>
      <c r="D211" s="2133"/>
      <c r="E211" s="2134"/>
      <c r="F211" s="1636"/>
      <c r="G211" s="1671"/>
      <c r="H211" s="1636"/>
      <c r="J211" s="1636"/>
      <c r="K211" s="1673"/>
      <c r="L211" s="1636"/>
      <c r="M211" s="1674"/>
      <c r="N211" s="1636"/>
      <c r="O211" s="1675"/>
      <c r="P211" s="1637"/>
      <c r="Q211" s="1637"/>
      <c r="R211" s="2113"/>
      <c r="S211" s="1710"/>
      <c r="T211" s="2114"/>
      <c r="U211" s="1678"/>
      <c r="V211" s="1584"/>
      <c r="W211" s="1678"/>
      <c r="X211" s="2116"/>
      <c r="Y211" s="1636"/>
      <c r="Z211" s="1680"/>
      <c r="AA211" s="1636"/>
      <c r="AB211" s="1674"/>
      <c r="AC211" s="1636"/>
      <c r="AD211" s="1675"/>
      <c r="AE211" s="1637"/>
      <c r="AF211" s="1637"/>
      <c r="AG211" s="2113"/>
      <c r="AH211" s="1710"/>
      <c r="AI211" s="2119"/>
      <c r="AJ211" s="1678"/>
      <c r="AK211" s="1584"/>
      <c r="AL211" s="1636"/>
      <c r="AM211" s="1655"/>
      <c r="AN211" s="1682"/>
      <c r="AO211" s="1160"/>
      <c r="AP211" s="1160"/>
      <c r="AQ211" s="1300"/>
      <c r="AR211" s="1636"/>
      <c r="AS211" s="1229"/>
      <c r="AT211" s="1636"/>
      <c r="AU211" s="1674"/>
      <c r="AV211" s="2122"/>
      <c r="AW211" s="2113"/>
      <c r="AX211" s="1636"/>
      <c r="AY211" s="1636"/>
      <c r="AZ211" s="1636"/>
      <c r="BA211" s="1636"/>
      <c r="BB211" s="1636"/>
      <c r="BC211" s="1636"/>
      <c r="BD211" s="1636"/>
      <c r="BE211" s="1636"/>
      <c r="BF211" s="1636"/>
      <c r="BG211" s="1636"/>
      <c r="BH211" s="1636"/>
      <c r="BI211" s="1636"/>
      <c r="BJ211" s="1636"/>
      <c r="BK211" s="1636"/>
      <c r="BL211" s="1636"/>
      <c r="BM211" s="1636"/>
    </row>
    <row r="212" spans="1:65" s="2123" customFormat="1" ht="12" customHeight="1">
      <c r="A212" s="1668" t="s">
        <v>758</v>
      </c>
      <c r="B212" s="2107"/>
      <c r="C212" s="1670">
        <f>G212+E212</f>
        <v>3</v>
      </c>
      <c r="D212" s="1669" t="s">
        <v>697</v>
      </c>
      <c r="E212" s="1830">
        <v>5</v>
      </c>
      <c r="F212" s="1637" t="s">
        <v>697</v>
      </c>
      <c r="G212" s="1833">
        <v>-2</v>
      </c>
      <c r="H212" s="1636" t="s">
        <v>697</v>
      </c>
      <c r="I212" s="2141">
        <f>I208+J212</f>
        <v>1050</v>
      </c>
      <c r="J212" s="2110">
        <v>3</v>
      </c>
      <c r="K212" s="1673">
        <f>AVERAGEA(I208,I212)</f>
        <v>1048.5</v>
      </c>
      <c r="L212" s="1636"/>
      <c r="M212" s="1674">
        <f>(K212/K205-1)*100</f>
        <v>-0.28530670470755526</v>
      </c>
      <c r="N212" s="1669" t="s">
        <v>697</v>
      </c>
      <c r="O212" s="1675">
        <f>(G212/M212)*100</f>
        <v>701.00000000001319</v>
      </c>
      <c r="P212" s="1637" t="s">
        <v>697</v>
      </c>
      <c r="Q212" s="1637"/>
      <c r="R212" s="1676">
        <f>(R205)*(1+C212/100)</f>
        <v>582.10760456665662</v>
      </c>
      <c r="S212" s="1710"/>
      <c r="T212" s="2114">
        <f xml:space="preserve"> R212/K212</f>
        <v>0.55518131098393575</v>
      </c>
      <c r="U212" s="1678"/>
      <c r="V212" s="1584">
        <f>T212/T205-1</f>
        <v>3.2947067238912942E-2</v>
      </c>
      <c r="W212" s="1678"/>
      <c r="X212" s="1644">
        <f>+X208+(I212-I208)*4500/1000000</f>
        <v>6.5943119999999995</v>
      </c>
      <c r="Y212" s="1636"/>
      <c r="Z212" s="1680">
        <f>AVERAGEA(X208,X212)</f>
        <v>6.5875620000000001</v>
      </c>
      <c r="AA212" s="1636"/>
      <c r="AB212" s="1674">
        <f>(Z212/Z205-1)*100</f>
        <v>-0.61537175686683376</v>
      </c>
      <c r="AC212" s="1636" t="s">
        <v>697</v>
      </c>
      <c r="AD212" s="1675">
        <f>(G212/AB212)*100</f>
        <v>325.00679104660298</v>
      </c>
      <c r="AE212" s="1669" t="s">
        <v>697</v>
      </c>
      <c r="AF212" s="1637"/>
      <c r="AG212" s="1710">
        <f>R212</f>
        <v>582.10760456665662</v>
      </c>
      <c r="AH212" s="1710"/>
      <c r="AI212" s="2119">
        <f xml:space="preserve"> AG212/Z212</f>
        <v>88.364649101846268</v>
      </c>
      <c r="AJ212" s="1678"/>
      <c r="AK212" s="1584">
        <f>AI212/AI205-1</f>
        <v>3.637757489037674E-2</v>
      </c>
      <c r="AL212" s="1636"/>
      <c r="AM212" s="1655">
        <f>+AM205*(1+AO212)</f>
        <v>226.18543373625729</v>
      </c>
      <c r="AN212" s="1682"/>
      <c r="AO212" s="1799">
        <v>0.15</v>
      </c>
      <c r="AP212" s="1160"/>
      <c r="AQ212" s="1300">
        <f>AM212/AM216</f>
        <v>0.19501742646432046</v>
      </c>
      <c r="AR212" s="1636"/>
      <c r="AS212" s="1229">
        <f>AM212/(R212+AM212)</f>
        <v>0.27983098086698177</v>
      </c>
      <c r="AT212" s="1636"/>
      <c r="AU212" s="1677">
        <f>(AM212-AM205)/AW205*100</f>
        <v>3.8725457813285589</v>
      </c>
      <c r="AV212" s="2122"/>
      <c r="AW212" s="1538">
        <f>'qtrP&amp;L'!CR10</f>
        <v>808.29303830291394</v>
      </c>
      <c r="AX212" s="1636"/>
      <c r="AY212" s="1636"/>
      <c r="AZ212" s="1636"/>
      <c r="BA212" s="1636"/>
      <c r="BB212" s="1636"/>
      <c r="BC212" s="1636"/>
      <c r="BD212" s="1636"/>
      <c r="BE212" s="1636"/>
      <c r="BF212" s="1636"/>
      <c r="BG212" s="1636"/>
      <c r="BH212" s="1636"/>
      <c r="BI212" s="1636"/>
      <c r="BJ212" s="1636"/>
      <c r="BK212" s="1636"/>
      <c r="BL212" s="1636"/>
      <c r="BM212" s="1636"/>
    </row>
    <row r="213" spans="1:65" s="2123" customFormat="1" ht="12" customHeight="1">
      <c r="A213" s="1668" t="s">
        <v>759</v>
      </c>
      <c r="B213" s="2107"/>
      <c r="C213" s="1670">
        <f>G213+E213</f>
        <v>5.8</v>
      </c>
      <c r="D213" s="2133"/>
      <c r="E213" s="1830">
        <v>3</v>
      </c>
      <c r="F213" s="1637"/>
      <c r="G213" s="1833">
        <v>2.8</v>
      </c>
      <c r="H213" s="1636"/>
      <c r="I213" s="2141">
        <f>I212+J213</f>
        <v>1053</v>
      </c>
      <c r="J213" s="2110">
        <v>3</v>
      </c>
      <c r="K213" s="1673">
        <f>AVERAGEA(I212,I213)</f>
        <v>1051.5</v>
      </c>
      <c r="L213" s="1636"/>
      <c r="M213" s="1674">
        <f>(K213/K206-1)*100</f>
        <v>-0.33175355450236754</v>
      </c>
      <c r="N213" s="1636"/>
      <c r="O213" s="1675">
        <f>(G213/M213)*100</f>
        <v>-844.00000000000523</v>
      </c>
      <c r="P213" s="1637"/>
      <c r="Q213" s="1637"/>
      <c r="R213" s="1676">
        <f>(R206)*(1+C213/100)</f>
        <v>687.96988078299819</v>
      </c>
      <c r="S213" s="1710"/>
      <c r="T213" s="1257">
        <f xml:space="preserve"> R213/K213</f>
        <v>0.6542747320808352</v>
      </c>
      <c r="U213" s="1678"/>
      <c r="V213" s="1584">
        <f>T213/T206-1</f>
        <v>6.1521635758440274E-2</v>
      </c>
      <c r="W213" s="1678"/>
      <c r="X213" s="1644">
        <f>+X212+(I213-I212)*4500/1000000</f>
        <v>6.6078119999999991</v>
      </c>
      <c r="Y213" s="1636"/>
      <c r="Z213" s="1680">
        <f>AVERAGEA(X212,X213)</f>
        <v>6.6010619999999989</v>
      </c>
      <c r="AA213" s="1636"/>
      <c r="AB213" s="1674">
        <f>(Z213/Z206-1)*100</f>
        <v>-0.58425217235527072</v>
      </c>
      <c r="AC213" s="1636"/>
      <c r="AD213" s="1675">
        <f>(G213/AB213)*100</f>
        <v>-479.24511580547147</v>
      </c>
      <c r="AE213" s="1669"/>
      <c r="AF213" s="1637"/>
      <c r="AG213" s="1677">
        <f>R213</f>
        <v>687.96988078299819</v>
      </c>
      <c r="AH213" s="1710"/>
      <c r="AI213" s="1655">
        <f xml:space="preserve"> AG213/Z213</f>
        <v>104.22109060375411</v>
      </c>
      <c r="AJ213" s="1678"/>
      <c r="AK213" s="1584">
        <f>AI213/AI206-1</f>
        <v>6.4217715119173402E-2</v>
      </c>
      <c r="AL213" s="1636"/>
      <c r="AM213" s="1655">
        <f>+AM206*(1+AO213)</f>
        <v>223.44720132282805</v>
      </c>
      <c r="AN213" s="1682"/>
      <c r="AO213" s="1799">
        <v>0.15</v>
      </c>
      <c r="AP213" s="1160"/>
      <c r="AQ213" s="1300">
        <f>AM213/AM216</f>
        <v>0.19265651829482788</v>
      </c>
      <c r="AR213" s="1636"/>
      <c r="AS213" s="1229">
        <f>AM213/(R213+AM213)</f>
        <v>0.24516459665925289</v>
      </c>
      <c r="AT213" s="1636"/>
      <c r="AU213" s="1677">
        <f>(AM213-AM206)/AW206*100</f>
        <v>3.4509556050171288</v>
      </c>
      <c r="AV213" s="2122"/>
      <c r="AW213" s="1557">
        <f>'qtrP&amp;L'!CR11</f>
        <v>911.41708210582624</v>
      </c>
      <c r="AX213" s="1636"/>
      <c r="AY213" s="1636"/>
      <c r="AZ213" s="1636"/>
      <c r="BA213" s="1636"/>
      <c r="BB213" s="1636"/>
      <c r="BC213" s="1636"/>
      <c r="BD213" s="1636"/>
      <c r="BE213" s="1636"/>
      <c r="BF213" s="1636"/>
      <c r="BG213" s="1636"/>
      <c r="BH213" s="1636"/>
      <c r="BI213" s="1636"/>
      <c r="BJ213" s="1636"/>
      <c r="BK213" s="1636"/>
      <c r="BL213" s="1636"/>
      <c r="BM213" s="1636"/>
    </row>
    <row r="214" spans="1:65" s="2123" customFormat="1" ht="12" customHeight="1">
      <c r="A214" s="1668" t="s">
        <v>760</v>
      </c>
      <c r="B214" s="2107"/>
      <c r="C214" s="1670">
        <f>G214+E214</f>
        <v>-5</v>
      </c>
      <c r="D214" s="2133"/>
      <c r="E214" s="1830">
        <v>3</v>
      </c>
      <c r="F214" s="1637"/>
      <c r="G214" s="1833">
        <v>-8</v>
      </c>
      <c r="H214" s="1636"/>
      <c r="I214" s="2141">
        <f>I213+J214</f>
        <v>1056</v>
      </c>
      <c r="J214" s="2110">
        <v>3</v>
      </c>
      <c r="K214" s="1673">
        <f>AVERAGEA(I213,I214)</f>
        <v>1054.5</v>
      </c>
      <c r="L214" s="1636"/>
      <c r="M214" s="1674">
        <f>(K214/K207-1)*100</f>
        <v>-0.28368794326241176</v>
      </c>
      <c r="N214" s="1636"/>
      <c r="O214" s="1675">
        <f>(G214/M214)*100</f>
        <v>2819.9999999999959</v>
      </c>
      <c r="P214" s="1637"/>
      <c r="Q214" s="1637"/>
      <c r="R214" s="1676">
        <f>(R207)*(1+C214/100)</f>
        <v>684.59037657087424</v>
      </c>
      <c r="S214" s="1710"/>
      <c r="T214" s="1257">
        <f xml:space="preserve"> R214/K214</f>
        <v>0.64920851263240797</v>
      </c>
      <c r="U214" s="1678"/>
      <c r="V214" s="1584">
        <f>T214/T207-1</f>
        <v>-4.729729729729748E-2</v>
      </c>
      <c r="W214" s="1678"/>
      <c r="X214" s="1644">
        <f>+X213+(I214-I213)*4500/1000000</f>
        <v>6.6213119999999988</v>
      </c>
      <c r="Y214" s="1636"/>
      <c r="Z214" s="1680">
        <f>AVERAGEA(X213,X214)</f>
        <v>6.6145619999999994</v>
      </c>
      <c r="AA214" s="1636"/>
      <c r="AB214" s="1674">
        <f>(Z214/Z207-1)*100</f>
        <v>-0.40767051742357507</v>
      </c>
      <c r="AC214" s="1636"/>
      <c r="AD214" s="1675">
        <f>(G214/AB214)*100</f>
        <v>1962.3690353079653</v>
      </c>
      <c r="AE214" s="1669"/>
      <c r="AF214" s="1637"/>
      <c r="AG214" s="1677">
        <f>R214</f>
        <v>684.59037657087424</v>
      </c>
      <c r="AH214" s="1710"/>
      <c r="AI214" s="1655">
        <f xml:space="preserve"> AG214/Z214</f>
        <v>103.49746159622879</v>
      </c>
      <c r="AJ214" s="1678"/>
      <c r="AK214" s="1584">
        <f>AI214/AI207-1</f>
        <v>-4.6111276906921406E-2</v>
      </c>
      <c r="AL214" s="1636"/>
      <c r="AM214" s="1655">
        <f>+AM207*(1+AO214)</f>
        <v>275.78328362473115</v>
      </c>
      <c r="AN214" s="1682"/>
      <c r="AO214" s="1799">
        <v>0.15</v>
      </c>
      <c r="AP214" s="1160"/>
      <c r="AQ214" s="1300">
        <f>AM214/AM216</f>
        <v>0.23778076839858656</v>
      </c>
      <c r="AR214" s="1636"/>
      <c r="AS214" s="1229">
        <f>AM214/(R214+AM214)</f>
        <v>0.28716248170379916</v>
      </c>
      <c r="AT214" s="1636"/>
      <c r="AU214" s="1677">
        <f>(AM214-AM207)/AW207*100</f>
        <v>3.745366167833053</v>
      </c>
      <c r="AV214" s="2122"/>
      <c r="AW214" s="1557">
        <f>'qtrP&amp;L'!CR12</f>
        <v>960.37366019560545</v>
      </c>
      <c r="AX214" s="1636"/>
      <c r="AY214" s="1636"/>
      <c r="AZ214" s="1636"/>
      <c r="BA214" s="1636"/>
      <c r="BB214" s="1636"/>
      <c r="BC214" s="1636"/>
      <c r="BD214" s="1636"/>
      <c r="BE214" s="1636"/>
      <c r="BF214" s="1636"/>
      <c r="BG214" s="1636"/>
      <c r="BH214" s="1636"/>
      <c r="BI214" s="1636"/>
      <c r="BJ214" s="1636"/>
      <c r="BK214" s="1636"/>
      <c r="BL214" s="1636"/>
      <c r="BM214" s="1636"/>
    </row>
    <row r="215" spans="1:65" s="2123" customFormat="1" ht="12" customHeight="1">
      <c r="A215" s="1531" t="s">
        <v>761</v>
      </c>
      <c r="B215" s="2107"/>
      <c r="C215" s="2109">
        <f>G215+E215</f>
        <v>-14</v>
      </c>
      <c r="D215" s="2133"/>
      <c r="E215" s="1831">
        <v>-2</v>
      </c>
      <c r="F215" s="1636"/>
      <c r="G215" s="1834">
        <v>-12</v>
      </c>
      <c r="H215" s="1636"/>
      <c r="I215" s="1606">
        <f>yrSales!Z19</f>
        <v>1055</v>
      </c>
      <c r="J215" s="1636">
        <f>I215-I214</f>
        <v>-1</v>
      </c>
      <c r="K215" s="2111">
        <f>AVERAGEA(I214,I215)</f>
        <v>1055.5</v>
      </c>
      <c r="L215" s="1636"/>
      <c r="M215" s="1674">
        <f>(K215/K208-1)*100</f>
        <v>0.28503562945367822</v>
      </c>
      <c r="N215" s="1636"/>
      <c r="O215" s="2112">
        <f>(G215/M215)*100</f>
        <v>-4210.0000000000509</v>
      </c>
      <c r="P215" s="1637"/>
      <c r="Q215" s="1637"/>
      <c r="R215" s="1692">
        <f>(R208)*(1+C215/100)</f>
        <v>731.84184028112691</v>
      </c>
      <c r="S215" s="1710"/>
      <c r="T215" s="2115">
        <f xml:space="preserve"> R215/K215</f>
        <v>0.69336034133692748</v>
      </c>
      <c r="U215" s="1678"/>
      <c r="V215" s="1589">
        <f>T215/T208-1</f>
        <v>-0.14244433917574606</v>
      </c>
      <c r="W215" s="1678"/>
      <c r="X215" s="1644">
        <f>+X214+(I215-I214)*4500/1000000</f>
        <v>6.6168119999999986</v>
      </c>
      <c r="Y215" s="1636"/>
      <c r="Z215" s="2117">
        <f>AVERAGEA(X214,X215)</f>
        <v>6.6190619999999987</v>
      </c>
      <c r="AA215" s="1636"/>
      <c r="AB215" s="2118">
        <f>(Z215/Z208-1)*100</f>
        <v>0.12337189486582023</v>
      </c>
      <c r="AC215" s="1636"/>
      <c r="AD215" s="2112">
        <f>(G215/AB215)*100</f>
        <v>-9726.688572831963</v>
      </c>
      <c r="AE215" s="1669"/>
      <c r="AF215" s="1637"/>
      <c r="AG215" s="2118">
        <f>R215</f>
        <v>731.84184028112691</v>
      </c>
      <c r="AH215" s="1710"/>
      <c r="AI215" s="1656">
        <f xml:space="preserve"> AG215/Z215</f>
        <v>110.56579320168433</v>
      </c>
      <c r="AJ215" s="1678"/>
      <c r="AK215" s="1589">
        <f>AI215/AI208-1</f>
        <v>-0.14105969093505977</v>
      </c>
      <c r="AL215" s="1636"/>
      <c r="AM215" s="1656">
        <f>+AM208*(1+AO215)</f>
        <v>434.40573334500453</v>
      </c>
      <c r="AN215" s="1682"/>
      <c r="AO215" s="1835">
        <v>0.15</v>
      </c>
      <c r="AP215" s="1160"/>
      <c r="AQ215" s="2120">
        <f>AM215/AM216</f>
        <v>0.37454528684226507</v>
      </c>
      <c r="AR215" s="1636"/>
      <c r="AS215" s="2121">
        <f>AM215/(R215+AM215)</f>
        <v>0.37248157524078473</v>
      </c>
      <c r="AT215" s="1636"/>
      <c r="AU215" s="2118">
        <f>(AM215-AM208)/AW208*100</f>
        <v>4.6114231924385445</v>
      </c>
      <c r="AV215" s="2122"/>
      <c r="AW215" s="1544">
        <f>'qtrP&amp;L'!CR13</f>
        <v>1166.2475736261315</v>
      </c>
      <c r="AX215" s="1636"/>
      <c r="AY215" s="1636"/>
      <c r="AZ215" s="1636"/>
      <c r="BA215" s="1636"/>
      <c r="BB215" s="1636"/>
      <c r="BC215" s="1636"/>
      <c r="BD215" s="1636"/>
      <c r="BE215" s="1636"/>
      <c r="BF215" s="1636"/>
      <c r="BG215" s="1636"/>
      <c r="BH215" s="1636"/>
      <c r="BI215" s="1636"/>
      <c r="BJ215" s="1636"/>
      <c r="BK215" s="1636"/>
      <c r="BL215" s="1636"/>
      <c r="BM215" s="1636"/>
    </row>
    <row r="216" spans="1:65" s="2123" customFormat="1" ht="12" customHeight="1">
      <c r="A216" s="1668" t="s">
        <v>762</v>
      </c>
      <c r="B216" s="2107"/>
      <c r="C216" s="2108">
        <f>(R216/R209-1)*100</f>
        <v>-3.6059715365811429</v>
      </c>
      <c r="D216" s="2133"/>
      <c r="E216" s="2134">
        <f>R212/R216*E212+R213/R216*E213+R214/R216*E214+R215/R216*E215</f>
        <v>2.0712879278911158</v>
      </c>
      <c r="F216" s="1636"/>
      <c r="G216" s="2135">
        <f>C216-E216</f>
        <v>-5.6772594644722592</v>
      </c>
      <c r="H216" s="1636"/>
      <c r="J216" s="1636"/>
      <c r="K216" s="1673">
        <f>AVERAGEA(K212:K215)</f>
        <v>1052.5</v>
      </c>
      <c r="L216" s="1636"/>
      <c r="M216" s="1674">
        <f>(K216/K209-1)*100</f>
        <v>-0.15415629076248605</v>
      </c>
      <c r="N216" s="1636"/>
      <c r="O216" s="1675">
        <f>(G216/M216)*100</f>
        <v>3682.794543376378</v>
      </c>
      <c r="P216" s="1637"/>
      <c r="Q216" s="1637"/>
      <c r="R216" s="2113">
        <f>SUM(R212:R215)</f>
        <v>2686.5097022016562</v>
      </c>
      <c r="S216" s="1710"/>
      <c r="T216" s="2114">
        <f>SUM(T212:T215)</f>
        <v>2.5520248970341064</v>
      </c>
      <c r="U216" s="1678"/>
      <c r="V216" s="1584">
        <f>T216/T209-1</f>
        <v>-3.4712748918379499E-2</v>
      </c>
      <c r="W216" s="1678"/>
      <c r="X216" s="2116"/>
      <c r="Y216" s="1636"/>
      <c r="Z216" s="1680">
        <f>AVERAGEA(Z212:Z215)</f>
        <v>6.605561999999999</v>
      </c>
      <c r="AA216" s="1636"/>
      <c r="AB216" s="1674">
        <f>(Z216/Z209-1)*100</f>
        <v>-0.37141671386713426</v>
      </c>
      <c r="AC216" s="1636"/>
      <c r="AD216" s="1675">
        <f>(G216/AB216)*100</f>
        <v>1528.5417302203496</v>
      </c>
      <c r="AE216" s="1637"/>
      <c r="AF216" s="1637"/>
      <c r="AG216" s="2113">
        <f>SUM(AG212:AG215)</f>
        <v>2686.5097022016562</v>
      </c>
      <c r="AH216" s="1710"/>
      <c r="AI216" s="2119">
        <f>SUM(AI212:AI215)</f>
        <v>406.64899450351345</v>
      </c>
      <c r="AJ216" s="1678"/>
      <c r="AK216" s="1584">
        <f>AI216/AI209-1</f>
        <v>-3.2753402263362208E-2</v>
      </c>
      <c r="AL216" s="1636"/>
      <c r="AM216" s="1655">
        <f>SUM(AM212:AM215)</f>
        <v>1159.8216520288211</v>
      </c>
      <c r="AN216" s="1682"/>
      <c r="AO216" s="1160">
        <f>+AM216/AM209-1</f>
        <v>0.14999999999999991</v>
      </c>
      <c r="AP216" s="1160"/>
      <c r="AQ216" s="1300">
        <f>AM216/AM216</f>
        <v>1</v>
      </c>
      <c r="AR216" s="1636"/>
      <c r="AS216" s="1229">
        <f>AM216/(R216+AM216)</f>
        <v>0.30153971283653558</v>
      </c>
      <c r="AT216" s="1636"/>
      <c r="AU216" s="1674">
        <f>(AM216-AM209)/AW209*100</f>
        <v>3.9857497570769715</v>
      </c>
      <c r="AV216" s="2122"/>
      <c r="AW216" s="1537">
        <f>'qtrP&amp;L'!CR14</f>
        <v>3846.3313542304768</v>
      </c>
      <c r="AX216" s="1636"/>
      <c r="AY216" s="1636"/>
      <c r="AZ216" s="1636"/>
      <c r="BA216" s="1636"/>
      <c r="BB216" s="1636"/>
      <c r="BC216" s="1636"/>
      <c r="BD216" s="1636"/>
      <c r="BE216" s="1160"/>
      <c r="BF216" s="1636"/>
      <c r="BG216" s="1636"/>
      <c r="BH216" s="1636"/>
      <c r="BI216" s="1636"/>
      <c r="BJ216" s="1636"/>
      <c r="BK216" s="1636"/>
      <c r="BL216" s="1636"/>
      <c r="BM216" s="1636"/>
    </row>
    <row r="217" spans="1:65" ht="10.5" customHeight="1">
      <c r="A217" s="1531"/>
      <c r="B217" s="1578"/>
      <c r="C217" s="1579"/>
      <c r="D217" s="1529"/>
      <c r="E217" s="1635"/>
      <c r="F217" s="1470"/>
      <c r="G217" s="1687"/>
      <c r="H217" s="1470"/>
      <c r="J217" s="1470"/>
      <c r="K217" s="1534"/>
      <c r="L217" s="1470"/>
      <c r="M217" s="1532"/>
      <c r="N217" s="1470"/>
      <c r="O217" s="1535"/>
      <c r="P217" s="1472"/>
      <c r="Q217" s="1472"/>
      <c r="R217" s="1537"/>
      <c r="S217" s="1538"/>
      <c r="T217" s="1539"/>
      <c r="U217" s="1479"/>
      <c r="V217" s="1584"/>
      <c r="W217" s="1479"/>
      <c r="X217" s="1611"/>
      <c r="Y217" s="1470"/>
      <c r="Z217" s="1574"/>
      <c r="AA217" s="1470"/>
      <c r="AB217" s="1532"/>
      <c r="AC217" s="1470"/>
      <c r="AD217" s="1535"/>
      <c r="AE217" s="1472"/>
      <c r="AF217" s="1472"/>
      <c r="AG217" s="1537"/>
      <c r="AH217" s="1538"/>
      <c r="AI217" s="1585"/>
      <c r="AJ217" s="1479"/>
      <c r="AK217" s="1584"/>
      <c r="AL217" s="1470"/>
      <c r="AM217" s="1655"/>
      <c r="AN217" s="1682"/>
      <c r="AO217" s="1206"/>
      <c r="AP217" s="1206"/>
      <c r="AQ217" s="1291"/>
      <c r="AR217" s="1470"/>
      <c r="AS217" s="1303"/>
      <c r="AT217" s="1470"/>
      <c r="AU217" s="1532"/>
      <c r="AV217" s="1473"/>
      <c r="AW217" s="1537"/>
      <c r="AX217" s="1470"/>
      <c r="AY217" s="1470"/>
      <c r="AZ217" s="1470"/>
      <c r="BA217" s="1470"/>
      <c r="BB217" s="1470"/>
      <c r="BC217" s="1470"/>
      <c r="BD217" s="1470"/>
      <c r="BE217" s="1206"/>
      <c r="BF217" s="1470"/>
      <c r="BG217" s="1470"/>
      <c r="BH217" s="1470"/>
      <c r="BI217" s="1470"/>
      <c r="BJ217" s="1470"/>
      <c r="BK217" s="1470"/>
      <c r="BL217" s="1470"/>
      <c r="BM217" s="1470"/>
    </row>
    <row r="218" spans="1:65" ht="10.5" customHeight="1">
      <c r="A218" s="107" t="s">
        <v>460</v>
      </c>
      <c r="B218" s="1192"/>
      <c r="C218" s="1581"/>
      <c r="D218" s="1573"/>
      <c r="E218" s="1695"/>
      <c r="F218" s="1573"/>
      <c r="G218" s="1581"/>
      <c r="H218" s="1573"/>
      <c r="I218" s="1566"/>
      <c r="J218" s="1573"/>
      <c r="K218" s="1541"/>
      <c r="L218" s="1573"/>
      <c r="M218" s="1541"/>
      <c r="N218" s="1573"/>
      <c r="O218" s="1696"/>
      <c r="P218" s="1573"/>
      <c r="Q218" s="1573"/>
      <c r="R218" s="1557"/>
      <c r="S218" s="1557"/>
      <c r="T218" s="1399"/>
      <c r="U218" s="1543"/>
      <c r="V218" s="1560"/>
      <c r="W218" s="1479"/>
      <c r="X218" s="1566"/>
      <c r="Y218" s="1573"/>
      <c r="Z218" s="1541"/>
      <c r="AA218" s="1573"/>
      <c r="AB218" s="1541"/>
      <c r="AC218" s="1573"/>
      <c r="AD218" s="1696"/>
      <c r="AE218" s="1573"/>
      <c r="AF218" s="1573"/>
      <c r="AG218" s="1557"/>
      <c r="AH218" s="1557"/>
      <c r="AI218" s="1399"/>
      <c r="AJ218" s="1543"/>
      <c r="AK218" s="1560"/>
      <c r="AL218" s="1470"/>
      <c r="AM218" s="1470"/>
      <c r="AN218" s="1472"/>
      <c r="AO218" s="1664"/>
      <c r="AP218" s="1470"/>
      <c r="AQ218" s="1470"/>
      <c r="AR218" s="1470"/>
      <c r="AS218" s="1470"/>
      <c r="AT218" s="1470"/>
      <c r="AU218" s="1470"/>
      <c r="AV218" s="1473"/>
      <c r="AW218" s="1470"/>
      <c r="AX218" s="1470"/>
      <c r="AY218" s="1470"/>
      <c r="AZ218" s="1470"/>
      <c r="BA218" s="1470"/>
      <c r="BB218" s="1470"/>
      <c r="BC218" s="1470"/>
      <c r="BD218" s="1470"/>
      <c r="BE218" s="1470"/>
      <c r="BF218" s="1470"/>
      <c r="BG218" s="1470"/>
      <c r="BH218" s="1470"/>
      <c r="BI218" s="1470"/>
      <c r="BJ218" s="1470"/>
      <c r="BK218" s="1470"/>
      <c r="BL218" s="1470"/>
      <c r="BM218" s="1470"/>
    </row>
    <row r="219" spans="1:65" ht="10.5" customHeight="1">
      <c r="A219" s="107" t="s">
        <v>496</v>
      </c>
      <c r="B219" s="1192"/>
      <c r="C219" s="1581"/>
      <c r="D219" s="1573"/>
      <c r="E219" s="1695"/>
      <c r="F219" s="1573"/>
      <c r="G219" s="1581"/>
      <c r="H219" s="1573"/>
      <c r="I219" s="1566"/>
      <c r="J219" s="1573"/>
      <c r="K219" s="1541"/>
      <c r="L219" s="1573"/>
      <c r="M219" s="1541"/>
      <c r="N219" s="1573"/>
      <c r="O219" s="1696"/>
      <c r="P219" s="1573"/>
      <c r="Q219" s="1573"/>
      <c r="R219" s="1557"/>
      <c r="S219" s="1557"/>
      <c r="T219" s="1399"/>
      <c r="U219" s="1543"/>
      <c r="V219" s="1560"/>
      <c r="W219" s="1479"/>
      <c r="X219" s="1697"/>
      <c r="Y219" s="1573"/>
      <c r="Z219" s="1541"/>
      <c r="AA219" s="1573"/>
      <c r="AB219" s="1541"/>
      <c r="AC219" s="1573"/>
      <c r="AD219" s="1696"/>
      <c r="AE219" s="1573"/>
      <c r="AF219" s="1573"/>
      <c r="AG219" s="1557"/>
      <c r="AH219" s="1557"/>
      <c r="AI219" s="1399"/>
      <c r="AJ219" s="1543"/>
      <c r="AK219" s="1560"/>
      <c r="AL219" s="1470"/>
      <c r="AM219" s="1470"/>
      <c r="AN219" s="1472"/>
      <c r="AO219" s="1664"/>
      <c r="AP219" s="1470"/>
      <c r="AQ219" s="1470"/>
      <c r="AR219" s="1470"/>
      <c r="AS219" s="1470"/>
      <c r="AT219" s="1470"/>
      <c r="AU219" s="1470"/>
      <c r="AV219" s="1473"/>
      <c r="AW219" s="1470"/>
      <c r="AX219" s="1470"/>
      <c r="AY219" s="1470"/>
      <c r="AZ219" s="1470"/>
      <c r="BA219" s="1470"/>
      <c r="BB219" s="1470"/>
      <c r="BC219" s="1470"/>
      <c r="BD219" s="1470"/>
      <c r="BE219" s="1470"/>
      <c r="BF219" s="1470"/>
      <c r="BG219" s="1470"/>
      <c r="BH219" s="1470"/>
      <c r="BI219" s="1470"/>
      <c r="BJ219" s="1470"/>
      <c r="BK219" s="1470"/>
      <c r="BL219" s="1470"/>
      <c r="BM219" s="1470"/>
    </row>
    <row r="220" spans="1:65" ht="10.5" customHeight="1">
      <c r="A220" s="1536"/>
      <c r="B220" s="1578"/>
      <c r="C220" s="1698"/>
      <c r="D220" s="1529"/>
      <c r="E220" s="1698"/>
      <c r="F220" s="1472"/>
      <c r="G220" s="1581"/>
      <c r="H220" s="1472"/>
      <c r="I220" s="1566"/>
      <c r="J220" s="1472"/>
      <c r="K220" s="1541"/>
      <c r="L220" s="1472"/>
      <c r="M220" s="1541"/>
      <c r="N220" s="1472"/>
      <c r="O220" s="1535"/>
      <c r="P220" s="1472"/>
      <c r="Q220" s="1472"/>
      <c r="R220" s="1538"/>
      <c r="S220" s="1538"/>
      <c r="T220" s="1542"/>
      <c r="U220" s="1543"/>
      <c r="V220" s="1558"/>
      <c r="W220" s="1479"/>
      <c r="X220" s="1472"/>
      <c r="Y220" s="1472"/>
      <c r="Z220" s="1541"/>
      <c r="AA220" s="1472"/>
      <c r="AB220" s="1541"/>
      <c r="AC220" s="1472"/>
      <c r="AD220" s="1535"/>
      <c r="AE220" s="1472"/>
      <c r="AF220" s="1472"/>
      <c r="AG220" s="1538"/>
      <c r="AH220" s="1538"/>
      <c r="AI220" s="1542"/>
      <c r="AJ220" s="1543"/>
      <c r="AK220" s="1558"/>
      <c r="AL220" s="1470"/>
      <c r="AM220" s="1470"/>
      <c r="AN220" s="1472"/>
      <c r="AO220" s="1664"/>
      <c r="AP220" s="1470"/>
      <c r="AQ220" s="1470"/>
      <c r="AR220" s="1470"/>
      <c r="AS220" s="1470"/>
      <c r="AT220" s="1470"/>
      <c r="AU220" s="1470"/>
      <c r="AV220" s="1473"/>
      <c r="AW220" s="1470"/>
      <c r="AX220" s="1470"/>
      <c r="AY220" s="1470"/>
      <c r="AZ220" s="1470"/>
      <c r="BA220" s="1470"/>
      <c r="BB220" s="1470"/>
      <c r="BC220" s="1470"/>
      <c r="BD220" s="1470"/>
      <c r="BE220" s="1470"/>
      <c r="BF220" s="1470"/>
      <c r="BG220" s="1470"/>
      <c r="BH220" s="1470"/>
      <c r="BI220" s="1470"/>
      <c r="BJ220" s="1470"/>
      <c r="BK220" s="1470"/>
      <c r="BL220" s="1470"/>
      <c r="BM220" s="1470"/>
    </row>
    <row r="221" spans="1:65" ht="11.25" customHeight="1">
      <c r="A221" s="1469" t="s">
        <v>572</v>
      </c>
      <c r="B221" s="1472"/>
      <c r="C221" s="1557"/>
      <c r="D221" s="1472"/>
      <c r="E221" s="1557"/>
      <c r="F221" s="1472"/>
      <c r="G221" s="1472"/>
      <c r="H221" s="1472"/>
      <c r="I221" s="1472"/>
      <c r="J221" s="1472"/>
      <c r="K221" s="1472"/>
      <c r="L221" s="1472"/>
      <c r="M221" s="1541"/>
      <c r="N221" s="1472"/>
      <c r="O221" s="1012"/>
      <c r="P221" s="1472"/>
      <c r="Q221" s="1472"/>
      <c r="R221" s="1537"/>
      <c r="S221" s="1472"/>
      <c r="T221" s="1543"/>
      <c r="U221" s="1543"/>
      <c r="V221" s="1543"/>
      <c r="W221" s="1479"/>
      <c r="X221" s="1472"/>
      <c r="Y221" s="1472"/>
      <c r="Z221" s="1472"/>
      <c r="AA221" s="1472"/>
      <c r="AB221" s="1557"/>
      <c r="AC221" s="1472"/>
      <c r="AD221" s="1012"/>
      <c r="AE221" s="1472"/>
      <c r="AF221" s="1472"/>
      <c r="AG221" s="1472"/>
      <c r="AH221" s="1472"/>
      <c r="AI221" s="1543"/>
      <c r="AJ221" s="1543"/>
      <c r="AK221" s="1543"/>
      <c r="AL221" s="1470"/>
      <c r="AM221" s="1470"/>
      <c r="AN221" s="1472"/>
      <c r="AO221" s="1664"/>
      <c r="AP221" s="1470"/>
      <c r="AQ221" s="1470"/>
      <c r="AR221" s="1470"/>
      <c r="AS221" s="1470"/>
      <c r="AT221" s="1470"/>
      <c r="AU221" s="1470"/>
      <c r="AV221" s="1473"/>
      <c r="AW221" s="1470"/>
      <c r="AX221" s="1470"/>
      <c r="AY221" s="1470"/>
      <c r="AZ221" s="1470"/>
      <c r="BA221" s="1470"/>
      <c r="BB221" s="1470"/>
      <c r="BC221" s="1470"/>
      <c r="BD221" s="1470"/>
      <c r="BE221" s="1470"/>
      <c r="BF221" s="1470"/>
      <c r="BG221" s="1470"/>
      <c r="BH221" s="1470"/>
      <c r="BI221" s="1470"/>
      <c r="BJ221" s="1470"/>
      <c r="BK221" s="1470"/>
      <c r="BL221" s="1470"/>
      <c r="BM221" s="1470"/>
    </row>
    <row r="222" spans="1:65" ht="10.5" customHeight="1">
      <c r="A222" s="1470"/>
      <c r="B222" s="1470"/>
      <c r="C222" s="1470"/>
      <c r="D222" s="1470"/>
      <c r="E222" s="1470"/>
      <c r="F222" s="1470"/>
      <c r="G222" s="1470"/>
      <c r="H222" s="1470"/>
      <c r="I222" s="1470"/>
      <c r="J222" s="1470"/>
      <c r="K222" s="1470"/>
      <c r="L222" s="1470"/>
      <c r="M222" s="1541"/>
      <c r="N222" s="1470"/>
      <c r="O222" s="1699"/>
      <c r="P222" s="1470"/>
      <c r="Q222" s="1470"/>
      <c r="R222" s="1308"/>
      <c r="S222" s="1472"/>
      <c r="T222" s="1479"/>
      <c r="U222" s="1479"/>
      <c r="V222" s="1479"/>
      <c r="W222" s="1479"/>
      <c r="X222" s="1472"/>
      <c r="Y222" s="1470"/>
      <c r="Z222" s="1470"/>
      <c r="AA222" s="1470"/>
      <c r="AB222" s="1470"/>
      <c r="AC222" s="1470"/>
      <c r="AD222" s="1476"/>
      <c r="AE222" s="1470"/>
      <c r="AF222" s="1470"/>
      <c r="AG222" s="1470"/>
      <c r="AH222" s="1472"/>
      <c r="AI222" s="1479"/>
      <c r="AJ222" s="1479"/>
      <c r="AK222" s="1479"/>
      <c r="AL222" s="1470"/>
      <c r="AM222" s="1470"/>
      <c r="AN222" s="1472"/>
      <c r="AO222" s="1470"/>
      <c r="AP222" s="1470"/>
      <c r="AQ222" s="1470"/>
      <c r="AR222" s="1470"/>
      <c r="AS222" s="1487"/>
      <c r="AT222" s="1470"/>
      <c r="AU222" s="1470"/>
      <c r="AV222" s="1473"/>
      <c r="AW222" s="1470"/>
      <c r="AX222" s="1470"/>
      <c r="AY222" s="1470"/>
      <c r="AZ222" s="1470"/>
      <c r="BA222" s="1470"/>
      <c r="BB222" s="1470"/>
      <c r="BC222" s="1470"/>
      <c r="BD222" s="1470"/>
      <c r="BE222" s="1470"/>
      <c r="BF222" s="1470"/>
      <c r="BG222" s="1470"/>
      <c r="BH222" s="1470"/>
      <c r="BI222" s="1470"/>
      <c r="BJ222" s="1470"/>
      <c r="BK222" s="1470"/>
      <c r="BL222" s="1470"/>
      <c r="BM222" s="1470"/>
    </row>
    <row r="223" spans="1:65" ht="18.75" hidden="1" customHeight="1" outlineLevel="1">
      <c r="A223" s="10" t="s">
        <v>555</v>
      </c>
      <c r="B223" s="1470"/>
      <c r="C223" s="1470"/>
      <c r="D223" s="1470"/>
      <c r="E223" s="1470"/>
      <c r="F223" s="1470"/>
      <c r="G223" s="1470"/>
      <c r="H223" s="1470"/>
      <c r="I223" s="1470"/>
      <c r="J223" s="1470"/>
      <c r="K223" s="1470"/>
      <c r="L223" s="1470"/>
      <c r="M223" s="1541"/>
      <c r="N223" s="1470"/>
      <c r="O223" s="1471"/>
      <c r="P223" s="1470"/>
      <c r="Q223" s="1470"/>
      <c r="R223" s="1470"/>
      <c r="S223" s="1472"/>
      <c r="T223" s="63"/>
      <c r="U223" s="63"/>
      <c r="V223" s="63"/>
      <c r="W223" s="63"/>
      <c r="X223" s="1470"/>
      <c r="Y223" s="1470"/>
      <c r="Z223" s="1470"/>
      <c r="AA223" s="1470"/>
      <c r="AB223" s="1470"/>
      <c r="AC223" s="1470"/>
      <c r="AD223" s="1471"/>
      <c r="AE223" s="1470"/>
      <c r="AF223" s="1470"/>
      <c r="AG223" s="1470"/>
      <c r="AH223" s="1472"/>
      <c r="AI223" s="63"/>
      <c r="AJ223" s="63"/>
      <c r="AK223" s="63"/>
      <c r="AL223" s="1470"/>
      <c r="AM223" s="1470"/>
      <c r="AN223" s="1472"/>
      <c r="AO223" s="1470"/>
      <c r="AP223" s="1470"/>
      <c r="AQ223" s="1470"/>
      <c r="AR223" s="1470"/>
      <c r="AS223" s="1470"/>
      <c r="AT223" s="1470"/>
      <c r="AU223" s="1470"/>
      <c r="AV223" s="1473"/>
      <c r="AW223" s="1470"/>
      <c r="AX223" s="1470"/>
      <c r="AY223" s="1470"/>
      <c r="AZ223" s="1470"/>
      <c r="BA223" s="1470"/>
      <c r="BB223" s="1470"/>
      <c r="BC223" s="1470"/>
      <c r="BD223" s="1470"/>
      <c r="BE223" s="1470"/>
      <c r="BF223" s="1470"/>
      <c r="BG223" s="1470"/>
      <c r="BH223" s="1470"/>
      <c r="BI223" s="1470"/>
      <c r="BJ223" s="1470"/>
      <c r="BK223" s="1470"/>
      <c r="BL223" s="1470"/>
      <c r="BM223" s="1470"/>
    </row>
    <row r="224" spans="1:65" ht="12" hidden="1" customHeight="1" outlineLevel="1">
      <c r="A224" s="31" t="s">
        <v>602</v>
      </c>
      <c r="B224" s="1474"/>
      <c r="C224" s="1474"/>
      <c r="D224" s="1474"/>
      <c r="E224" s="1474"/>
      <c r="F224" s="1474"/>
      <c r="G224" s="1474"/>
      <c r="H224" s="1474"/>
      <c r="I224" s="1474"/>
      <c r="J224" s="1474"/>
      <c r="K224" s="1474"/>
      <c r="L224" s="1474"/>
      <c r="M224" s="1474"/>
      <c r="N224" s="1474"/>
      <c r="O224" s="1475"/>
      <c r="P224" s="1474"/>
      <c r="Q224" s="1474"/>
      <c r="R224" s="1474"/>
      <c r="S224" s="1474"/>
      <c r="T224" s="64"/>
      <c r="U224" s="64"/>
      <c r="V224" s="134"/>
      <c r="W224" s="134"/>
      <c r="X224" s="1474"/>
      <c r="Y224" s="1474"/>
      <c r="Z224" s="1474"/>
      <c r="AA224" s="1474"/>
      <c r="AB224" s="1474"/>
      <c r="AC224" s="1474"/>
      <c r="AD224" s="1475"/>
      <c r="AE224" s="1474"/>
      <c r="AF224" s="1474"/>
      <c r="AG224" s="1474"/>
      <c r="AH224" s="1474"/>
      <c r="AI224" s="64"/>
      <c r="AJ224" s="64"/>
      <c r="AK224" s="134"/>
      <c r="AL224" s="1470"/>
      <c r="AM224" s="1470"/>
      <c r="AN224" s="1472"/>
      <c r="AO224" s="1470"/>
      <c r="AP224" s="1470"/>
      <c r="AQ224" s="1470"/>
      <c r="AR224" s="1470"/>
      <c r="AS224" s="1470"/>
      <c r="AT224" s="1470"/>
      <c r="AU224" s="1470"/>
      <c r="AV224" s="1473"/>
      <c r="AW224" s="1470"/>
      <c r="AX224" s="1470"/>
      <c r="AY224" s="1470"/>
      <c r="AZ224" s="1470"/>
      <c r="BA224" s="1470"/>
      <c r="BB224" s="1470"/>
      <c r="BC224" s="1470"/>
      <c r="BD224" s="1470"/>
      <c r="BE224" s="1470"/>
      <c r="BF224" s="1470"/>
      <c r="BG224" s="1470"/>
      <c r="BH224" s="1470"/>
      <c r="BI224" s="1470"/>
      <c r="BJ224" s="1470"/>
      <c r="BK224" s="1470"/>
      <c r="BL224" s="1470"/>
      <c r="BM224" s="1470"/>
    </row>
    <row r="225" spans="1:65" ht="11.25" hidden="1" customHeight="1" outlineLevel="1">
      <c r="A225" s="951"/>
      <c r="B225" s="1470"/>
      <c r="C225" s="1532"/>
      <c r="D225" s="1470"/>
      <c r="E225" s="1532"/>
      <c r="F225" s="1470"/>
      <c r="G225" s="1470"/>
      <c r="H225" s="1470"/>
      <c r="I225" s="1470"/>
      <c r="J225" s="1470"/>
      <c r="K225" s="1470"/>
      <c r="L225" s="1470"/>
      <c r="M225" s="1532"/>
      <c r="N225" s="1470"/>
      <c r="O225" s="951"/>
      <c r="P225" s="1470"/>
      <c r="Q225" s="1470"/>
      <c r="R225" s="1470"/>
      <c r="S225" s="1472"/>
      <c r="T225" s="1479"/>
      <c r="U225" s="1479"/>
      <c r="V225" s="1479"/>
      <c r="W225" s="1479"/>
      <c r="X225" s="1470"/>
      <c r="Y225" s="1470"/>
      <c r="Z225" s="1470"/>
      <c r="AA225" s="1470"/>
      <c r="AB225" s="1532"/>
      <c r="AC225" s="1470"/>
      <c r="AD225" s="951"/>
      <c r="AE225" s="1470"/>
      <c r="AF225" s="1470"/>
      <c r="AG225" s="1470"/>
      <c r="AH225" s="1472"/>
      <c r="AI225" s="1479"/>
      <c r="AJ225" s="1479"/>
      <c r="AK225" s="1479"/>
      <c r="AL225" s="1470"/>
      <c r="AM225" s="1470"/>
      <c r="AN225" s="1472"/>
      <c r="AO225" s="1470"/>
      <c r="AP225" s="1470"/>
      <c r="AQ225" s="1470"/>
      <c r="AR225" s="1470"/>
      <c r="AS225" s="1470"/>
      <c r="AT225" s="1470"/>
      <c r="AU225" s="1470"/>
      <c r="AV225" s="1473"/>
      <c r="AW225" s="1470"/>
      <c r="AX225" s="1470"/>
      <c r="AY225" s="1470"/>
      <c r="AZ225" s="1470"/>
      <c r="BA225" s="1470"/>
      <c r="BB225" s="1470"/>
      <c r="BC225" s="1479"/>
      <c r="BD225" s="1470"/>
      <c r="BE225" s="1470"/>
      <c r="BF225" s="1470"/>
      <c r="BG225" s="1470"/>
      <c r="BH225" s="1470"/>
      <c r="BI225" s="1470"/>
      <c r="BJ225" s="1470"/>
      <c r="BK225" s="1470"/>
      <c r="BL225" s="1470"/>
      <c r="BM225" s="1470"/>
    </row>
    <row r="226" spans="1:65" ht="10.5" hidden="1" customHeight="1" outlineLevel="1">
      <c r="A226" s="1505" t="str">
        <f>A85</f>
        <v>2000A</v>
      </c>
      <c r="B226" s="1499"/>
      <c r="C226" s="1499"/>
      <c r="D226" s="1499"/>
      <c r="E226" s="1499"/>
      <c r="F226" s="1499"/>
      <c r="G226" s="1499"/>
      <c r="H226" s="1499"/>
      <c r="I226" s="1571"/>
      <c r="J226" s="1499"/>
      <c r="K226" s="1499"/>
      <c r="L226" s="1499"/>
      <c r="M226" s="1572"/>
      <c r="N226" s="1499"/>
      <c r="O226" s="1551"/>
      <c r="P226" s="1499"/>
      <c r="Q226" s="1499"/>
      <c r="R226" s="1499"/>
      <c r="S226" s="1499"/>
      <c r="T226" s="1530"/>
      <c r="U226" s="1530"/>
      <c r="V226" s="1303"/>
      <c r="W226" s="1479"/>
      <c r="X226" s="1571"/>
      <c r="Y226" s="1499"/>
      <c r="Z226" s="1499"/>
      <c r="AA226" s="1499"/>
      <c r="AB226" s="1572"/>
      <c r="AC226" s="1499"/>
      <c r="AD226" s="1551"/>
      <c r="AE226" s="1499"/>
      <c r="AF226" s="1499"/>
      <c r="AG226" s="1499"/>
      <c r="AH226" s="1499"/>
      <c r="AI226" s="1530"/>
      <c r="AJ226" s="1530"/>
      <c r="AK226" s="1303"/>
      <c r="AL226" s="1487"/>
      <c r="AM226" s="1487"/>
      <c r="AN226" s="1496"/>
      <c r="AO226" s="1487"/>
      <c r="AP226" s="1487"/>
      <c r="AQ226" s="1487"/>
      <c r="AR226" s="1487"/>
      <c r="AS226" s="1487"/>
      <c r="AT226" s="1487"/>
      <c r="AU226" s="1487"/>
      <c r="AV226" s="1473"/>
      <c r="AW226" s="1487"/>
      <c r="AX226" s="1487"/>
      <c r="AY226" s="1487"/>
      <c r="AZ226" s="1487"/>
      <c r="BA226" s="1487"/>
      <c r="BB226" s="1487"/>
      <c r="BC226" s="1479"/>
      <c r="BD226" s="1700"/>
      <c r="BE226" s="1487"/>
      <c r="BF226" s="1487"/>
      <c r="BG226" s="1487"/>
      <c r="BH226" s="1487"/>
      <c r="BI226" s="1487"/>
      <c r="BJ226" s="1487"/>
      <c r="BK226" s="1487"/>
      <c r="BL226" s="1487"/>
      <c r="BM226" s="1487"/>
    </row>
    <row r="227" spans="1:65" ht="10.5" hidden="1" customHeight="1" outlineLevel="1">
      <c r="A227" s="1531" t="s">
        <v>758</v>
      </c>
      <c r="B227" s="1573"/>
      <c r="C227" s="1701" t="s">
        <v>494</v>
      </c>
      <c r="D227" s="1573"/>
      <c r="E227" s="1701" t="s">
        <v>494</v>
      </c>
      <c r="F227" s="1573"/>
      <c r="G227" s="1701" t="s">
        <v>494</v>
      </c>
      <c r="H227" s="1573"/>
      <c r="I227" s="1701" t="s">
        <v>494</v>
      </c>
      <c r="J227" s="1573"/>
      <c r="K227" s="1701" t="s">
        <v>494</v>
      </c>
      <c r="L227" s="1573"/>
      <c r="M227" s="1701" t="s">
        <v>494</v>
      </c>
      <c r="N227" s="1573"/>
      <c r="O227" s="1701" t="s">
        <v>494</v>
      </c>
      <c r="P227" s="1573"/>
      <c r="Q227" s="1573"/>
      <c r="R227" s="1701"/>
      <c r="S227" s="1557"/>
      <c r="T227" s="1701" t="s">
        <v>494</v>
      </c>
      <c r="U227" s="1479"/>
      <c r="V227" s="1701" t="s">
        <v>494</v>
      </c>
      <c r="W227" s="1479"/>
      <c r="X227" s="1701" t="s">
        <v>494</v>
      </c>
      <c r="Y227" s="1573"/>
      <c r="Z227" s="1574"/>
      <c r="AA227" s="1573"/>
      <c r="AB227" s="1701" t="s">
        <v>494</v>
      </c>
      <c r="AC227" s="1573"/>
      <c r="AD227" s="1701" t="s">
        <v>494</v>
      </c>
      <c r="AE227" s="1573"/>
      <c r="AF227" s="1573"/>
      <c r="AG227" s="1701" t="s">
        <v>494</v>
      </c>
      <c r="AH227" s="1557"/>
      <c r="AI227" s="1701" t="s">
        <v>494</v>
      </c>
      <c r="AJ227" s="1479"/>
      <c r="AK227" s="1701" t="s">
        <v>494</v>
      </c>
      <c r="AL227" s="1470"/>
      <c r="AM227" s="1470"/>
      <c r="AN227" s="1472"/>
      <c r="AO227" s="1470"/>
      <c r="AP227" s="1470"/>
      <c r="AQ227" s="1470"/>
      <c r="AR227" s="1470"/>
      <c r="AS227" s="1470"/>
      <c r="AT227" s="1470"/>
      <c r="AU227" s="1470"/>
      <c r="AV227" s="1473"/>
      <c r="AW227" s="1470"/>
      <c r="AX227" s="1470"/>
      <c r="AY227" s="1470"/>
      <c r="AZ227" s="1470"/>
      <c r="BA227" s="1470"/>
      <c r="BB227" s="1470"/>
      <c r="BC227" s="1470"/>
      <c r="BD227" s="1479"/>
      <c r="BE227" s="1470"/>
      <c r="BF227" s="1470"/>
      <c r="BG227" s="1479"/>
      <c r="BH227" s="1470"/>
      <c r="BI227" s="1470"/>
      <c r="BJ227" s="1470"/>
      <c r="BK227" s="1470"/>
      <c r="BL227" s="1470"/>
      <c r="BM227" s="1470"/>
    </row>
    <row r="228" spans="1:65" ht="10.5" hidden="1" customHeight="1" outlineLevel="1">
      <c r="A228" s="1531" t="s">
        <v>759</v>
      </c>
      <c r="B228" s="1573"/>
      <c r="C228" s="1701" t="s">
        <v>494</v>
      </c>
      <c r="D228" s="1573"/>
      <c r="E228" s="1701" t="s">
        <v>494</v>
      </c>
      <c r="F228" s="1573"/>
      <c r="G228" s="1701" t="s">
        <v>494</v>
      </c>
      <c r="H228" s="1573"/>
      <c r="I228" s="1701" t="s">
        <v>494</v>
      </c>
      <c r="J228" s="1573"/>
      <c r="K228" s="1701" t="s">
        <v>494</v>
      </c>
      <c r="L228" s="1573"/>
      <c r="M228" s="1701" t="s">
        <v>494</v>
      </c>
      <c r="N228" s="1573"/>
      <c r="O228" s="1701" t="s">
        <v>494</v>
      </c>
      <c r="P228" s="1573"/>
      <c r="Q228" s="1573"/>
      <c r="R228" s="1701"/>
      <c r="S228" s="1557"/>
      <c r="T228" s="1701" t="s">
        <v>494</v>
      </c>
      <c r="U228" s="1479"/>
      <c r="V228" s="1701" t="s">
        <v>494</v>
      </c>
      <c r="W228" s="1479"/>
      <c r="X228" s="1701" t="s">
        <v>494</v>
      </c>
      <c r="Y228" s="1573"/>
      <c r="Z228" s="1574"/>
      <c r="AA228" s="1573"/>
      <c r="AB228" s="1701" t="s">
        <v>494</v>
      </c>
      <c r="AC228" s="1573"/>
      <c r="AD228" s="1701" t="s">
        <v>494</v>
      </c>
      <c r="AE228" s="1573"/>
      <c r="AF228" s="1573"/>
      <c r="AG228" s="1701" t="s">
        <v>494</v>
      </c>
      <c r="AH228" s="1557"/>
      <c r="AI228" s="1701" t="s">
        <v>494</v>
      </c>
      <c r="AJ228" s="1479"/>
      <c r="AK228" s="1701" t="s">
        <v>494</v>
      </c>
      <c r="AL228" s="1470"/>
      <c r="AM228" s="1470"/>
      <c r="AN228" s="1472"/>
      <c r="AO228" s="1470"/>
      <c r="AP228" s="1470"/>
      <c r="AQ228" s="1470"/>
      <c r="AR228" s="1470"/>
      <c r="AS228" s="1470"/>
      <c r="AT228" s="1470"/>
      <c r="AU228" s="1470"/>
      <c r="AV228" s="1473"/>
      <c r="AW228" s="1470"/>
      <c r="AX228" s="1470"/>
      <c r="AY228" s="1470"/>
      <c r="AZ228" s="1470"/>
      <c r="BA228" s="1470"/>
      <c r="BB228" s="1470"/>
      <c r="BC228" s="1470"/>
      <c r="BD228" s="1479"/>
      <c r="BE228" s="1470"/>
      <c r="BF228" s="1470"/>
      <c r="BG228" s="1479"/>
      <c r="BH228" s="1470"/>
      <c r="BI228" s="1470"/>
      <c r="BJ228" s="1470"/>
      <c r="BK228" s="1470"/>
      <c r="BL228" s="1470"/>
      <c r="BM228" s="1470"/>
    </row>
    <row r="229" spans="1:65" ht="10.5" hidden="1" customHeight="1" outlineLevel="1">
      <c r="A229" s="1531" t="s">
        <v>760</v>
      </c>
      <c r="B229" s="1573"/>
      <c r="C229" s="1701" t="s">
        <v>494</v>
      </c>
      <c r="D229" s="1573"/>
      <c r="E229" s="1701" t="s">
        <v>494</v>
      </c>
      <c r="F229" s="1573"/>
      <c r="G229" s="1701" t="s">
        <v>494</v>
      </c>
      <c r="H229" s="1573"/>
      <c r="I229" s="1701" t="s">
        <v>494</v>
      </c>
      <c r="J229" s="1573"/>
      <c r="K229" s="1701" t="s">
        <v>494</v>
      </c>
      <c r="L229" s="1573"/>
      <c r="M229" s="1701" t="s">
        <v>494</v>
      </c>
      <c r="N229" s="1573"/>
      <c r="O229" s="1701" t="s">
        <v>494</v>
      </c>
      <c r="P229" s="1573"/>
      <c r="Q229" s="1573"/>
      <c r="R229" s="1701"/>
      <c r="S229" s="1557"/>
      <c r="T229" s="1701" t="s">
        <v>494</v>
      </c>
      <c r="U229" s="1479"/>
      <c r="V229" s="1701" t="s">
        <v>494</v>
      </c>
      <c r="W229" s="1479"/>
      <c r="X229" s="1701" t="s">
        <v>494</v>
      </c>
      <c r="Y229" s="1573"/>
      <c r="Z229" s="1574"/>
      <c r="AA229" s="1573"/>
      <c r="AB229" s="1701" t="s">
        <v>494</v>
      </c>
      <c r="AC229" s="1573"/>
      <c r="AD229" s="1701" t="s">
        <v>494</v>
      </c>
      <c r="AE229" s="1573"/>
      <c r="AF229" s="1573"/>
      <c r="AG229" s="1701" t="s">
        <v>494</v>
      </c>
      <c r="AH229" s="1557"/>
      <c r="AI229" s="1701" t="s">
        <v>494</v>
      </c>
      <c r="AJ229" s="1479"/>
      <c r="AK229" s="1701" t="s">
        <v>494</v>
      </c>
      <c r="AL229" s="1470"/>
      <c r="AM229" s="1470"/>
      <c r="AN229" s="1472"/>
      <c r="AO229" s="1470"/>
      <c r="AP229" s="1470"/>
      <c r="AQ229" s="1470"/>
      <c r="AR229" s="1470"/>
      <c r="AS229" s="1470"/>
      <c r="AT229" s="1470"/>
      <c r="AU229" s="1470"/>
      <c r="AV229" s="1473"/>
      <c r="AW229" s="1470"/>
      <c r="AX229" s="1470"/>
      <c r="AY229" s="1470"/>
      <c r="AZ229" s="1470"/>
      <c r="BA229" s="1470"/>
      <c r="BB229" s="1470"/>
      <c r="BC229" s="1470"/>
      <c r="BD229" s="1479"/>
      <c r="BE229" s="1470"/>
      <c r="BF229" s="1470"/>
      <c r="BG229" s="1479"/>
      <c r="BH229" s="1470"/>
      <c r="BI229" s="1470"/>
      <c r="BJ229" s="1470"/>
      <c r="BK229" s="1470"/>
      <c r="BL229" s="1470"/>
      <c r="BM229" s="1470"/>
    </row>
    <row r="230" spans="1:65" ht="10.5" hidden="1" customHeight="1" outlineLevel="1">
      <c r="A230" s="1531" t="s">
        <v>761</v>
      </c>
      <c r="B230" s="1573"/>
      <c r="C230" s="1702" t="s">
        <v>494</v>
      </c>
      <c r="D230" s="1573"/>
      <c r="E230" s="1702" t="s">
        <v>494</v>
      </c>
      <c r="F230" s="1573"/>
      <c r="G230" s="1702" t="s">
        <v>494</v>
      </c>
      <c r="H230" s="1573"/>
      <c r="I230" s="1566">
        <f>+yrSales!H78</f>
        <v>109</v>
      </c>
      <c r="J230" s="1573"/>
      <c r="K230" s="1545">
        <f>+I230</f>
        <v>109</v>
      </c>
      <c r="L230" s="1573"/>
      <c r="M230" s="1702" t="s">
        <v>494</v>
      </c>
      <c r="N230" s="1573"/>
      <c r="O230" s="1702" t="s">
        <v>494</v>
      </c>
      <c r="P230" s="1573"/>
      <c r="Q230" s="1573"/>
      <c r="R230" s="1544"/>
      <c r="S230" s="1557"/>
      <c r="T230" s="1562">
        <f xml:space="preserve"> R230/K230</f>
        <v>0</v>
      </c>
      <c r="U230" s="1479"/>
      <c r="V230" s="1702" t="s">
        <v>494</v>
      </c>
      <c r="W230" s="1479"/>
      <c r="X230" s="1574">
        <f>+yrSales!H88</f>
        <v>0.32269300000000001</v>
      </c>
      <c r="Y230" s="1573"/>
      <c r="Z230" s="1577">
        <f>+X230</f>
        <v>0.32269300000000001</v>
      </c>
      <c r="AA230" s="1573"/>
      <c r="AB230" s="1702" t="s">
        <v>494</v>
      </c>
      <c r="AC230" s="1573"/>
      <c r="AD230" s="1702" t="s">
        <v>494</v>
      </c>
      <c r="AE230" s="1573"/>
      <c r="AF230" s="1573"/>
      <c r="AG230" s="1544">
        <f>R230</f>
        <v>0</v>
      </c>
      <c r="AH230" s="1557"/>
      <c r="AI230" s="1590">
        <f xml:space="preserve"> AG230/Z230</f>
        <v>0</v>
      </c>
      <c r="AJ230" s="1479"/>
      <c r="AK230" s="1702" t="s">
        <v>494</v>
      </c>
      <c r="AL230" s="1470"/>
      <c r="AM230" s="1470"/>
      <c r="AN230" s="1472"/>
      <c r="AO230" s="1470"/>
      <c r="AP230" s="1470"/>
      <c r="AQ230" s="1470"/>
      <c r="AR230" s="1470"/>
      <c r="AS230" s="1470"/>
      <c r="AT230" s="1470"/>
      <c r="AU230" s="1470"/>
      <c r="AV230" s="1473"/>
      <c r="AW230" s="1470"/>
      <c r="AX230" s="1470"/>
      <c r="AY230" s="1470"/>
      <c r="AZ230" s="1470"/>
      <c r="BA230" s="1470"/>
      <c r="BB230" s="1470"/>
      <c r="BC230" s="1470"/>
      <c r="BD230" s="1479"/>
      <c r="BE230" s="1470"/>
      <c r="BF230" s="1470"/>
      <c r="BG230" s="1479"/>
      <c r="BH230" s="1470"/>
      <c r="BI230" s="1470"/>
      <c r="BJ230" s="1470"/>
      <c r="BK230" s="1470"/>
      <c r="BL230" s="1470"/>
      <c r="BM230" s="1470"/>
    </row>
    <row r="231" spans="1:65" ht="10.5" hidden="1" customHeight="1" outlineLevel="1">
      <c r="A231" s="1531" t="s">
        <v>762</v>
      </c>
      <c r="B231" s="1578"/>
      <c r="C231" s="1703" t="s">
        <v>494</v>
      </c>
      <c r="D231" s="1529"/>
      <c r="E231" s="1703" t="s">
        <v>494</v>
      </c>
      <c r="F231" s="1470"/>
      <c r="G231" s="1703" t="s">
        <v>494</v>
      </c>
      <c r="H231" s="1470"/>
      <c r="I231" s="1566"/>
      <c r="J231" s="1470"/>
      <c r="K231" s="1534"/>
      <c r="L231" s="1470"/>
      <c r="M231" s="1703" t="s">
        <v>494</v>
      </c>
      <c r="N231" s="1470"/>
      <c r="O231" s="1703" t="s">
        <v>494</v>
      </c>
      <c r="P231" s="1472"/>
      <c r="Q231" s="1472"/>
      <c r="R231" s="1537"/>
      <c r="S231" s="1538"/>
      <c r="T231" s="1539">
        <f>SUM(T227:T230)</f>
        <v>0</v>
      </c>
      <c r="U231" s="1479"/>
      <c r="V231" s="1703" t="s">
        <v>494</v>
      </c>
      <c r="W231" s="1479"/>
      <c r="X231" s="1566"/>
      <c r="Y231" s="1470"/>
      <c r="Z231" s="1574">
        <f>AVERAGEA(Z227:Z230)</f>
        <v>0.32269300000000001</v>
      </c>
      <c r="AA231" s="1470"/>
      <c r="AB231" s="1703" t="s">
        <v>494</v>
      </c>
      <c r="AC231" s="1470"/>
      <c r="AD231" s="1703" t="s">
        <v>494</v>
      </c>
      <c r="AE231" s="1472"/>
      <c r="AF231" s="1472"/>
      <c r="AG231" s="1537">
        <f>SUM(AG227:AG230)</f>
        <v>0</v>
      </c>
      <c r="AH231" s="1538"/>
      <c r="AI231" s="1585">
        <f>SUM(AI227:AI230)</f>
        <v>0</v>
      </c>
      <c r="AJ231" s="1479"/>
      <c r="AK231" s="1703" t="s">
        <v>494</v>
      </c>
      <c r="AL231" s="1470"/>
      <c r="AM231" s="1598"/>
      <c r="AN231" s="1510"/>
      <c r="AO231" s="1598"/>
      <c r="AP231" s="1598"/>
      <c r="AQ231" s="1598"/>
      <c r="AR231" s="1598"/>
      <c r="AS231" s="1598"/>
      <c r="AT231" s="1598"/>
      <c r="AU231" s="1598"/>
      <c r="AV231" s="1473"/>
      <c r="AW231" s="1598"/>
      <c r="AX231" s="1598"/>
      <c r="AY231" s="1637"/>
      <c r="AZ231" s="1470"/>
      <c r="BA231" s="1470"/>
      <c r="BB231" s="1470"/>
      <c r="BC231" s="1470"/>
      <c r="BD231" s="1479"/>
      <c r="BE231" s="1470"/>
      <c r="BF231" s="1470"/>
      <c r="BG231" s="1479"/>
      <c r="BH231" s="1470"/>
      <c r="BI231" s="1470"/>
      <c r="BJ231" s="1470"/>
      <c r="BK231" s="1470"/>
      <c r="BL231" s="1470"/>
      <c r="BM231" s="1470"/>
    </row>
    <row r="232" spans="1:65" ht="10.5" hidden="1" customHeight="1" outlineLevel="1">
      <c r="A232" s="1470"/>
      <c r="B232" s="1470"/>
      <c r="C232" s="1470"/>
      <c r="D232" s="1470"/>
      <c r="E232" s="1470"/>
      <c r="F232" s="1470"/>
      <c r="G232" s="1470"/>
      <c r="H232" s="1470"/>
      <c r="I232" s="1470"/>
      <c r="J232" s="1470"/>
      <c r="K232" s="1470"/>
      <c r="L232" s="1470"/>
      <c r="M232" s="1470"/>
      <c r="N232" s="1470"/>
      <c r="O232" s="1476"/>
      <c r="P232" s="1470"/>
      <c r="Q232" s="1470"/>
      <c r="R232" s="1470"/>
      <c r="S232" s="1472"/>
      <c r="T232" s="1479"/>
      <c r="U232" s="1479"/>
      <c r="V232" s="1479"/>
      <c r="W232" s="1479"/>
      <c r="X232" s="1470"/>
      <c r="Y232" s="1470"/>
      <c r="Z232" s="1470"/>
      <c r="AA232" s="1470"/>
      <c r="AB232" s="1470"/>
      <c r="AC232" s="1470"/>
      <c r="AD232" s="1476"/>
      <c r="AE232" s="1470"/>
      <c r="AF232" s="1470"/>
      <c r="AG232" s="1470"/>
      <c r="AH232" s="1472"/>
      <c r="AI232" s="1479"/>
      <c r="AJ232" s="1479"/>
      <c r="AK232" s="1479"/>
      <c r="AL232" s="1470"/>
      <c r="AM232" s="1598"/>
      <c r="AN232" s="1510"/>
      <c r="AO232" s="1598"/>
      <c r="AP232" s="1598"/>
      <c r="AQ232" s="1598"/>
      <c r="AR232" s="1598"/>
      <c r="AS232" s="1598"/>
      <c r="AT232" s="1598"/>
      <c r="AU232" s="1598"/>
      <c r="AV232" s="1473"/>
      <c r="AW232" s="1598"/>
      <c r="AX232" s="1598" t="s">
        <v>553</v>
      </c>
      <c r="AY232" s="1637"/>
      <c r="AZ232" s="1470"/>
      <c r="BA232" s="1704"/>
      <c r="BB232" s="1705" t="s">
        <v>442</v>
      </c>
      <c r="BC232" s="1704"/>
      <c r="BD232" s="1470"/>
      <c r="BE232" s="1470"/>
      <c r="BF232" s="1470"/>
      <c r="BG232" s="1470"/>
      <c r="BH232" s="1470"/>
      <c r="BI232" s="1470"/>
      <c r="BJ232" s="1470"/>
      <c r="BK232" s="1470"/>
      <c r="BL232" s="1470"/>
      <c r="BM232" s="1470"/>
    </row>
    <row r="233" spans="1:65" ht="10.5" hidden="1" customHeight="1" outlineLevel="1">
      <c r="A233" s="1505" t="str">
        <f t="shared" ref="A233:A259" si="1">A92</f>
        <v>2001A</v>
      </c>
      <c r="B233" s="1470"/>
      <c r="C233" s="1470"/>
      <c r="D233" s="1470"/>
      <c r="E233" s="1470"/>
      <c r="F233" s="1470"/>
      <c r="G233" s="1470"/>
      <c r="H233" s="1470"/>
      <c r="I233" s="1470"/>
      <c r="J233" s="1470"/>
      <c r="K233" s="1470"/>
      <c r="L233" s="1470"/>
      <c r="M233" s="1470"/>
      <c r="N233" s="1470"/>
      <c r="O233" s="1476"/>
      <c r="P233" s="1470"/>
      <c r="Q233" s="1470"/>
      <c r="R233" s="1706"/>
      <c r="S233" s="1706"/>
      <c r="T233" s="1473"/>
      <c r="U233" s="1543"/>
      <c r="V233" s="1473"/>
      <c r="W233" s="1543"/>
      <c r="X233" s="1470"/>
      <c r="Y233" s="1470"/>
      <c r="Z233" s="1470"/>
      <c r="AA233" s="1470"/>
      <c r="AB233" s="1470"/>
      <c r="AC233" s="1470"/>
      <c r="AD233" s="1476"/>
      <c r="AE233" s="1470"/>
      <c r="AF233" s="1470"/>
      <c r="AG233" s="1470"/>
      <c r="AH233" s="1472"/>
      <c r="AI233" s="1479"/>
      <c r="AJ233" s="1479"/>
      <c r="AK233" s="1479"/>
      <c r="AL233" s="1470"/>
      <c r="AM233" s="1511"/>
      <c r="AN233" s="1706"/>
      <c r="AO233" s="1511"/>
      <c r="AP233" s="1511"/>
      <c r="AQ233" s="1511"/>
      <c r="AR233" s="1511"/>
      <c r="AS233" s="1511"/>
      <c r="AT233" s="1511"/>
      <c r="AU233" s="1511"/>
      <c r="AV233" s="1473"/>
      <c r="AW233" s="1511"/>
      <c r="AX233" s="1511" t="s">
        <v>493</v>
      </c>
      <c r="AY233" s="1707"/>
      <c r="AZ233" s="1470"/>
      <c r="BA233" s="1700">
        <v>2001</v>
      </c>
      <c r="BB233" s="1700">
        <v>2000</v>
      </c>
      <c r="BC233" s="1700">
        <v>1999</v>
      </c>
      <c r="BD233" s="1470"/>
      <c r="BE233" s="1470"/>
      <c r="BF233" s="1470"/>
      <c r="BG233" s="1470"/>
      <c r="BH233" s="1470"/>
      <c r="BI233" s="1470"/>
      <c r="BJ233" s="1470"/>
      <c r="BK233" s="1470"/>
      <c r="BL233" s="1470"/>
      <c r="BM233" s="1470"/>
    </row>
    <row r="234" spans="1:65" ht="10.5" hidden="1" customHeight="1" outlineLevel="1">
      <c r="A234" s="1470" t="str">
        <f t="shared" si="1"/>
        <v>1st Qtr</v>
      </c>
      <c r="B234" s="1470"/>
      <c r="C234" s="1703" t="s">
        <v>714</v>
      </c>
      <c r="D234" s="1470"/>
      <c r="E234" s="1708">
        <v>13.7</v>
      </c>
      <c r="F234" s="1470"/>
      <c r="G234" s="1703" t="s">
        <v>714</v>
      </c>
      <c r="H234" s="1470"/>
      <c r="I234" s="1602">
        <f>+I230+1</f>
        <v>110</v>
      </c>
      <c r="J234" s="1470"/>
      <c r="K234" s="1534">
        <f>(I234+I230)/2</f>
        <v>109.5</v>
      </c>
      <c r="L234" s="1470"/>
      <c r="M234" s="1703" t="s">
        <v>714</v>
      </c>
      <c r="N234" s="1470"/>
      <c r="O234" s="1703" t="s">
        <v>714</v>
      </c>
      <c r="P234" s="1470"/>
      <c r="Q234" s="1470"/>
      <c r="R234" s="1538"/>
      <c r="S234" s="1470"/>
      <c r="T234" s="1539">
        <f xml:space="preserve"> R234/K234</f>
        <v>0</v>
      </c>
      <c r="U234" s="1470"/>
      <c r="V234" s="1703" t="s">
        <v>714</v>
      </c>
      <c r="W234" s="1470"/>
      <c r="X234" s="1612">
        <f>0.327952</f>
        <v>0.32795200000000002</v>
      </c>
      <c r="Y234" s="1470"/>
      <c r="Z234" s="1574">
        <f>(X234+X230)/2</f>
        <v>0.32532250000000001</v>
      </c>
      <c r="AA234" s="1470"/>
      <c r="AB234" s="1703" t="s">
        <v>714</v>
      </c>
      <c r="AC234" s="1470" t="s">
        <v>697</v>
      </c>
      <c r="AD234" s="1703" t="s">
        <v>714</v>
      </c>
      <c r="AE234" s="1470"/>
      <c r="AF234" s="1470"/>
      <c r="AG234" s="1538">
        <f>+R234</f>
        <v>0</v>
      </c>
      <c r="AH234" s="1472"/>
      <c r="AI234" s="1585">
        <f xml:space="preserve"> AG234/Z234</f>
        <v>0</v>
      </c>
      <c r="AJ234" s="1479"/>
      <c r="AK234" s="1703" t="s">
        <v>714</v>
      </c>
      <c r="AL234" s="1470"/>
      <c r="AM234" s="1709"/>
      <c r="AN234" s="1709"/>
      <c r="AO234" s="1709"/>
      <c r="AP234" s="1709"/>
      <c r="AQ234" s="1709"/>
      <c r="AR234" s="1709"/>
      <c r="AS234" s="1709"/>
      <c r="AT234" s="1709"/>
      <c r="AU234" s="1709"/>
      <c r="AV234" s="1473"/>
      <c r="AW234" s="1709"/>
      <c r="AX234" s="1538">
        <v>20.399999999999999</v>
      </c>
      <c r="AY234" s="1710"/>
      <c r="AZ234" s="1470"/>
      <c r="BA234" s="1206">
        <f>+AX234/AX238</f>
        <v>0.20258192651439919</v>
      </c>
      <c r="BB234" s="1206">
        <f>+R86/$R$90</f>
        <v>0.16856353448695749</v>
      </c>
      <c r="BC234" s="1206">
        <f>R79/$R$83</f>
        <v>0.17474258025439127</v>
      </c>
      <c r="BD234" s="1470"/>
      <c r="BE234" s="1470"/>
      <c r="BF234" s="1470"/>
      <c r="BG234" s="1470"/>
      <c r="BH234" s="1470"/>
      <c r="BI234" s="1470"/>
      <c r="BJ234" s="1470"/>
      <c r="BK234" s="1470"/>
      <c r="BL234" s="1470"/>
      <c r="BM234" s="1470"/>
    </row>
    <row r="235" spans="1:65" ht="10.5" hidden="1" customHeight="1" outlineLevel="1">
      <c r="A235" s="1470" t="str">
        <f t="shared" si="1"/>
        <v>2nd Qtr</v>
      </c>
      <c r="B235" s="1470"/>
      <c r="C235" s="1703" t="s">
        <v>714</v>
      </c>
      <c r="D235" s="1470"/>
      <c r="E235" s="1708">
        <v>2.7</v>
      </c>
      <c r="F235" s="1470"/>
      <c r="G235" s="1703" t="s">
        <v>714</v>
      </c>
      <c r="H235" s="1470"/>
      <c r="I235" s="1602">
        <v>110</v>
      </c>
      <c r="J235" s="1470"/>
      <c r="K235" s="1534">
        <f>AVERAGEA(I234,I235)</f>
        <v>110</v>
      </c>
      <c r="L235" s="1470"/>
      <c r="M235" s="1703" t="s">
        <v>714</v>
      </c>
      <c r="N235" s="1470"/>
      <c r="O235" s="1703" t="s">
        <v>714</v>
      </c>
      <c r="P235" s="1470"/>
      <c r="Q235" s="1470"/>
      <c r="R235" s="1676"/>
      <c r="S235" s="1470"/>
      <c r="T235" s="1255">
        <f xml:space="preserve"> R235/K235</f>
        <v>0</v>
      </c>
      <c r="U235" s="1470"/>
      <c r="V235" s="1703" t="s">
        <v>714</v>
      </c>
      <c r="W235" s="1470"/>
      <c r="X235" s="1612">
        <f>0.332984</f>
        <v>0.332984</v>
      </c>
      <c r="Y235" s="1470"/>
      <c r="Z235" s="1574">
        <f>AVERAGEA(X234,X235)</f>
        <v>0.33046799999999998</v>
      </c>
      <c r="AA235" s="1470"/>
      <c r="AB235" s="1703" t="s">
        <v>714</v>
      </c>
      <c r="AC235" s="1470"/>
      <c r="AD235" s="1703" t="s">
        <v>714</v>
      </c>
      <c r="AE235" s="1470"/>
      <c r="AF235" s="1470"/>
      <c r="AG235" s="1605">
        <f>+R235</f>
        <v>0</v>
      </c>
      <c r="AH235" s="1472"/>
      <c r="AI235" s="1587">
        <f xml:space="preserve"> AG235/Z235</f>
        <v>0</v>
      </c>
      <c r="AJ235" s="1479"/>
      <c r="AK235" s="1703" t="s">
        <v>714</v>
      </c>
      <c r="AL235" s="1470"/>
      <c r="AM235" s="1605"/>
      <c r="AN235" s="1605"/>
      <c r="AO235" s="1605"/>
      <c r="AP235" s="1605"/>
      <c r="AQ235" s="1605"/>
      <c r="AR235" s="1605"/>
      <c r="AS235" s="1605"/>
      <c r="AT235" s="1605"/>
      <c r="AU235" s="1605"/>
      <c r="AV235" s="1473"/>
      <c r="AW235" s="1605"/>
      <c r="AX235" s="1605">
        <v>21.200000000000003</v>
      </c>
      <c r="AY235" s="1676"/>
      <c r="AZ235" s="1470"/>
      <c r="BA235" s="1206">
        <f>+AX235/AX238</f>
        <v>0.2105263157894737</v>
      </c>
      <c r="BB235" s="1206">
        <f>+R87/$R$90</f>
        <v>0.19767123143761156</v>
      </c>
      <c r="BC235" s="1206">
        <f>R80/$R$83</f>
        <v>0.21461500004807091</v>
      </c>
      <c r="BD235" s="1470"/>
      <c r="BE235" s="1470"/>
      <c r="BF235" s="1470"/>
      <c r="BG235" s="1470"/>
      <c r="BH235" s="1470"/>
      <c r="BI235" s="1470"/>
      <c r="BJ235" s="1470"/>
      <c r="BK235" s="1470"/>
      <c r="BL235" s="1470"/>
      <c r="BM235" s="1470"/>
    </row>
    <row r="236" spans="1:65" ht="10.5" hidden="1" customHeight="1" outlineLevel="1">
      <c r="A236" s="1470" t="str">
        <f t="shared" si="1"/>
        <v>3rd Qtr</v>
      </c>
      <c r="B236" s="1470"/>
      <c r="C236" s="1703" t="s">
        <v>714</v>
      </c>
      <c r="D236" s="1470"/>
      <c r="E236" s="1708">
        <v>-6.1</v>
      </c>
      <c r="F236" s="1470"/>
      <c r="G236" s="1703" t="s">
        <v>714</v>
      </c>
      <c r="H236" s="1470"/>
      <c r="I236" s="1602">
        <v>112</v>
      </c>
      <c r="J236" s="1470"/>
      <c r="K236" s="1534">
        <f>AVERAGEA(I235,I236)</f>
        <v>111</v>
      </c>
      <c r="L236" s="1470"/>
      <c r="M236" s="1703" t="s">
        <v>714</v>
      </c>
      <c r="N236" s="1470"/>
      <c r="O236" s="1703" t="s">
        <v>714</v>
      </c>
      <c r="P236" s="1470"/>
      <c r="Q236" s="1470"/>
      <c r="R236" s="1605"/>
      <c r="S236" s="1470"/>
      <c r="T236" s="1255">
        <f xml:space="preserve"> R236/K236</f>
        <v>0</v>
      </c>
      <c r="U236" s="1470"/>
      <c r="V236" s="1703" t="s">
        <v>714</v>
      </c>
      <c r="W236" s="1470"/>
      <c r="X236" s="1612">
        <v>0.34589599999999998</v>
      </c>
      <c r="Y236" s="1470"/>
      <c r="Z236" s="1574">
        <f>AVERAGEA(X235,X236)</f>
        <v>0.33943999999999996</v>
      </c>
      <c r="AA236" s="1470"/>
      <c r="AB236" s="1703" t="s">
        <v>714</v>
      </c>
      <c r="AC236" s="1470"/>
      <c r="AD236" s="1703" t="s">
        <v>714</v>
      </c>
      <c r="AE236" s="1470"/>
      <c r="AF236" s="1470"/>
      <c r="AG236" s="1605">
        <f>+R236</f>
        <v>0</v>
      </c>
      <c r="AH236" s="1472"/>
      <c r="AI236" s="1587">
        <f xml:space="preserve"> AG236/Z236</f>
        <v>0</v>
      </c>
      <c r="AJ236" s="1479"/>
      <c r="AK236" s="1703" t="s">
        <v>714</v>
      </c>
      <c r="AL236" s="1470"/>
      <c r="AM236" s="1711"/>
      <c r="AN236" s="1711"/>
      <c r="AO236" s="1711"/>
      <c r="AP236" s="1711"/>
      <c r="AQ236" s="1711"/>
      <c r="AR236" s="1711"/>
      <c r="AS236" s="1711"/>
      <c r="AT236" s="1711"/>
      <c r="AU236" s="1711"/>
      <c r="AV236" s="1473"/>
      <c r="AW236" s="1711"/>
      <c r="AX236" s="1605">
        <v>29.400000000000002</v>
      </c>
      <c r="AY236" s="1676"/>
      <c r="AZ236" s="1470"/>
      <c r="BA236" s="1613">
        <v>0.25</v>
      </c>
      <c r="BB236" s="1206">
        <f>+R88/$R$90</f>
        <v>0.26718856397380519</v>
      </c>
      <c r="BC236" s="1206">
        <f>R81/$R$83</f>
        <v>0.26762640246892216</v>
      </c>
      <c r="BD236" s="1470"/>
      <c r="BE236" s="1470"/>
      <c r="BF236" s="1470"/>
      <c r="BG236" s="1470"/>
      <c r="BH236" s="1470"/>
      <c r="BI236" s="1470"/>
      <c r="BJ236" s="1470"/>
      <c r="BK236" s="1470"/>
      <c r="BL236" s="1470"/>
      <c r="BM236" s="1470"/>
    </row>
    <row r="237" spans="1:65" ht="10.5" hidden="1" customHeight="1" outlineLevel="1">
      <c r="A237" s="1470" t="str">
        <f t="shared" si="1"/>
        <v>4th Qtr</v>
      </c>
      <c r="B237" s="1470"/>
      <c r="C237" s="1570" t="e">
        <f>+(R237/R230-1)*100</f>
        <v>#DIV/0!</v>
      </c>
      <c r="D237" s="1470"/>
      <c r="E237" s="1712">
        <v>-12</v>
      </c>
      <c r="F237" s="1470"/>
      <c r="G237" s="1702" t="s">
        <v>714</v>
      </c>
      <c r="H237" s="1470"/>
      <c r="I237" s="1470">
        <f>+yrSales!I78</f>
        <v>112</v>
      </c>
      <c r="J237" s="1470"/>
      <c r="K237" s="1545">
        <f>AVERAGEA(I236,I237)</f>
        <v>112</v>
      </c>
      <c r="L237" s="1470"/>
      <c r="M237" s="1702" t="s">
        <v>714</v>
      </c>
      <c r="N237" s="1470"/>
      <c r="O237" s="1702" t="s">
        <v>714</v>
      </c>
      <c r="P237" s="1470"/>
      <c r="Q237" s="1470"/>
      <c r="R237" s="1607"/>
      <c r="S237" s="1470"/>
      <c r="T237" s="1562">
        <f xml:space="preserve"> R237/K237</f>
        <v>0</v>
      </c>
      <c r="U237" s="1470"/>
      <c r="V237" s="1589" t="e">
        <f>T237/T230-1</f>
        <v>#DIV/0!</v>
      </c>
      <c r="W237" s="1470"/>
      <c r="X237" s="1574">
        <f>+yrSales!I88</f>
        <v>0.35346899999999998</v>
      </c>
      <c r="Y237" s="1470"/>
      <c r="Z237" s="1577">
        <f>AVERAGEA(X236,X237)</f>
        <v>0.34968250000000001</v>
      </c>
      <c r="AA237" s="1470"/>
      <c r="AB237" s="1545">
        <f>(Z237/Z230-1)*100</f>
        <v>8.3638318773571196</v>
      </c>
      <c r="AC237" s="1470"/>
      <c r="AD237" s="1702" t="s">
        <v>714</v>
      </c>
      <c r="AE237" s="1470"/>
      <c r="AF237" s="1470"/>
      <c r="AG237" s="1607">
        <f>+R237</f>
        <v>0</v>
      </c>
      <c r="AH237" s="1472"/>
      <c r="AI237" s="1590">
        <f xml:space="preserve"> AG237/Z237</f>
        <v>0</v>
      </c>
      <c r="AJ237" s="1479"/>
      <c r="AK237" s="1589" t="e">
        <f>AI237/AI230-1</f>
        <v>#DIV/0!</v>
      </c>
      <c r="AL237" s="1470"/>
      <c r="AM237" s="1607"/>
      <c r="AN237" s="1605"/>
      <c r="AO237" s="1607"/>
      <c r="AP237" s="1607"/>
      <c r="AQ237" s="1607"/>
      <c r="AR237" s="1607"/>
      <c r="AS237" s="1607"/>
      <c r="AT237" s="1607"/>
      <c r="AU237" s="1607"/>
      <c r="AV237" s="1473"/>
      <c r="AW237" s="1607"/>
      <c r="AX237" s="1607">
        <v>29.700000000000003</v>
      </c>
      <c r="AY237" s="1676"/>
      <c r="AZ237" s="1470"/>
      <c r="BA237" s="1220">
        <f>+BA238-BA236-BA235-BA234</f>
        <v>0.33689175769612711</v>
      </c>
      <c r="BB237" s="1220">
        <f>+R89/$R$90</f>
        <v>0.36657667010162576</v>
      </c>
      <c r="BC237" s="1220">
        <f>R82/$R$83</f>
        <v>0.34301601722861563</v>
      </c>
      <c r="BD237" s="1470"/>
      <c r="BE237" s="1470"/>
      <c r="BF237" s="1470"/>
      <c r="BG237" s="1470"/>
      <c r="BH237" s="1470"/>
      <c r="BI237" s="1470"/>
      <c r="BJ237" s="1470"/>
      <c r="BK237" s="1470"/>
      <c r="BL237" s="1470"/>
      <c r="BM237" s="1470"/>
    </row>
    <row r="238" spans="1:65" ht="10.5" hidden="1" customHeight="1" outlineLevel="1">
      <c r="A238" s="1470" t="str">
        <f t="shared" si="1"/>
        <v xml:space="preserve">  Year</v>
      </c>
      <c r="B238" s="1470"/>
      <c r="C238" s="1713" t="s">
        <v>714</v>
      </c>
      <c r="D238" s="1470"/>
      <c r="E238" s="1708" t="e">
        <f>+E234*R234/$R$238+E235*R235/$R$238+E236*R236/$R$238+E237*R237/$R$238</f>
        <v>#DIV/0!</v>
      </c>
      <c r="F238" s="1470"/>
      <c r="G238" s="1713" t="s">
        <v>714</v>
      </c>
      <c r="H238" s="1470"/>
      <c r="I238" s="1470"/>
      <c r="J238" s="1470"/>
      <c r="K238" s="1534">
        <f>AVERAGEA(K234:K237)</f>
        <v>110.625</v>
      </c>
      <c r="L238" s="1470"/>
      <c r="M238" s="1713" t="s">
        <v>714</v>
      </c>
      <c r="N238" s="1470"/>
      <c r="O238" s="1713" t="s">
        <v>714</v>
      </c>
      <c r="P238" s="1470"/>
      <c r="Q238" s="1470"/>
      <c r="R238" s="1537"/>
      <c r="S238" s="1470"/>
      <c r="T238" s="1539">
        <f>SUM(T234:T237)</f>
        <v>0</v>
      </c>
      <c r="U238" s="1470"/>
      <c r="V238" s="1703" t="s">
        <v>714</v>
      </c>
      <c r="W238" s="1470"/>
      <c r="X238" s="1470"/>
      <c r="Y238" s="1470"/>
      <c r="Z238" s="1574">
        <f>AVERAGEA(Z234:Z237)</f>
        <v>0.33622825000000001</v>
      </c>
      <c r="AA238" s="1470"/>
      <c r="AB238" s="1534">
        <f>(Z238/Z231-1)*100</f>
        <v>4.194466567294608</v>
      </c>
      <c r="AC238" s="1470"/>
      <c r="AD238" s="1713" t="s">
        <v>714</v>
      </c>
      <c r="AE238" s="1470"/>
      <c r="AF238" s="1470"/>
      <c r="AG238" s="1537">
        <f>+R238</f>
        <v>0</v>
      </c>
      <c r="AH238" s="1472"/>
      <c r="AI238" s="1585">
        <f>SUM(AI234:AI237)</f>
        <v>0</v>
      </c>
      <c r="AJ238" s="1479"/>
      <c r="AK238" s="1584"/>
      <c r="AL238" s="1470"/>
      <c r="AM238" s="1537"/>
      <c r="AN238" s="1538"/>
      <c r="AO238" s="1537"/>
      <c r="AP238" s="1537"/>
      <c r="AQ238" s="1537"/>
      <c r="AR238" s="1537"/>
      <c r="AS238" s="1537"/>
      <c r="AT238" s="1537"/>
      <c r="AU238" s="1537"/>
      <c r="AV238" s="1473"/>
      <c r="AW238" s="1537"/>
      <c r="AX238" s="1537">
        <f>+AX234+AX235+AX236+AX237</f>
        <v>100.7</v>
      </c>
      <c r="AY238" s="1710"/>
      <c r="AZ238" s="1470"/>
      <c r="BA238" s="1613">
        <v>1</v>
      </c>
      <c r="BB238" s="1206">
        <f>+BB237+BB236+BB235+BB234</f>
        <v>1</v>
      </c>
      <c r="BC238" s="1206">
        <f>+BC237+BC236+BC235+BC234</f>
        <v>0.99999999999999989</v>
      </c>
      <c r="BD238" s="1470"/>
      <c r="BE238" s="1470"/>
      <c r="BF238" s="1470"/>
      <c r="BG238" s="1470"/>
      <c r="BH238" s="1470"/>
      <c r="BI238" s="1470"/>
      <c r="BJ238" s="1470"/>
      <c r="BK238" s="1470"/>
      <c r="BL238" s="1470"/>
      <c r="BM238" s="1470"/>
    </row>
    <row r="239" spans="1:65" ht="10.5" hidden="1" customHeight="1" outlineLevel="1">
      <c r="A239" s="1470"/>
      <c r="B239" s="1470"/>
      <c r="C239" s="1470"/>
      <c r="D239" s="1470"/>
      <c r="E239" s="1470"/>
      <c r="F239" s="1470"/>
      <c r="G239" s="1470"/>
      <c r="H239" s="1470"/>
      <c r="I239" s="1470"/>
      <c r="J239" s="1470"/>
      <c r="K239" s="1470"/>
      <c r="L239" s="1470"/>
      <c r="M239" s="1470"/>
      <c r="N239" s="1470"/>
      <c r="O239" s="1476"/>
      <c r="P239" s="1470"/>
      <c r="Q239" s="1470"/>
      <c r="R239" s="1470"/>
      <c r="S239" s="1472"/>
      <c r="T239" s="1479"/>
      <c r="U239" s="1479"/>
      <c r="V239" s="1479"/>
      <c r="W239" s="1479"/>
      <c r="X239" s="1470"/>
      <c r="Y239" s="1470"/>
      <c r="Z239" s="1470"/>
      <c r="AA239" s="1470"/>
      <c r="AB239" s="1470"/>
      <c r="AC239" s="1470"/>
      <c r="AD239" s="1476"/>
      <c r="AE239" s="1470"/>
      <c r="AF239" s="1470"/>
      <c r="AG239" s="1470"/>
      <c r="AH239" s="1472"/>
      <c r="AI239" s="1479"/>
      <c r="AJ239" s="1479"/>
      <c r="AK239" s="1479"/>
      <c r="AL239" s="1470"/>
      <c r="AM239" s="1637"/>
      <c r="AN239" s="1637"/>
      <c r="AO239" s="1637"/>
      <c r="AP239" s="1637"/>
      <c r="AQ239" s="1637"/>
      <c r="AR239" s="1637"/>
      <c r="AS239" s="1637"/>
      <c r="AT239" s="1637"/>
      <c r="AU239" s="1637"/>
      <c r="AV239" s="1473"/>
      <c r="AW239" s="1637"/>
      <c r="AX239" s="1637"/>
      <c r="AY239" s="1637"/>
      <c r="AZ239" s="1714"/>
      <c r="BA239" s="1715"/>
      <c r="BB239" s="1714"/>
      <c r="BC239" s="1637"/>
      <c r="BD239" s="1637"/>
      <c r="BE239" s="1637"/>
      <c r="BF239" s="1637"/>
      <c r="BG239" s="1470"/>
      <c r="BH239" s="1637"/>
      <c r="BI239" s="1470"/>
      <c r="BJ239" s="1637"/>
      <c r="BK239" s="1470"/>
      <c r="BL239" s="1637"/>
      <c r="BM239" s="1470"/>
    </row>
    <row r="240" spans="1:65" ht="10.5" hidden="1" customHeight="1" outlineLevel="1">
      <c r="A240" s="1505" t="str">
        <f t="shared" si="1"/>
        <v>2002A</v>
      </c>
      <c r="B240" s="1470"/>
      <c r="C240" s="1470"/>
      <c r="D240" s="1470"/>
      <c r="E240" s="1470"/>
      <c r="F240" s="1470"/>
      <c r="G240" s="1470"/>
      <c r="H240" s="1470"/>
      <c r="I240" s="1470"/>
      <c r="J240" s="1470"/>
      <c r="K240" s="1470"/>
      <c r="L240" s="1470"/>
      <c r="M240" s="1470"/>
      <c r="N240" s="1470"/>
      <c r="O240" s="1476"/>
      <c r="P240" s="1470"/>
      <c r="Q240" s="1470"/>
      <c r="R240" s="1706"/>
      <c r="S240" s="1706"/>
      <c r="T240" s="1473"/>
      <c r="U240" s="1543"/>
      <c r="V240" s="1473"/>
      <c r="W240" s="1543"/>
      <c r="X240" s="1470"/>
      <c r="Y240" s="1470"/>
      <c r="Z240" s="1470"/>
      <c r="AA240" s="1470"/>
      <c r="AB240" s="1470"/>
      <c r="AC240" s="1470"/>
      <c r="AD240" s="1476"/>
      <c r="AE240" s="1470"/>
      <c r="AF240" s="1470"/>
      <c r="AG240" s="1470"/>
      <c r="AH240" s="1472"/>
      <c r="AI240" s="1479"/>
      <c r="AJ240" s="1479"/>
      <c r="AK240" s="1479"/>
      <c r="AL240" s="1470"/>
      <c r="AM240" s="1707"/>
      <c r="AN240" s="1707"/>
      <c r="AO240" s="1707"/>
      <c r="AP240" s="1707"/>
      <c r="AQ240" s="1707"/>
      <c r="AR240" s="1707"/>
      <c r="AS240" s="1707"/>
      <c r="AT240" s="1707"/>
      <c r="AU240" s="1707"/>
      <c r="AV240" s="1473"/>
      <c r="AW240" s="1707"/>
      <c r="AX240" s="1707"/>
      <c r="AY240" s="1707"/>
      <c r="AZ240" s="1716"/>
      <c r="BA240" s="1716"/>
      <c r="BB240" s="1716"/>
      <c r="BC240" s="1637"/>
      <c r="BD240" s="1637"/>
      <c r="BE240" s="1637"/>
      <c r="BF240" s="1637"/>
      <c r="BG240" s="1470"/>
      <c r="BH240" s="1637"/>
      <c r="BI240" s="1470"/>
      <c r="BJ240" s="1637"/>
      <c r="BK240" s="1470"/>
      <c r="BL240" s="1637"/>
      <c r="BM240" s="1470"/>
    </row>
    <row r="241" spans="1:65" ht="10.5" hidden="1" customHeight="1" outlineLevel="1">
      <c r="A241" s="1470" t="str">
        <f t="shared" si="1"/>
        <v>1st Qtr</v>
      </c>
      <c r="B241" s="1470"/>
      <c r="C241" s="1717" t="e">
        <f>(R241/R234-1)*100</f>
        <v>#DIV/0!</v>
      </c>
      <c r="D241" s="1470" t="s">
        <v>697</v>
      </c>
      <c r="E241" s="1703">
        <v>-17.5</v>
      </c>
      <c r="F241" s="1470" t="s">
        <v>697</v>
      </c>
      <c r="G241" s="1565" t="e">
        <f>C241-E241</f>
        <v>#DIV/0!</v>
      </c>
      <c r="H241" s="1470" t="s">
        <v>697</v>
      </c>
      <c r="I241" s="1602">
        <f>+I237</f>
        <v>112</v>
      </c>
      <c r="J241" s="1470"/>
      <c r="K241" s="1534">
        <f>(I241+I237)/2</f>
        <v>112</v>
      </c>
      <c r="L241" s="1470"/>
      <c r="M241" s="1534">
        <f>(K241/K234-1)*100</f>
        <v>2.2831050228310446</v>
      </c>
      <c r="N241" s="1470"/>
      <c r="O241" s="1535" t="e">
        <f>(G241/M241)*100</f>
        <v>#DIV/0!</v>
      </c>
      <c r="P241" s="1470"/>
      <c r="Q241" s="1470"/>
      <c r="R241" s="1538"/>
      <c r="S241" s="1470"/>
      <c r="T241" s="1539">
        <f xml:space="preserve"> R241/K241</f>
        <v>0</v>
      </c>
      <c r="U241" s="1470"/>
      <c r="V241" s="1584" t="e">
        <f>T241/T234-1</f>
        <v>#DIV/0!</v>
      </c>
      <c r="W241" s="1470"/>
      <c r="X241" s="1612">
        <v>0.35485299999999997</v>
      </c>
      <c r="Y241" s="1470"/>
      <c r="Z241" s="1574">
        <f>(X241+X237)/2</f>
        <v>0.35416099999999995</v>
      </c>
      <c r="AA241" s="1470"/>
      <c r="AB241" s="1534">
        <f>(Z241/Z234-1)*100</f>
        <v>8.8645882163084231</v>
      </c>
      <c r="AC241" s="1573" t="s">
        <v>697</v>
      </c>
      <c r="AD241" s="1535" t="e">
        <f>(G241/AB241)*100</f>
        <v>#DIV/0!</v>
      </c>
      <c r="AE241" s="1573" t="s">
        <v>697</v>
      </c>
      <c r="AF241" s="1573"/>
      <c r="AG241" s="1538">
        <f>R241</f>
        <v>0</v>
      </c>
      <c r="AH241" s="1557"/>
      <c r="AI241" s="1585">
        <f xml:space="preserve"> AG241/Z241</f>
        <v>0</v>
      </c>
      <c r="AJ241" s="1479"/>
      <c r="AK241" s="1584" t="e">
        <f>AI241/AI234-1</f>
        <v>#DIV/0!</v>
      </c>
      <c r="AL241" s="1470"/>
      <c r="AM241" s="1718"/>
      <c r="AN241" s="1718"/>
      <c r="AO241" s="1718"/>
      <c r="AP241" s="1718"/>
      <c r="AQ241" s="1718"/>
      <c r="AR241" s="1718"/>
      <c r="AS241" s="1718"/>
      <c r="AT241" s="1718"/>
      <c r="AU241" s="1718"/>
      <c r="AV241" s="1473"/>
      <c r="AW241" s="1718"/>
      <c r="AX241" s="1718"/>
      <c r="AY241" s="1710"/>
      <c r="AZ241" s="1309"/>
      <c r="BA241" s="1309"/>
      <c r="BB241" s="1309"/>
      <c r="BC241" s="1637"/>
      <c r="BD241" s="1637"/>
      <c r="BE241" s="1637"/>
      <c r="BF241" s="1637"/>
      <c r="BG241" s="1470"/>
      <c r="BH241" s="1637"/>
      <c r="BI241" s="1470"/>
      <c r="BJ241" s="1637"/>
      <c r="BK241" s="1470"/>
      <c r="BL241" s="1637"/>
      <c r="BM241" s="1470"/>
    </row>
    <row r="242" spans="1:65" ht="10.5" hidden="1" customHeight="1" outlineLevel="1">
      <c r="A242" s="1470" t="str">
        <f t="shared" si="1"/>
        <v>2nd Qtr</v>
      </c>
      <c r="B242" s="1470"/>
      <c r="C242" s="1717" t="e">
        <f>(R242/R235-1)*100</f>
        <v>#DIV/0!</v>
      </c>
      <c r="D242" s="1470"/>
      <c r="E242" s="1703">
        <v>-13.9</v>
      </c>
      <c r="F242" s="1470"/>
      <c r="G242" s="1565" t="e">
        <f>C242-E242</f>
        <v>#DIV/0!</v>
      </c>
      <c r="H242" s="1470"/>
      <c r="I242" s="1602">
        <f>+I241-1</f>
        <v>111</v>
      </c>
      <c r="J242" s="1470"/>
      <c r="K242" s="1534">
        <f>AVERAGEA(I241,I242)</f>
        <v>111.5</v>
      </c>
      <c r="L242" s="1470"/>
      <c r="M242" s="1534">
        <f>(K242/K235-1)*100</f>
        <v>1.3636363636363669</v>
      </c>
      <c r="N242" s="1470"/>
      <c r="O242" s="1535" t="e">
        <f>(G242/M242)*100</f>
        <v>#DIV/0!</v>
      </c>
      <c r="P242" s="1470"/>
      <c r="Q242" s="1470"/>
      <c r="R242" s="1605"/>
      <c r="S242" s="1470"/>
      <c r="T242" s="1255">
        <f xml:space="preserve"> R242/K242</f>
        <v>0</v>
      </c>
      <c r="U242" s="1470"/>
      <c r="V242" s="1584" t="e">
        <f>T242/T235-1</f>
        <v>#DIV/0!</v>
      </c>
      <c r="W242" s="1470"/>
      <c r="X242" s="1612">
        <v>0.35221000000000002</v>
      </c>
      <c r="Y242" s="1470"/>
      <c r="Z242" s="1574">
        <f>AVERAGEA(X241,X242)</f>
        <v>0.3535315</v>
      </c>
      <c r="AA242" s="1470"/>
      <c r="AB242" s="1534">
        <f>(Z242/Z235-1)*100</f>
        <v>6.9790418436883606</v>
      </c>
      <c r="AC242" s="1573"/>
      <c r="AD242" s="1535" t="e">
        <f>(G242/AB242)*100</f>
        <v>#DIV/0!</v>
      </c>
      <c r="AE242" s="1573"/>
      <c r="AF242" s="1573"/>
      <c r="AG242" s="1557">
        <f>R242</f>
        <v>0</v>
      </c>
      <c r="AH242" s="1557"/>
      <c r="AI242" s="1587">
        <f xml:space="preserve"> AG242/Z242</f>
        <v>0</v>
      </c>
      <c r="AJ242" s="1479"/>
      <c r="AK242" s="1584" t="e">
        <f>AI242/AI235-1</f>
        <v>#DIV/0!</v>
      </c>
      <c r="AL242" s="1470"/>
      <c r="AM242" s="1676"/>
      <c r="AN242" s="1676"/>
      <c r="AO242" s="1676"/>
      <c r="AP242" s="1676"/>
      <c r="AQ242" s="1676"/>
      <c r="AR242" s="1676"/>
      <c r="AS242" s="1676"/>
      <c r="AT242" s="1676"/>
      <c r="AU242" s="1676"/>
      <c r="AV242" s="1473"/>
      <c r="AW242" s="1676"/>
      <c r="AX242" s="1676"/>
      <c r="AY242" s="1676"/>
      <c r="AZ242" s="1309"/>
      <c r="BA242" s="1309"/>
      <c r="BB242" s="1309"/>
      <c r="BC242" s="1637"/>
      <c r="BD242" s="1637"/>
      <c r="BE242" s="1637"/>
      <c r="BF242" s="1637"/>
      <c r="BG242" s="1470"/>
      <c r="BH242" s="1637"/>
      <c r="BI242" s="1470"/>
      <c r="BJ242" s="1637"/>
      <c r="BK242" s="1470"/>
      <c r="BL242" s="1637"/>
      <c r="BM242" s="1470"/>
    </row>
    <row r="243" spans="1:65" ht="10.5" hidden="1" customHeight="1" outlineLevel="1">
      <c r="A243" s="1470" t="str">
        <f t="shared" si="1"/>
        <v>3rd Qtr</v>
      </c>
      <c r="B243" s="1470"/>
      <c r="C243" s="1717" t="e">
        <f>(R243/R236-1)*100</f>
        <v>#DIV/0!</v>
      </c>
      <c r="D243" s="1470"/>
      <c r="E243" s="1703">
        <v>-27.5</v>
      </c>
      <c r="F243" s="1470"/>
      <c r="G243" s="1565" t="e">
        <f>C243-E243</f>
        <v>#DIV/0!</v>
      </c>
      <c r="H243" s="1470"/>
      <c r="I243" s="1602">
        <f>+I242</f>
        <v>111</v>
      </c>
      <c r="J243" s="1470"/>
      <c r="K243" s="1534">
        <f>AVERAGEA(I242,I243)</f>
        <v>111</v>
      </c>
      <c r="L243" s="1470"/>
      <c r="M243" s="1534">
        <f>(K243/K236-1)*100</f>
        <v>0</v>
      </c>
      <c r="N243" s="1470"/>
      <c r="O243" s="1666" t="str">
        <f>(IF(M243=0,"NM ",(G243/M243)*100))</f>
        <v xml:space="preserve">NM </v>
      </c>
      <c r="P243" s="1470"/>
      <c r="Q243" s="1470"/>
      <c r="R243" s="1605"/>
      <c r="S243" s="1470"/>
      <c r="T243" s="1255">
        <f xml:space="preserve"> R243/K243</f>
        <v>0</v>
      </c>
      <c r="U243" s="1470"/>
      <c r="V243" s="1584" t="e">
        <f>T243/T236-1</f>
        <v>#DIV/0!</v>
      </c>
      <c r="W243" s="1470"/>
      <c r="X243" s="1612">
        <v>0.35221000000000002</v>
      </c>
      <c r="Y243" s="1470"/>
      <c r="Z243" s="1574">
        <f>AVERAGEA(X242,X243)</f>
        <v>0.35221000000000002</v>
      </c>
      <c r="AA243" s="1470"/>
      <c r="AB243" s="1534">
        <f>(Z243/Z236-1)*100</f>
        <v>3.7620787178882953</v>
      </c>
      <c r="AC243" s="1573"/>
      <c r="AD243" s="1535" t="e">
        <f>(G243/AB243)*100</f>
        <v>#DIV/0!</v>
      </c>
      <c r="AE243" s="1573"/>
      <c r="AF243" s="1573"/>
      <c r="AG243" s="1557">
        <f>R243</f>
        <v>0</v>
      </c>
      <c r="AH243" s="1557"/>
      <c r="AI243" s="1587">
        <f xml:space="preserve"> AG243/Z243</f>
        <v>0</v>
      </c>
      <c r="AJ243" s="1479"/>
      <c r="AK243" s="1584" t="e">
        <f>AI243/AI236-1</f>
        <v>#DIV/0!</v>
      </c>
      <c r="AL243" s="1470"/>
      <c r="AM243" s="1676"/>
      <c r="AN243" s="1676"/>
      <c r="AO243" s="1676"/>
      <c r="AP243" s="1676"/>
      <c r="AQ243" s="1676"/>
      <c r="AR243" s="1676"/>
      <c r="AS243" s="1676"/>
      <c r="AT243" s="1676"/>
      <c r="AU243" s="1676"/>
      <c r="AV243" s="1473"/>
      <c r="AW243" s="1676"/>
      <c r="AX243" s="1676"/>
      <c r="AY243" s="1676"/>
      <c r="AZ243" s="1309"/>
      <c r="BA243" s="1309"/>
      <c r="BB243" s="1309"/>
      <c r="BC243" s="1637"/>
      <c r="BD243" s="1637"/>
      <c r="BE243" s="1637"/>
      <c r="BF243" s="1637"/>
      <c r="BG243" s="1470"/>
      <c r="BH243" s="1637"/>
      <c r="BI243" s="1470"/>
      <c r="BJ243" s="1637"/>
      <c r="BK243" s="1470"/>
      <c r="BL243" s="1637"/>
      <c r="BM243" s="1470"/>
    </row>
    <row r="244" spans="1:65" ht="10.5" hidden="1" customHeight="1" outlineLevel="1">
      <c r="A244" s="1470" t="str">
        <f t="shared" si="1"/>
        <v>4th Qtr</v>
      </c>
      <c r="B244" s="1470"/>
      <c r="C244" s="1719" t="e">
        <f>(R244/R237-1)*100</f>
        <v>#DIV/0!</v>
      </c>
      <c r="D244" s="1470"/>
      <c r="E244" s="1702">
        <v>-26.1</v>
      </c>
      <c r="F244" s="1470"/>
      <c r="G244" s="1570" t="e">
        <f>C244-E244</f>
        <v>#DIV/0!</v>
      </c>
      <c r="H244" s="1470"/>
      <c r="I244" s="1470">
        <f>+yrSales!J78</f>
        <v>111</v>
      </c>
      <c r="J244" s="1470"/>
      <c r="K244" s="1545">
        <f>AVERAGEA(I243,I244)</f>
        <v>111</v>
      </c>
      <c r="L244" s="1470"/>
      <c r="M244" s="1720">
        <f>(K244/K237-1)*100</f>
        <v>-0.89285714285713969</v>
      </c>
      <c r="N244" s="1470"/>
      <c r="O244" s="1720" t="e">
        <f>(IF(M244=0,"NM ",(G244/M244)*100))</f>
        <v>#DIV/0!</v>
      </c>
      <c r="P244" s="1470"/>
      <c r="Q244" s="1470"/>
      <c r="R244" s="1607"/>
      <c r="S244" s="1470"/>
      <c r="T244" s="1562">
        <f xml:space="preserve"> R244/K244</f>
        <v>0</v>
      </c>
      <c r="U244" s="1470"/>
      <c r="V244" s="1589" t="e">
        <f>T244/T237-1</f>
        <v>#DIV/0!</v>
      </c>
      <c r="W244" s="1470"/>
      <c r="X244" s="1601">
        <f>+yrSales!J88</f>
        <v>0.35326999999999997</v>
      </c>
      <c r="Y244" s="1470"/>
      <c r="Z244" s="1577">
        <f>AVERAGEA(X243,X244)</f>
        <v>0.35274</v>
      </c>
      <c r="AA244" s="1470"/>
      <c r="AB244" s="1545">
        <f>(Z244/Z237-1)*100</f>
        <v>0.87436460217482637</v>
      </c>
      <c r="AC244" s="1573"/>
      <c r="AD244" s="1475" t="e">
        <f>(G244/AB244)*100</f>
        <v>#DIV/0!</v>
      </c>
      <c r="AE244" s="1573"/>
      <c r="AF244" s="1573"/>
      <c r="AG244" s="1544">
        <f>R244</f>
        <v>0</v>
      </c>
      <c r="AH244" s="1557"/>
      <c r="AI244" s="1590">
        <f xml:space="preserve"> AG244/Z244</f>
        <v>0</v>
      </c>
      <c r="AJ244" s="1479"/>
      <c r="AK244" s="1589" t="e">
        <f>AI244/AI237-1</f>
        <v>#DIV/0!</v>
      </c>
      <c r="AL244" s="1470"/>
      <c r="AM244" s="1676"/>
      <c r="AN244" s="1676"/>
      <c r="AO244" s="1676"/>
      <c r="AP244" s="1676"/>
      <c r="AQ244" s="1676"/>
      <c r="AR244" s="1676"/>
      <c r="AS244" s="1676"/>
      <c r="AT244" s="1676"/>
      <c r="AU244" s="1676"/>
      <c r="AV244" s="1473"/>
      <c r="AW244" s="1676"/>
      <c r="AX244" s="1676"/>
      <c r="AY244" s="1676"/>
      <c r="AZ244" s="1721"/>
      <c r="BA244" s="1721"/>
      <c r="BB244" s="1721"/>
      <c r="BC244" s="1637"/>
      <c r="BD244" s="1637"/>
      <c r="BE244" s="1637"/>
      <c r="BF244" s="1637"/>
      <c r="BG244" s="1470"/>
      <c r="BH244" s="1637"/>
      <c r="BI244" s="1470"/>
      <c r="BJ244" s="1637"/>
      <c r="BK244" s="1470"/>
      <c r="BL244" s="1637"/>
      <c r="BM244" s="1470"/>
    </row>
    <row r="245" spans="1:65" ht="10.5" hidden="1" customHeight="1" outlineLevel="1">
      <c r="A245" s="1470" t="str">
        <f t="shared" si="1"/>
        <v xml:space="preserve">  Year</v>
      </c>
      <c r="B245" s="1470"/>
      <c r="C245" s="1722" t="e">
        <f>(R245/R238-1)*100</f>
        <v>#DIV/0!</v>
      </c>
      <c r="D245" s="1470"/>
      <c r="E245" s="1610">
        <v>-22.3</v>
      </c>
      <c r="F245" s="1470"/>
      <c r="G245" s="1565" t="e">
        <f>C245-E245</f>
        <v>#DIV/0!</v>
      </c>
      <c r="H245" s="1470"/>
      <c r="I245" s="1470"/>
      <c r="J245" s="1470"/>
      <c r="K245" s="1534">
        <f>AVERAGEA(K241:K244)</f>
        <v>111.375</v>
      </c>
      <c r="L245" s="1470"/>
      <c r="M245" s="1534">
        <f>(K245/K238-1)*100</f>
        <v>0.67796610169490457</v>
      </c>
      <c r="N245" s="1470"/>
      <c r="O245" s="1535" t="e">
        <f>(G245/M245)*100</f>
        <v>#DIV/0!</v>
      </c>
      <c r="P245" s="1470"/>
      <c r="Q245" s="1470"/>
      <c r="R245" s="1537"/>
      <c r="S245" s="1470"/>
      <c r="T245" s="1539">
        <f>SUM(T241:T244)</f>
        <v>0</v>
      </c>
      <c r="U245" s="1470"/>
      <c r="V245" s="1584" t="e">
        <f>T245/T238-1</f>
        <v>#DIV/0!</v>
      </c>
      <c r="W245" s="1470"/>
      <c r="X245" s="1470"/>
      <c r="Y245" s="1470"/>
      <c r="Z245" s="1574">
        <f>AVERAGEA(Z241:Z244)</f>
        <v>0.35316062500000001</v>
      </c>
      <c r="AA245" s="1470"/>
      <c r="AB245" s="1534">
        <f>(Z245/Z238-1)*100</f>
        <v>5.0359763047870043</v>
      </c>
      <c r="AC245" s="1470"/>
      <c r="AD245" s="1535" t="e">
        <f>(G245/AB245)*100</f>
        <v>#DIV/0!</v>
      </c>
      <c r="AE245" s="1472"/>
      <c r="AF245" s="1472"/>
      <c r="AG245" s="1537">
        <f>SUM(AG241:AG244)</f>
        <v>0</v>
      </c>
      <c r="AH245" s="1538"/>
      <c r="AI245" s="1585">
        <f>SUM(AI241:AI244)</f>
        <v>0</v>
      </c>
      <c r="AJ245" s="1479"/>
      <c r="AK245" s="1584" t="e">
        <f>AI245/AI238-1</f>
        <v>#DIV/0!</v>
      </c>
      <c r="AL245" s="1470"/>
      <c r="AM245" s="1710"/>
      <c r="AN245" s="1710"/>
      <c r="AO245" s="1710"/>
      <c r="AP245" s="1710"/>
      <c r="AQ245" s="1710"/>
      <c r="AR245" s="1710"/>
      <c r="AS245" s="1710"/>
      <c r="AT245" s="1710"/>
      <c r="AU245" s="1710"/>
      <c r="AV245" s="1473"/>
      <c r="AW245" s="1710"/>
      <c r="AX245" s="1718"/>
      <c r="AY245" s="1710"/>
      <c r="AZ245" s="1309"/>
      <c r="BA245" s="1309"/>
      <c r="BB245" s="1309"/>
      <c r="BC245" s="1637"/>
      <c r="BD245" s="1637"/>
      <c r="BE245" s="1637"/>
      <c r="BF245" s="1637"/>
      <c r="BG245" s="1470"/>
      <c r="BH245" s="1637"/>
      <c r="BI245" s="1470"/>
      <c r="BJ245" s="1637"/>
      <c r="BK245" s="1470"/>
      <c r="BL245" s="1637"/>
      <c r="BM245" s="1470"/>
    </row>
    <row r="246" spans="1:65" ht="10.5" hidden="1" customHeight="1" outlineLevel="1">
      <c r="A246" s="1470"/>
      <c r="B246" s="1470"/>
      <c r="C246" s="1470"/>
      <c r="D246" s="1470"/>
      <c r="E246" s="1470"/>
      <c r="F246" s="1470"/>
      <c r="G246" s="1470"/>
      <c r="H246" s="1470"/>
      <c r="I246" s="1470"/>
      <c r="J246" s="1470"/>
      <c r="K246" s="1470"/>
      <c r="L246" s="1470"/>
      <c r="M246" s="1470"/>
      <c r="N246" s="1470"/>
      <c r="O246" s="1476"/>
      <c r="P246" s="1470"/>
      <c r="Q246" s="1470"/>
      <c r="R246" s="1470"/>
      <c r="S246" s="1472"/>
      <c r="T246" s="1479"/>
      <c r="U246" s="1479"/>
      <c r="V246" s="1479"/>
      <c r="W246" s="1479"/>
      <c r="X246" s="1470"/>
      <c r="Y246" s="1470"/>
      <c r="Z246" s="1470"/>
      <c r="AA246" s="1470"/>
      <c r="AB246" s="1470"/>
      <c r="AC246" s="1470"/>
      <c r="AD246" s="1476"/>
      <c r="AE246" s="1470"/>
      <c r="AF246" s="1470"/>
      <c r="AG246" s="1470"/>
      <c r="AH246" s="1472"/>
      <c r="AI246" s="1479"/>
      <c r="AJ246" s="1479"/>
      <c r="AK246" s="1479"/>
      <c r="AL246" s="1470"/>
      <c r="AM246" s="1470"/>
      <c r="AN246" s="1472"/>
      <c r="AO246" s="1470"/>
      <c r="AP246" s="1470"/>
      <c r="AQ246" s="1470"/>
      <c r="AR246" s="1470"/>
      <c r="AS246" s="1470"/>
      <c r="AT246" s="1470"/>
      <c r="AU246" s="1470"/>
      <c r="AV246" s="1473"/>
      <c r="AW246" s="1470"/>
      <c r="AX246" s="1470"/>
      <c r="AY246" s="1470"/>
      <c r="AZ246" s="1470"/>
      <c r="BA246" s="1470"/>
      <c r="BB246" s="1470"/>
      <c r="BC246" s="1470"/>
      <c r="BD246" s="1470"/>
      <c r="BE246" s="1470"/>
      <c r="BF246" s="1470"/>
      <c r="BG246" s="1470"/>
      <c r="BH246" s="1470"/>
      <c r="BI246" s="1470"/>
      <c r="BJ246" s="1470"/>
      <c r="BK246" s="1470"/>
      <c r="BL246" s="1470"/>
      <c r="BM246" s="1470"/>
    </row>
    <row r="247" spans="1:65" ht="10.5" hidden="1" customHeight="1" outlineLevel="1">
      <c r="A247" s="1505" t="str">
        <f t="shared" si="1"/>
        <v>2003A</v>
      </c>
      <c r="B247" s="1470"/>
      <c r="C247" s="1472"/>
      <c r="D247" s="1470"/>
      <c r="E247" s="1470"/>
      <c r="F247" s="1470"/>
      <c r="G247" s="1470"/>
      <c r="H247" s="1470"/>
      <c r="I247" s="1470"/>
      <c r="J247" s="1470"/>
      <c r="K247" s="1470"/>
      <c r="L247" s="1470"/>
      <c r="M247" s="1470"/>
      <c r="N247" s="1470"/>
      <c r="O247" s="1476"/>
      <c r="P247" s="1470"/>
      <c r="Q247" s="1470"/>
      <c r="R247" s="1706"/>
      <c r="S247" s="1706"/>
      <c r="T247" s="1473"/>
      <c r="U247" s="1543"/>
      <c r="V247" s="1473"/>
      <c r="W247" s="1543"/>
      <c r="X247" s="1470"/>
      <c r="Y247" s="1470"/>
      <c r="Z247" s="1470"/>
      <c r="AA247" s="1470"/>
      <c r="AB247" s="1470"/>
      <c r="AC247" s="1470"/>
      <c r="AD247" s="1476"/>
      <c r="AE247" s="1470"/>
      <c r="AF247" s="1470"/>
      <c r="AG247" s="1470"/>
      <c r="AH247" s="1472"/>
      <c r="AI247" s="1479"/>
      <c r="AJ247" s="1479"/>
      <c r="AK247" s="1479"/>
      <c r="AL247" s="1470"/>
      <c r="AM247" s="1707"/>
      <c r="AN247" s="1707"/>
      <c r="AO247" s="1707"/>
      <c r="AP247" s="1707"/>
      <c r="AQ247" s="1707"/>
      <c r="AR247" s="1707"/>
      <c r="AS247" s="1707"/>
      <c r="AT247" s="1707"/>
      <c r="AU247" s="1707"/>
      <c r="AV247" s="1473"/>
      <c r="AW247" s="1707"/>
      <c r="AX247" s="1707"/>
      <c r="AY247" s="1707"/>
      <c r="AZ247" s="1716"/>
      <c r="BA247" s="1716"/>
      <c r="BB247" s="1716"/>
      <c r="BC247" s="1637"/>
      <c r="BD247" s="1637"/>
      <c r="BE247" s="1637"/>
      <c r="BF247" s="1637"/>
      <c r="BG247" s="1470"/>
      <c r="BH247" s="1637"/>
      <c r="BI247" s="1470"/>
      <c r="BJ247" s="1637"/>
      <c r="BK247" s="1470"/>
      <c r="BL247" s="1637"/>
      <c r="BM247" s="1470"/>
    </row>
    <row r="248" spans="1:65" ht="10.5" hidden="1" customHeight="1" outlineLevel="1">
      <c r="A248" s="1470" t="str">
        <f t="shared" si="1"/>
        <v>1st Qtr</v>
      </c>
      <c r="B248" s="1470"/>
      <c r="C248" s="1717" t="e">
        <f>(R248/R241-1)*100</f>
        <v>#DIV/0!</v>
      </c>
      <c r="D248" s="1470" t="s">
        <v>697</v>
      </c>
      <c r="E248" s="1703">
        <v>-15.3</v>
      </c>
      <c r="F248" s="1470" t="s">
        <v>697</v>
      </c>
      <c r="G248" s="1565" t="e">
        <f>C248-E248</f>
        <v>#DIV/0!</v>
      </c>
      <c r="H248" s="1470" t="s">
        <v>697</v>
      </c>
      <c r="I248" s="1602">
        <f>+I244</f>
        <v>111</v>
      </c>
      <c r="J248" s="1470"/>
      <c r="K248" s="1534">
        <f>(I248+I244)/2</f>
        <v>111</v>
      </c>
      <c r="L248" s="1470"/>
      <c r="M248" s="1723">
        <f>(K248/K241-1)*100</f>
        <v>-0.89285714285713969</v>
      </c>
      <c r="N248" s="1470"/>
      <c r="O248" s="1723" t="e">
        <f>(G248/M248)*100</f>
        <v>#DIV/0!</v>
      </c>
      <c r="P248" s="1470"/>
      <c r="Q248" s="1470"/>
      <c r="R248" s="1538"/>
      <c r="S248" s="1470"/>
      <c r="T248" s="1539">
        <f xml:space="preserve"> R248/K248</f>
        <v>0</v>
      </c>
      <c r="U248" s="1470"/>
      <c r="V248" s="1584" t="e">
        <f>T248/T241-1</f>
        <v>#DIV/0!</v>
      </c>
      <c r="W248" s="1470"/>
      <c r="X248" s="1612">
        <v>0.353325</v>
      </c>
      <c r="Y248" s="1470"/>
      <c r="Z248" s="1574">
        <f>(X248+X244)/2</f>
        <v>0.35329749999999999</v>
      </c>
      <c r="AA248" s="1470"/>
      <c r="AB248" s="1534">
        <f>(Z248/Z241-1)*100</f>
        <v>-0.24381566575651936</v>
      </c>
      <c r="AC248" s="1573" t="s">
        <v>697</v>
      </c>
      <c r="AD248" s="1535" t="e">
        <f>(G248/AB248)*100</f>
        <v>#DIV/0!</v>
      </c>
      <c r="AE248" s="1573" t="s">
        <v>697</v>
      </c>
      <c r="AF248" s="1573"/>
      <c r="AG248" s="1538">
        <f>R248</f>
        <v>0</v>
      </c>
      <c r="AH248" s="1557"/>
      <c r="AI248" s="1585">
        <f xml:space="preserve"> AG248/Z248</f>
        <v>0</v>
      </c>
      <c r="AJ248" s="1479"/>
      <c r="AK248" s="1584" t="e">
        <f>AI248/AI241-1</f>
        <v>#DIV/0!</v>
      </c>
      <c r="AL248" s="1470"/>
      <c r="AM248" s="1718"/>
      <c r="AN248" s="1718"/>
      <c r="AO248" s="1718"/>
      <c r="AP248" s="1718"/>
      <c r="AQ248" s="1718"/>
      <c r="AR248" s="1718"/>
      <c r="AS248" s="1718"/>
      <c r="AT248" s="1718"/>
      <c r="AU248" s="1718"/>
      <c r="AV248" s="1473"/>
      <c r="AW248" s="1718"/>
      <c r="AX248" s="1718"/>
      <c r="AY248" s="1710"/>
      <c r="AZ248" s="1309"/>
      <c r="BA248" s="1309"/>
      <c r="BB248" s="1309"/>
      <c r="BC248" s="1637"/>
      <c r="BD248" s="1637"/>
      <c r="BE248" s="1637"/>
      <c r="BF248" s="1637"/>
      <c r="BG248" s="1470"/>
      <c r="BH248" s="1637"/>
      <c r="BI248" s="1470"/>
      <c r="BJ248" s="1637"/>
      <c r="BK248" s="1470"/>
      <c r="BL248" s="1637"/>
      <c r="BM248" s="1470"/>
    </row>
    <row r="249" spans="1:65" ht="10.5" hidden="1" customHeight="1" outlineLevel="1">
      <c r="A249" s="1470" t="str">
        <f t="shared" si="1"/>
        <v>2nd Qtr</v>
      </c>
      <c r="B249" s="1470"/>
      <c r="C249" s="1717" t="e">
        <f>(R249/R242-1)*100</f>
        <v>#DIV/0!</v>
      </c>
      <c r="D249" s="1470"/>
      <c r="E249" s="1703">
        <v>-8.3000000000000007</v>
      </c>
      <c r="F249" s="1470"/>
      <c r="G249" s="1565" t="e">
        <f>C249-E249</f>
        <v>#DIV/0!</v>
      </c>
      <c r="H249" s="1470"/>
      <c r="I249" s="1602">
        <f>+I248</f>
        <v>111</v>
      </c>
      <c r="J249" s="1470"/>
      <c r="K249" s="1534">
        <f>AVERAGEA(I248,I249)</f>
        <v>111</v>
      </c>
      <c r="L249" s="1470"/>
      <c r="M249" s="1534">
        <f>(K249/K242-1)*100</f>
        <v>-0.4484304932735439</v>
      </c>
      <c r="N249" s="1470"/>
      <c r="O249" s="1723" t="e">
        <f>(G249/M249)*100</f>
        <v>#DIV/0!</v>
      </c>
      <c r="P249" s="1470"/>
      <c r="Q249" s="1470"/>
      <c r="R249" s="1605"/>
      <c r="S249" s="1470"/>
      <c r="T249" s="1255">
        <f xml:space="preserve"> R249/K249</f>
        <v>0</v>
      </c>
      <c r="U249" s="1470"/>
      <c r="V249" s="1584" t="e">
        <f>T249/T242-1</f>
        <v>#DIV/0!</v>
      </c>
      <c r="W249" s="1470"/>
      <c r="X249" s="1612">
        <v>0.35420600000000002</v>
      </c>
      <c r="Y249" s="1470"/>
      <c r="Z249" s="1574">
        <f>AVERAGEA(X248,X249)</f>
        <v>0.35376550000000001</v>
      </c>
      <c r="AA249" s="1470"/>
      <c r="AB249" s="1534">
        <f>(Z249/Z242-1)*100</f>
        <v>6.6189292891860596E-2</v>
      </c>
      <c r="AC249" s="1573"/>
      <c r="AD249" s="1535" t="e">
        <f>(G249/AB249)*100</f>
        <v>#DIV/0!</v>
      </c>
      <c r="AE249" s="1573"/>
      <c r="AF249" s="1573"/>
      <c r="AG249" s="1557">
        <f>R249</f>
        <v>0</v>
      </c>
      <c r="AH249" s="1557"/>
      <c r="AI249" s="1587">
        <f xml:space="preserve"> AG249/Z249</f>
        <v>0</v>
      </c>
      <c r="AJ249" s="1479"/>
      <c r="AK249" s="1584" t="e">
        <f>AI249/AI242-1</f>
        <v>#DIV/0!</v>
      </c>
      <c r="AL249" s="1470"/>
      <c r="AM249" s="1676"/>
      <c r="AN249" s="1676"/>
      <c r="AO249" s="1676"/>
      <c r="AP249" s="1676"/>
      <c r="AQ249" s="1676"/>
      <c r="AR249" s="1676"/>
      <c r="AS249" s="1676"/>
      <c r="AT249" s="1676"/>
      <c r="AU249" s="1676"/>
      <c r="AV249" s="1473"/>
      <c r="AW249" s="1676"/>
      <c r="AX249" s="1676"/>
      <c r="AY249" s="1676"/>
      <c r="AZ249" s="1309"/>
      <c r="BA249" s="1309"/>
      <c r="BB249" s="1309"/>
      <c r="BC249" s="1637"/>
      <c r="BD249" s="1637"/>
      <c r="BE249" s="1637"/>
      <c r="BF249" s="1637"/>
      <c r="BG249" s="1470"/>
      <c r="BH249" s="1637"/>
      <c r="BI249" s="1470"/>
      <c r="BJ249" s="1637"/>
      <c r="BK249" s="1470"/>
      <c r="BL249" s="1637"/>
      <c r="BM249" s="1470"/>
    </row>
    <row r="250" spans="1:65" ht="10.5" hidden="1" customHeight="1" outlineLevel="1">
      <c r="A250" s="1470" t="str">
        <f t="shared" si="1"/>
        <v>3rd Qtr</v>
      </c>
      <c r="B250" s="1470"/>
      <c r="C250" s="1717" t="e">
        <f>(R250/R243-1)*100</f>
        <v>#DIV/0!</v>
      </c>
      <c r="D250" s="1470"/>
      <c r="E250" s="1703">
        <v>-9.1</v>
      </c>
      <c r="F250" s="1470"/>
      <c r="G250" s="1565" t="e">
        <f>C250-E250</f>
        <v>#DIV/0!</v>
      </c>
      <c r="H250" s="1470"/>
      <c r="I250" s="1602">
        <f>+I249</f>
        <v>111</v>
      </c>
      <c r="J250" s="1470"/>
      <c r="K250" s="1534">
        <f>AVERAGEA(I249,I250)</f>
        <v>111</v>
      </c>
      <c r="L250" s="1470"/>
      <c r="M250" s="1534">
        <f>(K250/K243-1)*100</f>
        <v>0</v>
      </c>
      <c r="N250" s="1470"/>
      <c r="O250" s="1724" t="s">
        <v>714</v>
      </c>
      <c r="P250" s="1470"/>
      <c r="Q250" s="1470"/>
      <c r="R250" s="1605"/>
      <c r="S250" s="1470"/>
      <c r="T250" s="1255">
        <f xml:space="preserve"> R250/K250</f>
        <v>0</v>
      </c>
      <c r="U250" s="1470"/>
      <c r="V250" s="1584" t="e">
        <f>T250/T243-1</f>
        <v>#DIV/0!</v>
      </c>
      <c r="W250" s="1470"/>
      <c r="X250" s="1612">
        <v>0.35420600000000002</v>
      </c>
      <c r="Y250" s="1470"/>
      <c r="Z250" s="1574">
        <f>AVERAGEA(X249,X250)</f>
        <v>0.35420600000000002</v>
      </c>
      <c r="AA250" s="1470"/>
      <c r="AB250" s="1534">
        <f>(Z250/Z243-1)*100</f>
        <v>0.56670736208512817</v>
      </c>
      <c r="AC250" s="1573"/>
      <c r="AD250" s="1535" t="e">
        <f>(G250/AB250)*100</f>
        <v>#DIV/0!</v>
      </c>
      <c r="AE250" s="1573"/>
      <c r="AF250" s="1573"/>
      <c r="AG250" s="1557">
        <f>R250</f>
        <v>0</v>
      </c>
      <c r="AH250" s="1557"/>
      <c r="AI250" s="1587">
        <f xml:space="preserve"> AG250/Z250</f>
        <v>0</v>
      </c>
      <c r="AJ250" s="1479"/>
      <c r="AK250" s="1584" t="e">
        <f>AI250/AI243-1</f>
        <v>#DIV/0!</v>
      </c>
      <c r="AL250" s="1470"/>
      <c r="AM250" s="1676"/>
      <c r="AN250" s="1676"/>
      <c r="AO250" s="1676"/>
      <c r="AP250" s="1676"/>
      <c r="AQ250" s="1676"/>
      <c r="AR250" s="1676"/>
      <c r="AS250" s="1676"/>
      <c r="AT250" s="1676"/>
      <c r="AU250" s="1676"/>
      <c r="AV250" s="1473"/>
      <c r="AW250" s="1676"/>
      <c r="AX250" s="1676"/>
      <c r="AY250" s="1676"/>
      <c r="AZ250" s="1309"/>
      <c r="BA250" s="1309"/>
      <c r="BB250" s="1309"/>
      <c r="BC250" s="1637"/>
      <c r="BD250" s="1637"/>
      <c r="BE250" s="1637"/>
      <c r="BF250" s="1637"/>
      <c r="BG250" s="1470"/>
      <c r="BH250" s="1637"/>
      <c r="BI250" s="1470"/>
      <c r="BJ250" s="1637"/>
      <c r="BK250" s="1470"/>
      <c r="BL250" s="1637"/>
      <c r="BM250" s="1470"/>
    </row>
    <row r="251" spans="1:65" ht="10.5" hidden="1" customHeight="1" outlineLevel="1">
      <c r="A251" s="1470" t="str">
        <f t="shared" si="1"/>
        <v>4th Qtr</v>
      </c>
      <c r="B251" s="1470"/>
      <c r="C251" s="1719" t="e">
        <f>(R251/R244-1)*100</f>
        <v>#DIV/0!</v>
      </c>
      <c r="D251" s="1470"/>
      <c r="E251" s="1702">
        <v>0.8</v>
      </c>
      <c r="F251" s="1470"/>
      <c r="G251" s="1570" t="e">
        <f>C251-E251</f>
        <v>#DIV/0!</v>
      </c>
      <c r="H251" s="1470"/>
      <c r="I251" s="1470">
        <f>+yrSales!K78</f>
        <v>110</v>
      </c>
      <c r="J251" s="1470"/>
      <c r="K251" s="1545">
        <f>AVERAGEA(I250,I251)</f>
        <v>110.5</v>
      </c>
      <c r="L251" s="1470"/>
      <c r="M251" s="1545">
        <f>(K251/K244-1)*100</f>
        <v>-0.45045045045044585</v>
      </c>
      <c r="N251" s="1470"/>
      <c r="O251" s="1725" t="s">
        <v>714</v>
      </c>
      <c r="P251" s="1470"/>
      <c r="Q251" s="1470"/>
      <c r="R251" s="1607"/>
      <c r="S251" s="1470"/>
      <c r="T251" s="1562">
        <f xml:space="preserve"> R251/K251</f>
        <v>0</v>
      </c>
      <c r="U251" s="1470"/>
      <c r="V251" s="1589" t="e">
        <f>T251/T244-1</f>
        <v>#DIV/0!</v>
      </c>
      <c r="W251" s="1470"/>
      <c r="X251" s="1601">
        <f>+yrSales!K88</f>
        <v>0.35420600000000002</v>
      </c>
      <c r="Y251" s="1470"/>
      <c r="Z251" s="1577">
        <f>AVERAGEA(X250,X251)</f>
        <v>0.35420600000000002</v>
      </c>
      <c r="AA251" s="1470"/>
      <c r="AB251" s="1545">
        <f>(Z251/Z244-1)*100</f>
        <v>0.41560356069627602</v>
      </c>
      <c r="AC251" s="1573"/>
      <c r="AD251" s="1475" t="e">
        <f>(G251/AB251)*100</f>
        <v>#DIV/0!</v>
      </c>
      <c r="AE251" s="1573"/>
      <c r="AF251" s="1573"/>
      <c r="AG251" s="1544">
        <f>R251</f>
        <v>0</v>
      </c>
      <c r="AH251" s="1557"/>
      <c r="AI251" s="1590">
        <f xml:space="preserve"> AG251/Z251</f>
        <v>0</v>
      </c>
      <c r="AJ251" s="1479"/>
      <c r="AK251" s="1589" t="e">
        <f>AI251/AI244-1</f>
        <v>#DIV/0!</v>
      </c>
      <c r="AL251" s="1470"/>
      <c r="AM251" s="1676"/>
      <c r="AN251" s="1676"/>
      <c r="AO251" s="1676"/>
      <c r="AP251" s="1676"/>
      <c r="AQ251" s="1676"/>
      <c r="AR251" s="1676"/>
      <c r="AS251" s="1676"/>
      <c r="AT251" s="1676"/>
      <c r="AU251" s="1676"/>
      <c r="AV251" s="1473"/>
      <c r="AW251" s="1676"/>
      <c r="AX251" s="1676"/>
      <c r="AY251" s="1676"/>
      <c r="AZ251" s="1721"/>
      <c r="BA251" s="1721"/>
      <c r="BB251" s="1721"/>
      <c r="BC251" s="1637"/>
      <c r="BD251" s="1637"/>
      <c r="BE251" s="1637"/>
      <c r="BF251" s="1637"/>
      <c r="BG251" s="1470"/>
      <c r="BH251" s="1637"/>
      <c r="BI251" s="1470"/>
      <c r="BJ251" s="1637"/>
      <c r="BK251" s="1470"/>
      <c r="BL251" s="1637"/>
      <c r="BM251" s="1470"/>
    </row>
    <row r="252" spans="1:65" ht="10.5" hidden="1" customHeight="1" outlineLevel="1">
      <c r="A252" s="1470" t="str">
        <f t="shared" si="1"/>
        <v xml:space="preserve">  Year</v>
      </c>
      <c r="B252" s="1470"/>
      <c r="C252" s="1722" t="e">
        <f>(R252/R245-1)*100</f>
        <v>#DIV/0!</v>
      </c>
      <c r="D252" s="1470"/>
      <c r="E252" s="1610">
        <v>-7.3</v>
      </c>
      <c r="F252" s="1470"/>
      <c r="G252" s="1565" t="e">
        <f>C252-E252</f>
        <v>#DIV/0!</v>
      </c>
      <c r="H252" s="1470"/>
      <c r="I252" s="1470"/>
      <c r="J252" s="1470"/>
      <c r="K252" s="1534">
        <f>AVERAGEA(K248:K251)</f>
        <v>110.875</v>
      </c>
      <c r="L252" s="1470"/>
      <c r="M252" s="1534">
        <f>(K252/K245-1)*100</f>
        <v>-0.44893378226711356</v>
      </c>
      <c r="N252" s="1470"/>
      <c r="O252" s="1535" t="e">
        <f>(G252/M252)*100</f>
        <v>#DIV/0!</v>
      </c>
      <c r="P252" s="1470"/>
      <c r="Q252" s="1470"/>
      <c r="R252" s="1537"/>
      <c r="S252" s="1470"/>
      <c r="T252" s="1539">
        <f>SUM(T248:T251)</f>
        <v>0</v>
      </c>
      <c r="U252" s="1470"/>
      <c r="V252" s="1584" t="e">
        <f>T252/T245-1</f>
        <v>#DIV/0!</v>
      </c>
      <c r="W252" s="1470"/>
      <c r="X252" s="1470"/>
      <c r="Y252" s="1470"/>
      <c r="Z252" s="1574">
        <f>AVERAGEA(Z248:Z251)</f>
        <v>0.35386875000000001</v>
      </c>
      <c r="AA252" s="1470"/>
      <c r="AB252" s="1534">
        <f>(Z252/Z245-1)*100</f>
        <v>0.2005107449337018</v>
      </c>
      <c r="AC252" s="1470"/>
      <c r="AD252" s="1535" t="e">
        <f>(G252/AB252)*100</f>
        <v>#DIV/0!</v>
      </c>
      <c r="AE252" s="1472"/>
      <c r="AF252" s="1472"/>
      <c r="AG252" s="1537">
        <f>SUM(AG248:AG251)</f>
        <v>0</v>
      </c>
      <c r="AH252" s="1538"/>
      <c r="AI252" s="1585">
        <f>SUM(AI248:AI251)</f>
        <v>0</v>
      </c>
      <c r="AJ252" s="1479"/>
      <c r="AK252" s="1584" t="e">
        <f>AI252/AI245-1</f>
        <v>#DIV/0!</v>
      </c>
      <c r="AL252" s="1470"/>
      <c r="AM252" s="1710"/>
      <c r="AN252" s="1710"/>
      <c r="AO252" s="1710"/>
      <c r="AP252" s="1710"/>
      <c r="AQ252" s="1710"/>
      <c r="AR252" s="1710"/>
      <c r="AS252" s="1710"/>
      <c r="AT252" s="1710"/>
      <c r="AU252" s="1710"/>
      <c r="AV252" s="1473"/>
      <c r="AW252" s="1710"/>
      <c r="AX252" s="1718"/>
      <c r="AY252" s="1710"/>
      <c r="AZ252" s="1309"/>
      <c r="BA252" s="1309"/>
      <c r="BB252" s="1309"/>
      <c r="BC252" s="1637"/>
      <c r="BD252" s="1637"/>
      <c r="BE252" s="1637"/>
      <c r="BF252" s="1637"/>
      <c r="BG252" s="1470"/>
      <c r="BH252" s="1637"/>
      <c r="BI252" s="1470"/>
      <c r="BJ252" s="1637"/>
      <c r="BK252" s="1470"/>
      <c r="BL252" s="1637"/>
      <c r="BM252" s="1470"/>
    </row>
    <row r="253" spans="1:65" ht="10.5" hidden="1" customHeight="1" outlineLevel="1">
      <c r="A253" s="1470"/>
      <c r="B253" s="1470"/>
      <c r="C253" s="1470"/>
      <c r="D253" s="1470"/>
      <c r="E253" s="1470"/>
      <c r="F253" s="1470"/>
      <c r="G253" s="1470"/>
      <c r="H253" s="1470"/>
      <c r="I253" s="1470"/>
      <c r="J253" s="1470"/>
      <c r="K253" s="1470"/>
      <c r="L253" s="1470"/>
      <c r="M253" s="1470"/>
      <c r="N253" s="1470"/>
      <c r="O253" s="1476"/>
      <c r="P253" s="1470"/>
      <c r="Q253" s="1470"/>
      <c r="R253" s="1470"/>
      <c r="S253" s="1472"/>
      <c r="T253" s="1479"/>
      <c r="U253" s="1479"/>
      <c r="V253" s="1479"/>
      <c r="W253" s="1479"/>
      <c r="X253" s="1470"/>
      <c r="Y253" s="1470"/>
      <c r="Z253" s="1470"/>
      <c r="AA253" s="1470"/>
      <c r="AB253" s="1470"/>
      <c r="AC253" s="1470"/>
      <c r="AD253" s="1476"/>
      <c r="AE253" s="1470"/>
      <c r="AF253" s="1470"/>
      <c r="AG253" s="1470"/>
      <c r="AH253" s="1472"/>
      <c r="AI253" s="1479"/>
      <c r="AJ253" s="1479"/>
      <c r="AK253" s="1479"/>
      <c r="AL253" s="1470"/>
      <c r="AM253" s="1470"/>
      <c r="AN253" s="1472"/>
      <c r="AO253" s="1470"/>
      <c r="AP253" s="1470"/>
      <c r="AQ253" s="1470"/>
      <c r="AR253" s="1470"/>
      <c r="AS253" s="1470"/>
      <c r="AT253" s="1470"/>
      <c r="AU253" s="1470"/>
      <c r="AV253" s="1473"/>
      <c r="AW253" s="1470"/>
      <c r="AX253" s="1470"/>
      <c r="AY253" s="1470"/>
      <c r="AZ253" s="1470"/>
      <c r="BA253" s="1470"/>
      <c r="BB253" s="1470"/>
      <c r="BC253" s="1470"/>
      <c r="BD253" s="1470"/>
      <c r="BE253" s="1470"/>
      <c r="BF253" s="1470"/>
      <c r="BG253" s="1470"/>
      <c r="BH253" s="1470"/>
      <c r="BI253" s="1470"/>
      <c r="BJ253" s="1470"/>
      <c r="BK253" s="1470"/>
      <c r="BL253" s="1470"/>
      <c r="BM253" s="1470"/>
    </row>
    <row r="254" spans="1:65" ht="10.5" hidden="1" customHeight="1" outlineLevel="1">
      <c r="A254" s="1505" t="str">
        <f>+A113</f>
        <v>2004A</v>
      </c>
      <c r="B254" s="1470"/>
      <c r="C254" s="1472"/>
      <c r="D254" s="1470"/>
      <c r="E254" s="1470"/>
      <c r="F254" s="1470"/>
      <c r="G254" s="1470"/>
      <c r="H254" s="1470"/>
      <c r="I254" s="1470"/>
      <c r="J254" s="1470"/>
      <c r="K254" s="1470"/>
      <c r="L254" s="1470"/>
      <c r="M254" s="1470"/>
      <c r="N254" s="1470"/>
      <c r="O254" s="1476"/>
      <c r="P254" s="1470"/>
      <c r="Q254" s="1470"/>
      <c r="R254" s="1706"/>
      <c r="S254" s="1706"/>
      <c r="T254" s="1473"/>
      <c r="U254" s="1543"/>
      <c r="V254" s="1473"/>
      <c r="W254" s="1543"/>
      <c r="X254" s="1470"/>
      <c r="Y254" s="1470"/>
      <c r="Z254" s="1470"/>
      <c r="AA254" s="1470"/>
      <c r="AB254" s="1470"/>
      <c r="AC254" s="1470"/>
      <c r="AD254" s="1476"/>
      <c r="AE254" s="1470"/>
      <c r="AF254" s="1470"/>
      <c r="AG254" s="1470"/>
      <c r="AH254" s="1472"/>
      <c r="AI254" s="1479"/>
      <c r="AJ254" s="1479"/>
      <c r="AK254" s="1479"/>
      <c r="AL254" s="1470"/>
      <c r="AM254" s="1707"/>
      <c r="AN254" s="1707"/>
      <c r="AO254" s="1707"/>
      <c r="AP254" s="1707"/>
      <c r="AQ254" s="1707"/>
      <c r="AR254" s="1707"/>
      <c r="AS254" s="1707"/>
      <c r="AT254" s="1707"/>
      <c r="AU254" s="1707"/>
      <c r="AV254" s="1473"/>
      <c r="AW254" s="1707"/>
      <c r="AX254" s="1707"/>
      <c r="AY254" s="1707"/>
      <c r="AZ254" s="1716"/>
      <c r="BA254" s="1716"/>
      <c r="BB254" s="1716"/>
      <c r="BC254" s="1637"/>
      <c r="BD254" s="1637"/>
      <c r="BE254" s="1637"/>
      <c r="BF254" s="1637"/>
      <c r="BG254" s="1470"/>
      <c r="BH254" s="1637"/>
      <c r="BI254" s="1470"/>
      <c r="BJ254" s="1637"/>
      <c r="BK254" s="1470"/>
      <c r="BL254" s="1637"/>
      <c r="BM254" s="1470"/>
    </row>
    <row r="255" spans="1:65" ht="10.5" hidden="1" customHeight="1" outlineLevel="1">
      <c r="A255" s="1470" t="str">
        <f t="shared" si="1"/>
        <v>1st Qtr</v>
      </c>
      <c r="B255" s="1470"/>
      <c r="C255" s="1717" t="e">
        <f>(R255/R248-1)*100</f>
        <v>#DIV/0!</v>
      </c>
      <c r="D255" s="1470" t="s">
        <v>697</v>
      </c>
      <c r="E255" s="1726">
        <v>9.3000000000000007</v>
      </c>
      <c r="F255" s="1470" t="s">
        <v>697</v>
      </c>
      <c r="G255" s="1565" t="e">
        <f>C255-E255</f>
        <v>#DIV/0!</v>
      </c>
      <c r="H255" s="1470" t="s">
        <v>697</v>
      </c>
      <c r="I255" s="1602">
        <v>109</v>
      </c>
      <c r="J255" s="1470"/>
      <c r="K255" s="1534">
        <f>(I255+I251)/2</f>
        <v>109.5</v>
      </c>
      <c r="L255" s="1470"/>
      <c r="M255" s="1727">
        <f>(K255/K248-1)*100</f>
        <v>-1.3513513513513487</v>
      </c>
      <c r="N255" s="1470"/>
      <c r="O255" s="1723" t="e">
        <f>(G255/M255)*100</f>
        <v>#DIV/0!</v>
      </c>
      <c r="P255" s="1470"/>
      <c r="Q255" s="1470"/>
      <c r="R255" s="1538"/>
      <c r="S255" s="1470"/>
      <c r="T255" s="1539">
        <f xml:space="preserve"> R255/K255</f>
        <v>0</v>
      </c>
      <c r="U255" s="1470"/>
      <c r="V255" s="1584" t="e">
        <f>T255/T248-1</f>
        <v>#DIV/0!</v>
      </c>
      <c r="W255" s="1470"/>
      <c r="X255" s="1612">
        <v>0.349661</v>
      </c>
      <c r="Y255" s="1470"/>
      <c r="Z255" s="1574">
        <f>(X255+X251)/2</f>
        <v>0.35193350000000001</v>
      </c>
      <c r="AA255" s="1470"/>
      <c r="AB255" s="1534">
        <f>(Z255/Z248-1)*100</f>
        <v>-0.38607688987325472</v>
      </c>
      <c r="AC255" s="1573" t="s">
        <v>697</v>
      </c>
      <c r="AD255" s="1728" t="s">
        <v>578</v>
      </c>
      <c r="AE255" s="1573" t="s">
        <v>697</v>
      </c>
      <c r="AF255" s="1573"/>
      <c r="AG255" s="1538">
        <f>R255</f>
        <v>0</v>
      </c>
      <c r="AH255" s="1557"/>
      <c r="AI255" s="1585">
        <f xml:space="preserve"> AG255/Z255</f>
        <v>0</v>
      </c>
      <c r="AJ255" s="1479"/>
      <c r="AK255" s="1584" t="e">
        <f>AI255/AI248-1</f>
        <v>#DIV/0!</v>
      </c>
      <c r="AL255" s="1470"/>
      <c r="AM255" s="1718"/>
      <c r="AN255" s="1718"/>
      <c r="AO255" s="1718"/>
      <c r="AP255" s="1718"/>
      <c r="AQ255" s="1718"/>
      <c r="AR255" s="1718"/>
      <c r="AS255" s="1718"/>
      <c r="AT255" s="1718"/>
      <c r="AU255" s="1718"/>
      <c r="AV255" s="1473"/>
      <c r="AW255" s="1718"/>
      <c r="AX255" s="1718"/>
      <c r="AY255" s="1710"/>
      <c r="AZ255" s="1309"/>
      <c r="BA255" s="1309"/>
      <c r="BB255" s="1309"/>
      <c r="BC255" s="1637"/>
      <c r="BD255" s="1637"/>
      <c r="BE255" s="1637"/>
      <c r="BF255" s="1637"/>
      <c r="BG255" s="1470"/>
      <c r="BH255" s="1637"/>
      <c r="BI255" s="1470"/>
      <c r="BJ255" s="1637"/>
      <c r="BK255" s="1470"/>
      <c r="BL255" s="1637"/>
      <c r="BM255" s="1470"/>
    </row>
    <row r="256" spans="1:65" ht="10.5" hidden="1" customHeight="1" outlineLevel="1">
      <c r="A256" s="1470" t="str">
        <f t="shared" si="1"/>
        <v>2nd Qtr</v>
      </c>
      <c r="B256" s="1470"/>
      <c r="C256" s="1717" t="e">
        <f>(R256/R249-1)*100</f>
        <v>#DIV/0!</v>
      </c>
      <c r="D256" s="1470"/>
      <c r="E256" s="1703">
        <v>-4.2</v>
      </c>
      <c r="F256" s="1470"/>
      <c r="G256" s="1565" t="e">
        <f>C256-E256</f>
        <v>#DIV/0!</v>
      </c>
      <c r="H256" s="1470"/>
      <c r="I256" s="1602">
        <v>107</v>
      </c>
      <c r="J256" s="1470"/>
      <c r="K256" s="1534">
        <f>AVERAGEA(I255,I256)</f>
        <v>108</v>
      </c>
      <c r="L256" s="1470"/>
      <c r="M256" s="1534">
        <f>(K256/K249-1)*100</f>
        <v>-2.7027027027026973</v>
      </c>
      <c r="N256" s="1470"/>
      <c r="O256" s="1723" t="e">
        <f>(G256/M256)*100</f>
        <v>#DIV/0!</v>
      </c>
      <c r="P256" s="1470"/>
      <c r="Q256" s="1470"/>
      <c r="R256" s="1605"/>
      <c r="S256" s="1470"/>
      <c r="T256" s="1255">
        <f xml:space="preserve"> R256/K256</f>
        <v>0</v>
      </c>
      <c r="U256" s="1470"/>
      <c r="V256" s="1584" t="e">
        <f>T256/T249-1</f>
        <v>#DIV/0!</v>
      </c>
      <c r="W256" s="1470"/>
      <c r="X256" s="1612">
        <v>0.348306</v>
      </c>
      <c r="Y256" s="1470"/>
      <c r="Z256" s="1574">
        <f>AVERAGEA(X255,X256)</f>
        <v>0.3489835</v>
      </c>
      <c r="AA256" s="1470"/>
      <c r="AB256" s="1534">
        <f>(Z256/Z249-1)*100</f>
        <v>-1.3517428918308871</v>
      </c>
      <c r="AC256" s="1573"/>
      <c r="AD256" s="1728" t="s">
        <v>578</v>
      </c>
      <c r="AE256" s="1573"/>
      <c r="AF256" s="1573"/>
      <c r="AG256" s="1557">
        <f>R256</f>
        <v>0</v>
      </c>
      <c r="AH256" s="1557"/>
      <c r="AI256" s="1587">
        <f xml:space="preserve"> AG256/Z256</f>
        <v>0</v>
      </c>
      <c r="AJ256" s="1479"/>
      <c r="AK256" s="1584" t="e">
        <f>AI256/AI249-1</f>
        <v>#DIV/0!</v>
      </c>
      <c r="AL256" s="1470"/>
      <c r="AM256" s="1676"/>
      <c r="AN256" s="1676"/>
      <c r="AO256" s="1676"/>
      <c r="AP256" s="1676"/>
      <c r="AQ256" s="1676"/>
      <c r="AR256" s="1676"/>
      <c r="AS256" s="1676"/>
      <c r="AT256" s="1676"/>
      <c r="AU256" s="1676"/>
      <c r="AV256" s="1473"/>
      <c r="AW256" s="1676"/>
      <c r="AX256" s="1676"/>
      <c r="AY256" s="1676"/>
      <c r="AZ256" s="1309"/>
      <c r="BA256" s="1309"/>
      <c r="BB256" s="1309"/>
      <c r="BC256" s="1637"/>
      <c r="BD256" s="1637"/>
      <c r="BE256" s="1637"/>
      <c r="BF256" s="1637"/>
      <c r="BG256" s="1470"/>
      <c r="BH256" s="1637"/>
      <c r="BI256" s="1470"/>
      <c r="BJ256" s="1637"/>
      <c r="BK256" s="1470"/>
      <c r="BL256" s="1637"/>
      <c r="BM256" s="1470"/>
    </row>
    <row r="257" spans="1:65" ht="10.5" hidden="1" customHeight="1" outlineLevel="1">
      <c r="A257" s="1470" t="str">
        <f t="shared" si="1"/>
        <v>3rd Qtr</v>
      </c>
      <c r="B257" s="1470"/>
      <c r="C257" s="1717" t="e">
        <f>(R257/R250-1)*100</f>
        <v>#DIV/0!</v>
      </c>
      <c r="D257" s="1470"/>
      <c r="E257" s="1703">
        <v>-0.9</v>
      </c>
      <c r="F257" s="1470"/>
      <c r="G257" s="1565" t="e">
        <f>C257-E257</f>
        <v>#DIV/0!</v>
      </c>
      <c r="H257" s="1470"/>
      <c r="I257" s="1602">
        <v>108</v>
      </c>
      <c r="J257" s="1470"/>
      <c r="K257" s="1534">
        <f>AVERAGEA(I256,I257)</f>
        <v>107.5</v>
      </c>
      <c r="L257" s="1470"/>
      <c r="M257" s="1534">
        <f>(K257/K250-1)*100</f>
        <v>-3.1531531531531543</v>
      </c>
      <c r="N257" s="1470"/>
      <c r="O257" s="1723" t="e">
        <f>(G257/M257)*100</f>
        <v>#DIV/0!</v>
      </c>
      <c r="P257" s="1470"/>
      <c r="Q257" s="1470"/>
      <c r="R257" s="1605"/>
      <c r="S257" s="1470"/>
      <c r="T257" s="1255">
        <f xml:space="preserve"> R257/K257</f>
        <v>0</v>
      </c>
      <c r="U257" s="1470"/>
      <c r="V257" s="1584" t="e">
        <f>T257/T250-1</f>
        <v>#DIV/0!</v>
      </c>
      <c r="W257" s="1470"/>
      <c r="X257" s="1601">
        <f>+X256</f>
        <v>0.348306</v>
      </c>
      <c r="Y257" s="1470"/>
      <c r="Z257" s="1574">
        <f>AVERAGEA(X256,X257)</f>
        <v>0.348306</v>
      </c>
      <c r="AA257" s="1470"/>
      <c r="AB257" s="1534">
        <f>(Z257/Z250-1)*100</f>
        <v>-1.6656973625517435</v>
      </c>
      <c r="AC257" s="1573"/>
      <c r="AD257" s="1728" t="s">
        <v>578</v>
      </c>
      <c r="AE257" s="1573"/>
      <c r="AF257" s="1573"/>
      <c r="AG257" s="1557">
        <f>R257</f>
        <v>0</v>
      </c>
      <c r="AH257" s="1557"/>
      <c r="AI257" s="1587">
        <f xml:space="preserve"> AG257/Z257</f>
        <v>0</v>
      </c>
      <c r="AJ257" s="1479"/>
      <c r="AK257" s="1584" t="e">
        <f>AI257/AI250-1</f>
        <v>#DIV/0!</v>
      </c>
      <c r="AL257" s="1470"/>
      <c r="AM257" s="1676"/>
      <c r="AN257" s="1676"/>
      <c r="AO257" s="1676"/>
      <c r="AP257" s="1676"/>
      <c r="AQ257" s="1676"/>
      <c r="AR257" s="1676"/>
      <c r="AS257" s="1676"/>
      <c r="AT257" s="1676"/>
      <c r="AU257" s="1676"/>
      <c r="AV257" s="1473"/>
      <c r="AW257" s="1676"/>
      <c r="AX257" s="1676"/>
      <c r="AY257" s="1676"/>
      <c r="AZ257" s="1309"/>
      <c r="BA257" s="1309"/>
      <c r="BB257" s="1309"/>
      <c r="BC257" s="1637"/>
      <c r="BD257" s="1637"/>
      <c r="BE257" s="1637"/>
      <c r="BF257" s="1637"/>
      <c r="BG257" s="1470"/>
      <c r="BH257" s="1637"/>
      <c r="BI257" s="1470"/>
      <c r="BJ257" s="1637"/>
      <c r="BK257" s="1470"/>
      <c r="BL257" s="1637"/>
      <c r="BM257" s="1470"/>
    </row>
    <row r="258" spans="1:65" ht="10.5" hidden="1" customHeight="1" outlineLevel="1">
      <c r="A258" s="1470" t="str">
        <f t="shared" si="1"/>
        <v>4th Qtr</v>
      </c>
      <c r="B258" s="1470"/>
      <c r="C258" s="1729" t="s">
        <v>714</v>
      </c>
      <c r="D258" s="1470"/>
      <c r="E258" s="1702">
        <v>0</v>
      </c>
      <c r="F258" s="1470"/>
      <c r="G258" s="1712" t="s">
        <v>714</v>
      </c>
      <c r="H258" s="1470"/>
      <c r="I258" s="1470">
        <f>+yrSales!L$78</f>
        <v>0</v>
      </c>
      <c r="J258" s="1470"/>
      <c r="K258" s="1545">
        <f>AVERAGEA(I257,I258)</f>
        <v>54</v>
      </c>
      <c r="L258" s="1470"/>
      <c r="M258" s="1545">
        <f>(K258/K251-1)*100</f>
        <v>-51.13122171945701</v>
      </c>
      <c r="N258" s="1470"/>
      <c r="O258" s="1725" t="s">
        <v>578</v>
      </c>
      <c r="P258" s="1470"/>
      <c r="Q258" s="1470"/>
      <c r="R258" s="1607"/>
      <c r="S258" s="1470"/>
      <c r="T258" s="1562">
        <f xml:space="preserve"> R258/K258</f>
        <v>0</v>
      </c>
      <c r="U258" s="1470"/>
      <c r="V258" s="1589" t="e">
        <f>T258/T251-1</f>
        <v>#DIV/0!</v>
      </c>
      <c r="W258" s="1470"/>
      <c r="X258" s="1601">
        <f>+yrSales!L$88</f>
        <v>0.34799999999999998</v>
      </c>
      <c r="Y258" s="1470"/>
      <c r="Z258" s="1577">
        <f>AVERAGEA(X257,X258)</f>
        <v>0.34815299999999999</v>
      </c>
      <c r="AA258" s="1470"/>
      <c r="AB258" s="1545">
        <f>(Z258/Z251-1)*100</f>
        <v>-1.7088925653433451</v>
      </c>
      <c r="AC258" s="1573"/>
      <c r="AD258" s="1725" t="s">
        <v>578</v>
      </c>
      <c r="AE258" s="1573"/>
      <c r="AF258" s="1573"/>
      <c r="AG258" s="1544">
        <f>R258</f>
        <v>0</v>
      </c>
      <c r="AH258" s="1557"/>
      <c r="AI258" s="1590">
        <f xml:space="preserve"> AG258/Z258</f>
        <v>0</v>
      </c>
      <c r="AJ258" s="1479"/>
      <c r="AK258" s="1589" t="e">
        <f>AI258/AI251-1</f>
        <v>#DIV/0!</v>
      </c>
      <c r="AL258" s="1470"/>
      <c r="AM258" s="1676"/>
      <c r="AN258" s="1676"/>
      <c r="AO258" s="1676"/>
      <c r="AP258" s="1676"/>
      <c r="AQ258" s="1676"/>
      <c r="AR258" s="1676"/>
      <c r="AS258" s="1676"/>
      <c r="AT258" s="1676"/>
      <c r="AU258" s="1676"/>
      <c r="AV258" s="1473"/>
      <c r="AW258" s="1676"/>
      <c r="AX258" s="1676"/>
      <c r="AY258" s="1676"/>
      <c r="AZ258" s="1721"/>
      <c r="BA258" s="1721"/>
      <c r="BB258" s="1721"/>
      <c r="BC258" s="1637"/>
      <c r="BD258" s="1637"/>
      <c r="BE258" s="1637"/>
      <c r="BF258" s="1637"/>
      <c r="BG258" s="1470"/>
      <c r="BH258" s="1637"/>
      <c r="BI258" s="1470"/>
      <c r="BJ258" s="1637"/>
      <c r="BK258" s="1470"/>
      <c r="BL258" s="1637"/>
      <c r="BM258" s="1470"/>
    </row>
    <row r="259" spans="1:65" ht="10.5" hidden="1" customHeight="1" outlineLevel="1">
      <c r="A259" s="1470" t="str">
        <f t="shared" si="1"/>
        <v xml:space="preserve">  Year</v>
      </c>
      <c r="B259" s="1470"/>
      <c r="C259" s="1722" t="e">
        <f>(R259/R252-1)*100</f>
        <v>#DIV/0!</v>
      </c>
      <c r="D259" s="1470"/>
      <c r="E259" s="1579" t="e">
        <f>R255/R259*E255+R256/R259*E256+R257/R259*E257+R258/R259*E258</f>
        <v>#DIV/0!</v>
      </c>
      <c r="F259" s="1470"/>
      <c r="G259" s="1565" t="e">
        <f>C259-E259</f>
        <v>#DIV/0!</v>
      </c>
      <c r="H259" s="1470"/>
      <c r="I259" s="1470"/>
      <c r="J259" s="1470"/>
      <c r="K259" s="1534">
        <f>AVERAGEA(K255:K258)</f>
        <v>94.75</v>
      </c>
      <c r="L259" s="1470"/>
      <c r="M259" s="1534">
        <f>(K259/K252-1)*100</f>
        <v>-14.543404735062005</v>
      </c>
      <c r="N259" s="1470"/>
      <c r="O259" s="1728" t="s">
        <v>578</v>
      </c>
      <c r="P259" s="1470"/>
      <c r="Q259" s="1470"/>
      <c r="R259" s="1537"/>
      <c r="S259" s="1470"/>
      <c r="T259" s="1539">
        <f>SUM(T255:T258)</f>
        <v>0</v>
      </c>
      <c r="U259" s="1470"/>
      <c r="V259" s="1584" t="e">
        <f>T259/T252-1</f>
        <v>#DIV/0!</v>
      </c>
      <c r="W259" s="1470"/>
      <c r="X259" s="1470"/>
      <c r="Y259" s="1470"/>
      <c r="Z259" s="1574">
        <f>AVERAGEA(Z255:Z258)</f>
        <v>0.34934399999999999</v>
      </c>
      <c r="AA259" s="1470"/>
      <c r="AB259" s="1534">
        <f>(Z259/Z252-1)*100</f>
        <v>-1.2786520426005477</v>
      </c>
      <c r="AC259" s="1470"/>
      <c r="AD259" s="1728" t="s">
        <v>578</v>
      </c>
      <c r="AE259" s="1472"/>
      <c r="AF259" s="1472"/>
      <c r="AG259" s="1537">
        <f>SUM(AG255:AG258)</f>
        <v>0</v>
      </c>
      <c r="AH259" s="1538"/>
      <c r="AI259" s="1585">
        <f>SUM(AI255:AI258)</f>
        <v>0</v>
      </c>
      <c r="AJ259" s="1479"/>
      <c r="AK259" s="1584" t="e">
        <f>AI259/AI252-1</f>
        <v>#DIV/0!</v>
      </c>
      <c r="AL259" s="1470"/>
      <c r="AM259" s="1710"/>
      <c r="AN259" s="1710"/>
      <c r="AO259" s="1710"/>
      <c r="AP259" s="1710"/>
      <c r="AQ259" s="1710"/>
      <c r="AR259" s="1710"/>
      <c r="AS259" s="1710"/>
      <c r="AT259" s="1710"/>
      <c r="AU259" s="1710"/>
      <c r="AV259" s="1473"/>
      <c r="AW259" s="1710"/>
      <c r="AX259" s="1718"/>
      <c r="AY259" s="1710"/>
      <c r="AZ259" s="1309"/>
      <c r="BA259" s="1309"/>
      <c r="BB259" s="1309"/>
      <c r="BC259" s="1637"/>
      <c r="BD259" s="1637"/>
      <c r="BE259" s="1637"/>
      <c r="BF259" s="1637"/>
      <c r="BG259" s="1470"/>
      <c r="BH259" s="1637"/>
      <c r="BI259" s="1470"/>
      <c r="BJ259" s="1637"/>
      <c r="BK259" s="1470"/>
      <c r="BL259" s="1637"/>
      <c r="BM259" s="1470"/>
    </row>
    <row r="260" spans="1:65" ht="10.5" hidden="1" customHeight="1" outlineLevel="1">
      <c r="A260" s="1470"/>
      <c r="B260" s="1470"/>
      <c r="C260" s="1470"/>
      <c r="D260" s="1470"/>
      <c r="E260" s="1470"/>
      <c r="F260" s="1470"/>
      <c r="G260" s="1470"/>
      <c r="H260" s="1470"/>
      <c r="I260" s="1470"/>
      <c r="J260" s="1470"/>
      <c r="K260" s="1470"/>
      <c r="L260" s="1470"/>
      <c r="M260" s="1470"/>
      <c r="N260" s="1470"/>
      <c r="O260" s="1476"/>
      <c r="P260" s="1470"/>
      <c r="Q260" s="1470"/>
      <c r="R260" s="1470"/>
      <c r="S260" s="1472"/>
      <c r="T260" s="1479"/>
      <c r="U260" s="1479"/>
      <c r="V260" s="1479"/>
      <c r="W260" s="1479"/>
      <c r="X260" s="1470"/>
      <c r="Y260" s="1470"/>
      <c r="Z260" s="1470"/>
      <c r="AA260" s="1470"/>
      <c r="AB260" s="1470"/>
      <c r="AC260" s="1470"/>
      <c r="AD260" s="1476"/>
      <c r="AE260" s="1470"/>
      <c r="AF260" s="1470"/>
      <c r="AG260" s="1470"/>
      <c r="AH260" s="1472"/>
      <c r="AI260" s="1479"/>
      <c r="AJ260" s="1479"/>
      <c r="AK260" s="1479"/>
      <c r="AL260" s="1470"/>
      <c r="AM260" s="1470"/>
      <c r="AN260" s="1472"/>
      <c r="AO260" s="1470"/>
      <c r="AP260" s="1470"/>
      <c r="AQ260" s="1470"/>
      <c r="AR260" s="1470"/>
      <c r="AS260" s="1470"/>
      <c r="AT260" s="1470"/>
      <c r="AU260" s="1470"/>
      <c r="AV260" s="1473"/>
      <c r="AW260" s="1470"/>
      <c r="AX260" s="1470"/>
      <c r="AY260" s="1470"/>
      <c r="AZ260" s="1470"/>
      <c r="BA260" s="1470"/>
      <c r="BB260" s="1470"/>
      <c r="BC260" s="1470"/>
      <c r="BD260" s="1470"/>
      <c r="BE260" s="1470"/>
      <c r="BF260" s="1470"/>
      <c r="BG260" s="1470"/>
      <c r="BH260" s="1470"/>
      <c r="BI260" s="1470"/>
      <c r="BJ260" s="1470"/>
      <c r="BK260" s="1470"/>
      <c r="BL260" s="1470"/>
      <c r="BM260" s="1470"/>
    </row>
    <row r="261" spans="1:65" ht="10.5" hidden="1" customHeight="1" outlineLevel="1">
      <c r="A261" s="1505" t="str">
        <f>+A120</f>
        <v>2005A</v>
      </c>
      <c r="B261" s="1470"/>
      <c r="C261" s="1472"/>
      <c r="D261" s="1470"/>
      <c r="E261" s="1470"/>
      <c r="F261" s="1470"/>
      <c r="G261" s="1470"/>
      <c r="H261" s="1470"/>
      <c r="I261" s="1470"/>
      <c r="J261" s="1470"/>
      <c r="K261" s="1470"/>
      <c r="L261" s="1470"/>
      <c r="M261" s="1470"/>
      <c r="N261" s="1470"/>
      <c r="O261" s="1476"/>
      <c r="P261" s="1470"/>
      <c r="Q261" s="1470"/>
      <c r="R261" s="1706"/>
      <c r="S261" s="1706"/>
      <c r="T261" s="1473"/>
      <c r="U261" s="1543"/>
      <c r="V261" s="1473"/>
      <c r="W261" s="1543"/>
      <c r="X261" s="1470"/>
      <c r="Y261" s="1470"/>
      <c r="Z261" s="1470"/>
      <c r="AA261" s="1470"/>
      <c r="AB261" s="1470"/>
      <c r="AC261" s="1470"/>
      <c r="AD261" s="1476"/>
      <c r="AE261" s="1470"/>
      <c r="AF261" s="1470"/>
      <c r="AG261" s="1470"/>
      <c r="AH261" s="1472"/>
      <c r="AI261" s="1479"/>
      <c r="AJ261" s="1479"/>
      <c r="AK261" s="1479"/>
      <c r="AL261" s="1470"/>
      <c r="AM261" s="1707"/>
      <c r="AN261" s="1707"/>
      <c r="AO261" s="1707"/>
      <c r="AP261" s="1707"/>
      <c r="AQ261" s="1707"/>
      <c r="AR261" s="1707"/>
      <c r="AS261" s="1707"/>
      <c r="AT261" s="1707"/>
      <c r="AU261" s="1707"/>
      <c r="AV261" s="1473"/>
      <c r="AW261" s="1707"/>
      <c r="AX261" s="1707"/>
      <c r="AY261" s="1707"/>
      <c r="AZ261" s="1716"/>
      <c r="BA261" s="1716"/>
      <c r="BB261" s="1716"/>
      <c r="BC261" s="1637"/>
      <c r="BD261" s="1637"/>
      <c r="BE261" s="1637"/>
      <c r="BF261" s="1637"/>
      <c r="BG261" s="1470"/>
      <c r="BH261" s="1637"/>
      <c r="BI261" s="1470"/>
      <c r="BJ261" s="1637"/>
      <c r="BK261" s="1470"/>
      <c r="BL261" s="1637"/>
      <c r="BM261" s="1470"/>
    </row>
    <row r="262" spans="1:65" ht="10.5" hidden="1" customHeight="1" outlineLevel="1">
      <c r="A262" s="1470" t="str">
        <f>A121</f>
        <v>1st Qtr</v>
      </c>
      <c r="B262" s="1470"/>
      <c r="C262" s="1717">
        <f>+E262+G262</f>
        <v>0</v>
      </c>
      <c r="D262" s="1470" t="s">
        <v>697</v>
      </c>
      <c r="E262" s="1703"/>
      <c r="F262" s="1470" t="s">
        <v>697</v>
      </c>
      <c r="G262" s="1595"/>
      <c r="H262" s="1470" t="s">
        <v>697</v>
      </c>
      <c r="I262" s="1602">
        <v>0</v>
      </c>
      <c r="J262" s="1470"/>
      <c r="K262" s="1534">
        <v>0</v>
      </c>
      <c r="L262" s="1470"/>
      <c r="M262" s="1727">
        <f>(K262/K255-1)*100</f>
        <v>-100</v>
      </c>
      <c r="N262" s="1470"/>
      <c r="O262" s="1728" t="s">
        <v>578</v>
      </c>
      <c r="P262" s="1470"/>
      <c r="Q262" s="1470"/>
      <c r="R262" s="1538"/>
      <c r="S262" s="1470"/>
      <c r="T262" s="1539" t="e">
        <f xml:space="preserve"> R262/K262</f>
        <v>#DIV/0!</v>
      </c>
      <c r="U262" s="1470"/>
      <c r="V262" s="1584" t="e">
        <f>T262/T255-1</f>
        <v>#DIV/0!</v>
      </c>
      <c r="W262" s="1470"/>
      <c r="X262" s="1601">
        <v>0</v>
      </c>
      <c r="Y262" s="1470"/>
      <c r="Z262" s="1574">
        <v>0</v>
      </c>
      <c r="AA262" s="1470"/>
      <c r="AB262" s="1534">
        <f>(Z262/Z255-1)*100</f>
        <v>-100</v>
      </c>
      <c r="AC262" s="1573" t="s">
        <v>697</v>
      </c>
      <c r="AD262" s="1728" t="s">
        <v>578</v>
      </c>
      <c r="AE262" s="1573" t="s">
        <v>697</v>
      </c>
      <c r="AF262" s="1573"/>
      <c r="AG262" s="1538">
        <f>R262</f>
        <v>0</v>
      </c>
      <c r="AH262" s="1557"/>
      <c r="AI262" s="1585" t="e">
        <f xml:space="preserve"> AG262/Z262</f>
        <v>#DIV/0!</v>
      </c>
      <c r="AJ262" s="1479"/>
      <c r="AK262" s="1584" t="e">
        <f>AI262/AI255-1</f>
        <v>#DIV/0!</v>
      </c>
      <c r="AL262" s="1470"/>
      <c r="AM262" s="1718"/>
      <c r="AN262" s="1718"/>
      <c r="AO262" s="1718"/>
      <c r="AP262" s="1718"/>
      <c r="AQ262" s="1718"/>
      <c r="AR262" s="1718"/>
      <c r="AS262" s="1718"/>
      <c r="AT262" s="1718"/>
      <c r="AU262" s="1718"/>
      <c r="AV262" s="1473"/>
      <c r="AW262" s="1718"/>
      <c r="AX262" s="1718"/>
      <c r="AY262" s="1710"/>
      <c r="AZ262" s="1309"/>
      <c r="BA262" s="1309"/>
      <c r="BB262" s="1309"/>
      <c r="BC262" s="1637"/>
      <c r="BD262" s="1637"/>
      <c r="BE262" s="1637"/>
      <c r="BF262" s="1637"/>
      <c r="BG262" s="1470"/>
      <c r="BH262" s="1637"/>
      <c r="BI262" s="1470"/>
      <c r="BJ262" s="1637"/>
      <c r="BK262" s="1470"/>
      <c r="BL262" s="1637"/>
      <c r="BM262" s="1470"/>
    </row>
    <row r="263" spans="1:65" ht="10.5" hidden="1" customHeight="1" outlineLevel="1">
      <c r="A263" s="1470" t="str">
        <f>A122</f>
        <v>2nd Qtr</v>
      </c>
      <c r="B263" s="1470"/>
      <c r="C263" s="1717">
        <f>+E263+G263</f>
        <v>0</v>
      </c>
      <c r="D263" s="1470"/>
      <c r="E263" s="1703"/>
      <c r="F263" s="1470"/>
      <c r="G263" s="1595"/>
      <c r="H263" s="1470"/>
      <c r="I263" s="1602">
        <v>0</v>
      </c>
      <c r="J263" s="1470"/>
      <c r="K263" s="1534">
        <f>AVERAGEA(I262,I263)</f>
        <v>0</v>
      </c>
      <c r="L263" s="1470"/>
      <c r="M263" s="1534">
        <f>(K263/K256-1)*100</f>
        <v>-100</v>
      </c>
      <c r="N263" s="1470"/>
      <c r="O263" s="1728" t="s">
        <v>578</v>
      </c>
      <c r="P263" s="1470"/>
      <c r="Q263" s="1470"/>
      <c r="R263" s="1605"/>
      <c r="S263" s="1470"/>
      <c r="T263" s="1255" t="e">
        <f xml:space="preserve"> R263/K263</f>
        <v>#DIV/0!</v>
      </c>
      <c r="U263" s="1470"/>
      <c r="V263" s="1584" t="e">
        <f>T263/T256-1</f>
        <v>#DIV/0!</v>
      </c>
      <c r="W263" s="1470"/>
      <c r="X263" s="1601">
        <v>0</v>
      </c>
      <c r="Y263" s="1470"/>
      <c r="Z263" s="1574">
        <f>AVERAGEA(X262,X263)</f>
        <v>0</v>
      </c>
      <c r="AA263" s="1470"/>
      <c r="AB263" s="1534">
        <f>(Z263/Z256-1)*100</f>
        <v>-100</v>
      </c>
      <c r="AC263" s="1573"/>
      <c r="AD263" s="1728" t="s">
        <v>578</v>
      </c>
      <c r="AE263" s="1573"/>
      <c r="AF263" s="1573"/>
      <c r="AG263" s="1557">
        <f>R263</f>
        <v>0</v>
      </c>
      <c r="AH263" s="1557"/>
      <c r="AI263" s="1587" t="e">
        <f xml:space="preserve"> AG263/Z263</f>
        <v>#DIV/0!</v>
      </c>
      <c r="AJ263" s="1479"/>
      <c r="AK263" s="1584" t="e">
        <f>AI263/AI256-1</f>
        <v>#DIV/0!</v>
      </c>
      <c r="AL263" s="1470"/>
      <c r="AM263" s="1676"/>
      <c r="AN263" s="1676"/>
      <c r="AO263" s="1676"/>
      <c r="AP263" s="1676"/>
      <c r="AQ263" s="1676"/>
      <c r="AR263" s="1676"/>
      <c r="AS263" s="1676"/>
      <c r="AT263" s="1676"/>
      <c r="AU263" s="1676"/>
      <c r="AV263" s="1473"/>
      <c r="AW263" s="1676"/>
      <c r="AX263" s="1676"/>
      <c r="AY263" s="1676"/>
      <c r="AZ263" s="1309"/>
      <c r="BA263" s="1309"/>
      <c r="BB263" s="1309"/>
      <c r="BC263" s="1637"/>
      <c r="BD263" s="1637"/>
      <c r="BE263" s="1637"/>
      <c r="BF263" s="1637"/>
      <c r="BG263" s="1470"/>
      <c r="BH263" s="1637"/>
      <c r="BI263" s="1470"/>
      <c r="BJ263" s="1637"/>
      <c r="BK263" s="1470"/>
      <c r="BL263" s="1637"/>
      <c r="BM263" s="1470"/>
    </row>
    <row r="264" spans="1:65" ht="10.5" hidden="1" customHeight="1" outlineLevel="1">
      <c r="A264" s="1470" t="str">
        <f>A123</f>
        <v>3rd Qtr</v>
      </c>
      <c r="B264" s="1470"/>
      <c r="C264" s="1717">
        <f>+E264+G264</f>
        <v>0</v>
      </c>
      <c r="D264" s="1470"/>
      <c r="E264" s="1703"/>
      <c r="F264" s="1470"/>
      <c r="G264" s="1595"/>
      <c r="H264" s="1470"/>
      <c r="I264" s="1602">
        <v>0</v>
      </c>
      <c r="J264" s="1470"/>
      <c r="K264" s="1534">
        <f>AVERAGEA(I263,I264)</f>
        <v>0</v>
      </c>
      <c r="L264" s="1470"/>
      <c r="M264" s="1534">
        <f>(K264/K257-1)*100</f>
        <v>-100</v>
      </c>
      <c r="N264" s="1470"/>
      <c r="O264" s="1728" t="s">
        <v>578</v>
      </c>
      <c r="P264" s="1470"/>
      <c r="Q264" s="1470"/>
      <c r="R264" s="1605"/>
      <c r="S264" s="1470"/>
      <c r="T264" s="1255" t="e">
        <f xml:space="preserve"> R264/K264</f>
        <v>#DIV/0!</v>
      </c>
      <c r="U264" s="1470"/>
      <c r="V264" s="1584" t="e">
        <f>T264/T257-1</f>
        <v>#DIV/0!</v>
      </c>
      <c r="W264" s="1470"/>
      <c r="X264" s="1601">
        <v>0</v>
      </c>
      <c r="Y264" s="1470"/>
      <c r="Z264" s="1574">
        <f>AVERAGEA(X263,X264)</f>
        <v>0</v>
      </c>
      <c r="AA264" s="1470"/>
      <c r="AB264" s="1534">
        <f>(Z264/Z257-1)*100</f>
        <v>-100</v>
      </c>
      <c r="AC264" s="1573"/>
      <c r="AD264" s="1728" t="s">
        <v>578</v>
      </c>
      <c r="AE264" s="1573"/>
      <c r="AF264" s="1573"/>
      <c r="AG264" s="1557">
        <f>R264</f>
        <v>0</v>
      </c>
      <c r="AH264" s="1557"/>
      <c r="AI264" s="1587" t="e">
        <f xml:space="preserve"> AG264/Z264</f>
        <v>#DIV/0!</v>
      </c>
      <c r="AJ264" s="1479"/>
      <c r="AK264" s="1584" t="e">
        <f>AI264/AI257-1</f>
        <v>#DIV/0!</v>
      </c>
      <c r="AL264" s="1470"/>
      <c r="AM264" s="1676"/>
      <c r="AN264" s="1676"/>
      <c r="AO264" s="1676"/>
      <c r="AP264" s="1676"/>
      <c r="AQ264" s="1676"/>
      <c r="AR264" s="1676"/>
      <c r="AS264" s="1676"/>
      <c r="AT264" s="1676"/>
      <c r="AU264" s="1676"/>
      <c r="AV264" s="1473"/>
      <c r="AW264" s="1676"/>
      <c r="AX264" s="1676"/>
      <c r="AY264" s="1676"/>
      <c r="AZ264" s="1309"/>
      <c r="BA264" s="1309"/>
      <c r="BB264" s="1309"/>
      <c r="BC264" s="1637"/>
      <c r="BD264" s="1637"/>
      <c r="BE264" s="1637"/>
      <c r="BF264" s="1637"/>
      <c r="BG264" s="1470"/>
      <c r="BH264" s="1637"/>
      <c r="BI264" s="1470"/>
      <c r="BJ264" s="1637"/>
      <c r="BK264" s="1470"/>
      <c r="BL264" s="1637"/>
      <c r="BM264" s="1470"/>
    </row>
    <row r="265" spans="1:65" ht="10.5" hidden="1" customHeight="1" outlineLevel="1">
      <c r="A265" s="1470" t="str">
        <f>A124</f>
        <v>4th Qtr</v>
      </c>
      <c r="B265" s="1470"/>
      <c r="C265" s="1719">
        <f>+E265+G265</f>
        <v>0</v>
      </c>
      <c r="D265" s="1470"/>
      <c r="E265" s="1702"/>
      <c r="F265" s="1470"/>
      <c r="G265" s="1596"/>
      <c r="H265" s="1470"/>
      <c r="I265" s="1470">
        <v>0</v>
      </c>
      <c r="J265" s="1470"/>
      <c r="K265" s="1545">
        <f>AVERAGEA(I264,I265)</f>
        <v>0</v>
      </c>
      <c r="L265" s="1470"/>
      <c r="M265" s="1545">
        <f>(K265/K258-1)*100</f>
        <v>-100</v>
      </c>
      <c r="N265" s="1470"/>
      <c r="O265" s="1725" t="s">
        <v>578</v>
      </c>
      <c r="P265" s="1470"/>
      <c r="Q265" s="1470"/>
      <c r="R265" s="1607"/>
      <c r="S265" s="1470"/>
      <c r="T265" s="1562" t="e">
        <f xml:space="preserve"> R265/K265</f>
        <v>#DIV/0!</v>
      </c>
      <c r="U265" s="1470"/>
      <c r="V265" s="1589" t="e">
        <f>T265/T258-1</f>
        <v>#DIV/0!</v>
      </c>
      <c r="W265" s="1470"/>
      <c r="X265" s="1601">
        <v>0</v>
      </c>
      <c r="Y265" s="1470"/>
      <c r="Z265" s="1577">
        <f>AVERAGEA(X264,X265)</f>
        <v>0</v>
      </c>
      <c r="AA265" s="1470"/>
      <c r="AB265" s="1545">
        <f>(Z265/Z258-1)*100</f>
        <v>-100</v>
      </c>
      <c r="AC265" s="1573"/>
      <c r="AD265" s="1725" t="s">
        <v>578</v>
      </c>
      <c r="AE265" s="1573"/>
      <c r="AF265" s="1573"/>
      <c r="AG265" s="1544">
        <f>R265</f>
        <v>0</v>
      </c>
      <c r="AH265" s="1557"/>
      <c r="AI265" s="1590" t="e">
        <f xml:space="preserve"> AG265/Z265</f>
        <v>#DIV/0!</v>
      </c>
      <c r="AJ265" s="1479"/>
      <c r="AK265" s="1589" t="e">
        <f>AI265/AI258-1</f>
        <v>#DIV/0!</v>
      </c>
      <c r="AL265" s="1470"/>
      <c r="AM265" s="1676"/>
      <c r="AN265" s="1676"/>
      <c r="AO265" s="1676"/>
      <c r="AP265" s="1676"/>
      <c r="AQ265" s="1676"/>
      <c r="AR265" s="1676"/>
      <c r="AS265" s="1676"/>
      <c r="AT265" s="1676"/>
      <c r="AU265" s="1676"/>
      <c r="AV265" s="1473"/>
      <c r="AW265" s="1676"/>
      <c r="AX265" s="1676"/>
      <c r="AY265" s="1676"/>
      <c r="AZ265" s="1721"/>
      <c r="BA265" s="1721"/>
      <c r="BB265" s="1721"/>
      <c r="BC265" s="1637"/>
      <c r="BD265" s="1637"/>
      <c r="BE265" s="1637"/>
      <c r="BF265" s="1637"/>
      <c r="BG265" s="1470"/>
      <c r="BH265" s="1637"/>
      <c r="BI265" s="1470"/>
      <c r="BJ265" s="1637"/>
      <c r="BK265" s="1470"/>
      <c r="BL265" s="1637"/>
      <c r="BM265" s="1470"/>
    </row>
    <row r="266" spans="1:65" ht="10.5" hidden="1" customHeight="1" outlineLevel="1">
      <c r="A266" s="1470" t="str">
        <f>A125</f>
        <v xml:space="preserve">  Year</v>
      </c>
      <c r="B266" s="1470"/>
      <c r="C266" s="1722" t="e">
        <f>(R266/R259-1)*100</f>
        <v>#DIV/0!</v>
      </c>
      <c r="D266" s="1470"/>
      <c r="E266" s="1579" t="e">
        <f>R262/R266*E262+R263/R266*E263+R264/R266*E264+R265/R266*E265</f>
        <v>#DIV/0!</v>
      </c>
      <c r="F266" s="1470"/>
      <c r="G266" s="1565" t="e">
        <f>C266-E266</f>
        <v>#DIV/0!</v>
      </c>
      <c r="H266" s="1470"/>
      <c r="I266" s="1470"/>
      <c r="J266" s="1470"/>
      <c r="K266" s="1534">
        <f>AVERAGEA(K262:K265)</f>
        <v>0</v>
      </c>
      <c r="L266" s="1470"/>
      <c r="M266" s="1534">
        <f>(K266/K259-1)*100</f>
        <v>-100</v>
      </c>
      <c r="N266" s="1470"/>
      <c r="O266" s="1728" t="s">
        <v>578</v>
      </c>
      <c r="P266" s="1470"/>
      <c r="Q266" s="1470"/>
      <c r="R266" s="1537"/>
      <c r="S266" s="1470"/>
      <c r="T266" s="1539" t="e">
        <f>SUM(T262:T265)</f>
        <v>#DIV/0!</v>
      </c>
      <c r="U266" s="1470"/>
      <c r="V266" s="1584" t="e">
        <f>T266/T259-1</f>
        <v>#DIV/0!</v>
      </c>
      <c r="W266" s="1470"/>
      <c r="X266" s="1470"/>
      <c r="Y266" s="1470"/>
      <c r="Z266" s="1574">
        <f>AVERAGEA(Z262:Z265)</f>
        <v>0</v>
      </c>
      <c r="AA266" s="1470"/>
      <c r="AB266" s="1534">
        <f>(Z266/Z259-1)*100</f>
        <v>-100</v>
      </c>
      <c r="AC266" s="1470"/>
      <c r="AD266" s="1728" t="s">
        <v>578</v>
      </c>
      <c r="AE266" s="1472"/>
      <c r="AF266" s="1472"/>
      <c r="AG266" s="1537">
        <f>SUM(AG262:AG265)</f>
        <v>0</v>
      </c>
      <c r="AH266" s="1538"/>
      <c r="AI266" s="1585" t="e">
        <f>SUM(AI262:AI265)</f>
        <v>#DIV/0!</v>
      </c>
      <c r="AJ266" s="1479"/>
      <c r="AK266" s="1584" t="e">
        <f>AI266/AI259-1</f>
        <v>#DIV/0!</v>
      </c>
      <c r="AL266" s="1470"/>
      <c r="AM266" s="1710"/>
      <c r="AN266" s="1710"/>
      <c r="AO266" s="1710"/>
      <c r="AP266" s="1710"/>
      <c r="AQ266" s="1710"/>
      <c r="AR266" s="1710"/>
      <c r="AS266" s="1710"/>
      <c r="AT266" s="1710"/>
      <c r="AU266" s="1710"/>
      <c r="AV266" s="1473"/>
      <c r="AW266" s="1710"/>
      <c r="AX266" s="1718"/>
      <c r="AY266" s="1710"/>
      <c r="AZ266" s="1309"/>
      <c r="BA266" s="1309"/>
      <c r="BB266" s="1309"/>
      <c r="BC266" s="1637"/>
      <c r="BD266" s="1637"/>
      <c r="BE266" s="1637"/>
      <c r="BF266" s="1637"/>
      <c r="BG266" s="1470"/>
      <c r="BH266" s="1637"/>
      <c r="BI266" s="1470"/>
      <c r="BJ266" s="1637"/>
      <c r="BK266" s="1470"/>
      <c r="BL266" s="1637"/>
      <c r="BM266" s="1470"/>
    </row>
    <row r="267" spans="1:65" ht="10.5" hidden="1" customHeight="1" outlineLevel="1">
      <c r="A267" s="951"/>
      <c r="B267" s="951"/>
      <c r="C267" s="951"/>
      <c r="D267" s="951"/>
      <c r="E267" s="951"/>
      <c r="F267" s="951"/>
      <c r="G267" s="951"/>
      <c r="H267" s="951"/>
      <c r="I267" s="951"/>
      <c r="J267" s="951"/>
      <c r="K267" s="951"/>
      <c r="L267" s="951"/>
      <c r="M267" s="951"/>
      <c r="N267" s="951"/>
      <c r="O267" s="951"/>
      <c r="P267" s="951"/>
      <c r="Q267" s="951"/>
      <c r="R267" s="951"/>
      <c r="S267" s="951"/>
      <c r="T267" s="951"/>
      <c r="U267" s="951"/>
      <c r="V267" s="951"/>
      <c r="W267" s="951"/>
      <c r="X267" s="951"/>
      <c r="Y267" s="951"/>
      <c r="Z267" s="951"/>
      <c r="AA267" s="951"/>
      <c r="AB267" s="951"/>
      <c r="AC267" s="951"/>
      <c r="AD267" s="951"/>
      <c r="AE267" s="951"/>
      <c r="AF267" s="951"/>
      <c r="AG267" s="951"/>
      <c r="AH267" s="951"/>
      <c r="AI267" s="951"/>
      <c r="AJ267" s="951"/>
      <c r="AK267" s="951"/>
      <c r="AL267" s="951"/>
      <c r="AM267" s="951"/>
      <c r="AN267" s="1012"/>
      <c r="AO267" s="951"/>
      <c r="AP267" s="951"/>
      <c r="AQ267" s="951"/>
      <c r="AR267" s="951"/>
      <c r="AS267" s="951"/>
      <c r="AT267" s="951"/>
      <c r="AU267" s="951"/>
      <c r="AV267" s="1473"/>
      <c r="AW267" s="951"/>
      <c r="AX267" s="951"/>
      <c r="AY267" s="951"/>
      <c r="AZ267" s="951"/>
      <c r="BA267" s="951"/>
      <c r="BB267" s="951"/>
      <c r="BC267" s="951"/>
      <c r="BD267" s="951"/>
      <c r="BE267" s="951"/>
      <c r="BF267" s="951"/>
      <c r="BG267" s="951"/>
      <c r="BH267" s="951"/>
      <c r="BI267" s="951"/>
      <c r="BJ267" s="951"/>
      <c r="BK267" s="951"/>
      <c r="BL267" s="951"/>
      <c r="BM267" s="951"/>
    </row>
    <row r="268" spans="1:65" ht="10.5" customHeight="1" collapsed="1">
      <c r="A268" s="951"/>
      <c r="B268" s="951"/>
      <c r="C268" s="951"/>
      <c r="D268" s="951"/>
      <c r="E268" s="1226"/>
      <c r="F268" s="951"/>
      <c r="G268" s="951"/>
      <c r="H268" s="951"/>
      <c r="I268" s="951"/>
      <c r="J268" s="951"/>
      <c r="K268" s="1226"/>
      <c r="L268" s="951"/>
      <c r="M268" s="951"/>
      <c r="N268" s="951"/>
      <c r="O268" s="951"/>
      <c r="P268" s="951"/>
      <c r="Q268" s="951"/>
      <c r="R268" s="951"/>
      <c r="S268" s="951"/>
      <c r="T268" s="951"/>
      <c r="U268" s="951"/>
      <c r="V268" s="951"/>
      <c r="W268" s="951"/>
      <c r="X268" s="951"/>
      <c r="Y268" s="951"/>
      <c r="Z268" s="951"/>
      <c r="AA268" s="951"/>
      <c r="AB268" s="951"/>
      <c r="AC268" s="951"/>
      <c r="AD268" s="951"/>
      <c r="AE268" s="951"/>
      <c r="AF268" s="951"/>
      <c r="AG268" s="951"/>
      <c r="AH268" s="951"/>
      <c r="AI268" s="951"/>
      <c r="AJ268" s="951"/>
      <c r="AK268" s="951"/>
      <c r="AL268" s="951"/>
      <c r="AM268" s="1206"/>
      <c r="AN268" s="1012"/>
      <c r="AO268" s="951"/>
      <c r="AP268" s="951"/>
      <c r="AQ268" s="1206"/>
      <c r="AR268" s="951"/>
      <c r="AS268" s="2143"/>
      <c r="AT268" s="951"/>
      <c r="AU268" s="951"/>
      <c r="AV268" s="1473"/>
      <c r="AW268" s="951"/>
      <c r="AX268" s="951"/>
      <c r="AY268" s="951"/>
      <c r="AZ268" s="951"/>
      <c r="BA268" s="951"/>
      <c r="BB268" s="951"/>
      <c r="BC268" s="951"/>
      <c r="BD268" s="951"/>
      <c r="BE268" s="951"/>
      <c r="BF268" s="951"/>
      <c r="BG268" s="951"/>
      <c r="BH268" s="951"/>
      <c r="BI268" s="951"/>
      <c r="BJ268" s="951"/>
      <c r="BK268" s="951"/>
      <c r="BL268" s="951"/>
      <c r="BM268" s="951"/>
    </row>
    <row r="269" spans="1:65" ht="10.5" customHeight="1">
      <c r="A269" s="951"/>
      <c r="B269" s="951"/>
      <c r="C269" s="951"/>
      <c r="D269" s="951"/>
      <c r="E269" s="1226"/>
      <c r="F269" s="951"/>
      <c r="G269" s="951"/>
      <c r="H269" s="951"/>
      <c r="I269" s="951"/>
      <c r="J269" s="951"/>
      <c r="K269" s="951"/>
      <c r="L269" s="951"/>
      <c r="M269" s="951"/>
      <c r="N269" s="951"/>
      <c r="O269" s="951"/>
      <c r="P269" s="951"/>
      <c r="Q269" s="951"/>
      <c r="R269" s="1730"/>
      <c r="S269" s="951"/>
      <c r="T269" s="951"/>
      <c r="U269" s="951"/>
      <c r="V269" s="951"/>
      <c r="W269" s="951"/>
      <c r="X269" s="951"/>
      <c r="Y269" s="951"/>
      <c r="Z269" s="951"/>
      <c r="AA269" s="951"/>
      <c r="AB269" s="951"/>
      <c r="AC269" s="951"/>
      <c r="AD269" s="951"/>
      <c r="AE269" s="951"/>
      <c r="AF269" s="951"/>
      <c r="AG269" s="951"/>
      <c r="AH269" s="951"/>
      <c r="AI269" s="951"/>
      <c r="AJ269" s="951"/>
      <c r="AK269" s="951"/>
      <c r="AL269" s="951"/>
      <c r="AM269" s="1206"/>
      <c r="AN269" s="1012"/>
      <c r="AO269" s="951"/>
      <c r="AP269" s="951"/>
      <c r="AQ269" s="951"/>
      <c r="AR269" s="951"/>
      <c r="AS269" s="951"/>
      <c r="AT269" s="951"/>
      <c r="AU269" s="951"/>
      <c r="AV269" s="1473"/>
      <c r="AW269" s="951"/>
      <c r="AX269" s="951"/>
      <c r="AY269" s="951"/>
      <c r="AZ269" s="951"/>
      <c r="BA269" s="951"/>
      <c r="BB269" s="951"/>
      <c r="BC269" s="951"/>
      <c r="BD269" s="951"/>
      <c r="BE269" s="951"/>
      <c r="BF269" s="951"/>
      <c r="BG269" s="951"/>
      <c r="BH269" s="951"/>
      <c r="BI269" s="951"/>
      <c r="BJ269" s="951"/>
      <c r="BK269" s="951"/>
      <c r="BL269" s="951"/>
      <c r="BM269" s="951"/>
    </row>
    <row r="270" spans="1:65" ht="10.5" customHeight="1">
      <c r="A270" s="951"/>
      <c r="B270" s="951"/>
      <c r="C270" s="951"/>
      <c r="D270" s="951"/>
      <c r="E270" s="1226"/>
      <c r="F270" s="951"/>
      <c r="G270" s="951"/>
      <c r="H270" s="951"/>
      <c r="I270" s="951"/>
      <c r="J270" s="951"/>
      <c r="K270" s="951"/>
      <c r="L270" s="951"/>
      <c r="M270" s="951"/>
      <c r="N270" s="951"/>
      <c r="O270" s="951"/>
      <c r="P270" s="951"/>
      <c r="Q270" s="951"/>
      <c r="R270" s="1730"/>
      <c r="S270" s="951"/>
      <c r="T270" s="951"/>
      <c r="U270" s="951"/>
      <c r="V270" s="951"/>
      <c r="W270" s="951"/>
      <c r="X270" s="951"/>
      <c r="Y270" s="951"/>
      <c r="Z270" s="951"/>
      <c r="AA270" s="951"/>
      <c r="AB270" s="951"/>
      <c r="AC270" s="951"/>
      <c r="AD270" s="951"/>
      <c r="AE270" s="951"/>
      <c r="AF270" s="951"/>
      <c r="AG270" s="951"/>
      <c r="AH270" s="951"/>
      <c r="AI270" s="951"/>
      <c r="AJ270" s="951"/>
      <c r="AK270" s="951"/>
      <c r="AL270" s="951"/>
      <c r="AM270" s="951"/>
      <c r="AN270" s="1012"/>
      <c r="AO270" s="951"/>
      <c r="AP270" s="951"/>
      <c r="AQ270" s="951"/>
      <c r="AR270" s="951"/>
      <c r="AS270" s="951"/>
      <c r="AT270" s="951"/>
      <c r="AU270" s="951"/>
      <c r="AV270" s="1473"/>
      <c r="AW270" s="951"/>
      <c r="AX270" s="951"/>
      <c r="AY270" s="951"/>
      <c r="AZ270" s="951"/>
      <c r="BA270" s="951"/>
      <c r="BB270" s="951"/>
      <c r="BC270" s="951"/>
      <c r="BD270" s="951"/>
      <c r="BE270" s="951"/>
      <c r="BF270" s="951"/>
      <c r="BG270" s="951"/>
      <c r="BH270" s="951"/>
      <c r="BI270" s="951"/>
      <c r="BJ270" s="951"/>
      <c r="BK270" s="951"/>
      <c r="BL270" s="951"/>
      <c r="BM270" s="951"/>
    </row>
    <row r="271" spans="1:65" ht="10.5" customHeight="1">
      <c r="A271" s="951"/>
      <c r="B271" s="951"/>
      <c r="C271" s="951"/>
      <c r="D271" s="951"/>
      <c r="E271" s="1226"/>
      <c r="F271" s="951"/>
      <c r="G271" s="951"/>
      <c r="H271" s="951"/>
      <c r="I271" s="951"/>
      <c r="J271" s="951"/>
      <c r="K271" s="951"/>
      <c r="L271" s="951"/>
      <c r="M271" s="951"/>
      <c r="N271" s="951"/>
      <c r="O271" s="951"/>
      <c r="P271" s="951"/>
      <c r="Q271" s="951"/>
      <c r="R271" s="1730"/>
      <c r="S271" s="951"/>
      <c r="T271" s="951"/>
      <c r="U271" s="951"/>
      <c r="V271" s="951"/>
      <c r="W271" s="951"/>
      <c r="X271" s="951"/>
      <c r="Y271" s="951"/>
      <c r="Z271" s="951"/>
      <c r="AA271" s="951"/>
      <c r="AB271" s="951"/>
      <c r="AC271" s="951"/>
      <c r="AD271" s="951"/>
      <c r="AE271" s="951"/>
      <c r="AF271" s="951"/>
      <c r="AG271" s="951"/>
      <c r="AH271" s="951"/>
      <c r="AI271" s="951"/>
      <c r="AJ271" s="951"/>
      <c r="AK271" s="951"/>
      <c r="AL271" s="951"/>
      <c r="AM271" s="951"/>
      <c r="AN271" s="1012"/>
      <c r="AO271" s="951"/>
      <c r="AP271" s="951"/>
      <c r="AQ271" s="951"/>
      <c r="AR271" s="951"/>
      <c r="AS271" s="951"/>
      <c r="AT271" s="951"/>
      <c r="AU271" s="951"/>
      <c r="AV271" s="1473"/>
      <c r="AW271" s="951"/>
      <c r="AX271" s="951"/>
      <c r="AY271" s="951"/>
      <c r="AZ271" s="951"/>
      <c r="BA271" s="951"/>
      <c r="BB271" s="951"/>
      <c r="BC271" s="951"/>
      <c r="BD271" s="951"/>
      <c r="BE271" s="951"/>
      <c r="BF271" s="951"/>
      <c r="BG271" s="951"/>
      <c r="BH271" s="951"/>
      <c r="BI271" s="951"/>
      <c r="BJ271" s="951"/>
      <c r="BK271" s="951"/>
      <c r="BL271" s="951"/>
      <c r="BM271" s="951"/>
    </row>
    <row r="275" spans="5:5" ht="10.5" customHeight="1">
      <c r="E275" s="1226"/>
    </row>
    <row r="276" spans="5:5" ht="10.5" customHeight="1">
      <c r="E276" s="1226"/>
    </row>
    <row r="277" spans="5:5" ht="10.5" customHeight="1">
      <c r="E277" s="1226"/>
    </row>
    <row r="278" spans="5:5" ht="10.5" customHeight="1">
      <c r="E278" s="1226"/>
    </row>
  </sheetData>
  <phoneticPr fontId="0" type="noConversion"/>
  <dataValidations count="1">
    <dataValidation type="custom" allowBlank="1" showInputMessage="1" showErrorMessage="1" sqref="T1:T28 T30:T174 U1:AJ174 AX1:AX152 I175:I180 AK1:AU3 AM4:AM8 AY1:BA153 I218:I65543 C1:S174 I182:I187 I189:I194 I198:I201 I205:I208 AN4:AU65543 J175:AJ65543 AM10:AM65543 AX154:AX65543 AK4:AL65543 I212:I215 AY155:BA65543 BB1:IV1048576 A1:B1048576 AV1:AW1048576 C175:H65543">
      <formula1>-1</formula1>
    </dataValidation>
  </dataValidations>
  <printOptions horizontalCentered="1"/>
  <pageMargins left="0" right="0" top="0.5" bottom="0.25" header="0.5" footer="0.25"/>
  <pageSetup scale="82" fitToHeight="2" orientation="landscape" horizontalDpi="300" verticalDpi="300" r:id="rId1"/>
  <headerFooter alignWithMargins="0">
    <oddFooter>&amp;R&amp;"Arial,Regular"&amp;8&amp;D
&amp;F/&amp;A</oddFooter>
  </headerFooter>
  <rowBreaks count="1" manualBreakCount="1">
    <brk id="126" max="37" man="1"/>
  </rowBreaks>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B1"/>
  <sheetViews>
    <sheetView workbookViewId="0"/>
  </sheetViews>
  <sheetFormatPr defaultRowHeight="12"/>
  <sheetData>
    <row r="1" spans="1:2">
      <c r="B1" t="s">
        <v>528</v>
      </c>
    </row>
  </sheetData>
  <phoneticPr fontId="0" type="noConversion"/>
  <dataValidations count="1">
    <dataValidation type="custom" allowBlank="1" showInputMessage="1" showErrorMessage="1" sqref="A1:XFD1048576">
      <formula1>-1</formula1>
    </dataValidation>
  </dataValidations>
  <pageMargins left="0.75" right="0.75" top="1" bottom="1" header="0.5" footer="0.5"/>
  <pageSetup orientation="portrait" r:id="rId1"/>
  <headerFooter alignWithMargins="0"/>
  <customProperties>
    <customPr name="_FDS_0" r:id="rId2"/>
  </customProperties>
  <legacyDrawing r:id="rId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syncVertical="1" syncRef="A1" transitionEvaluation="1" codeName="Sheet7"/>
  <dimension ref="A1:DZ215"/>
  <sheetViews>
    <sheetView showGridLines="0" zoomScale="85" zoomScaleNormal="85" zoomScaleSheetLayoutView="100" workbookViewId="0">
      <pane ySplit="8895" topLeftCell="A144"/>
      <selection activeCell="CX28" sqref="CX28"/>
      <selection pane="bottomLeft" activeCell="CP150" sqref="CP150"/>
    </sheetView>
  </sheetViews>
  <sheetFormatPr defaultColWidth="9.75" defaultRowHeight="12" outlineLevelRow="3" outlineLevelCol="1"/>
  <cols>
    <col min="1" max="1" width="5.125" style="960" customWidth="1"/>
    <col min="2" max="2" width="1.375" style="960" customWidth="1"/>
    <col min="3" max="3" width="10.375" style="960" hidden="1" customWidth="1" outlineLevel="1"/>
    <col min="4" max="4" width="5.75" style="960" hidden="1" customWidth="1" outlineLevel="1"/>
    <col min="5" max="5" width="7" style="960" hidden="1" customWidth="1" outlineLevel="1"/>
    <col min="6" max="6" width="1.75" style="960" hidden="1" customWidth="1" outlineLevel="1"/>
    <col min="7" max="7" width="6.625" style="960" hidden="1" customWidth="1" outlineLevel="1"/>
    <col min="8" max="8" width="5.625" style="960" hidden="1" customWidth="1" outlineLevel="1"/>
    <col min="9" max="9" width="4.875" style="960" hidden="1" customWidth="1" outlineLevel="1"/>
    <col min="10" max="10" width="1.375" style="960" hidden="1" customWidth="1" outlineLevel="1"/>
    <col min="11" max="11" width="6.625" style="960" hidden="1" customWidth="1" outlineLevel="1"/>
    <col min="12" max="12" width="5.625" style="960" hidden="1" customWidth="1" outlineLevel="1"/>
    <col min="13" max="13" width="4.875" style="960" hidden="1" customWidth="1" outlineLevel="1"/>
    <col min="14" max="14" width="1.625" style="960" hidden="1" customWidth="1" outlineLevel="1"/>
    <col min="15" max="15" width="6.625" style="960" hidden="1" customWidth="1" outlineLevel="1"/>
    <col min="16" max="16" width="5.625" style="960" hidden="1" customWidth="1" outlineLevel="1"/>
    <col min="17" max="17" width="5.25" style="960" hidden="1" customWidth="1" outlineLevel="1"/>
    <col min="18" max="18" width="1.625" style="960" hidden="1" customWidth="1" outlineLevel="1"/>
    <col min="19" max="19" width="6.625" style="960" hidden="1" customWidth="1" outlineLevel="1"/>
    <col min="20" max="20" width="5.625" style="960" hidden="1" customWidth="1" outlineLevel="1"/>
    <col min="21" max="21" width="5.5" style="960" hidden="1" customWidth="1" outlineLevel="1"/>
    <col min="22" max="22" width="1.5" style="960" hidden="1" customWidth="1" outlineLevel="1"/>
    <col min="23" max="23" width="6.625" style="960" hidden="1" customWidth="1" outlineLevel="1"/>
    <col min="24" max="24" width="5.625" style="960" hidden="1" customWidth="1" outlineLevel="1"/>
    <col min="25" max="25" width="4.875" style="960" hidden="1" customWidth="1" outlineLevel="1"/>
    <col min="26" max="26" width="7.75" style="960" hidden="1" customWidth="1" outlineLevel="1"/>
    <col min="27" max="27" width="1.625" style="960" hidden="1" customWidth="1" outlineLevel="1" collapsed="1"/>
    <col min="28" max="28" width="6.625" style="960" hidden="1" customWidth="1" outlineLevel="1"/>
    <col min="29" max="29" width="5" style="960" hidden="1" customWidth="1" outlineLevel="1"/>
    <col min="30" max="30" width="6" style="960" hidden="1" customWidth="1" outlineLevel="1"/>
    <col min="31" max="31" width="1.75" style="960" hidden="1" customWidth="1" outlineLevel="1" collapsed="1"/>
    <col min="32" max="32" width="6.625" style="960" hidden="1" customWidth="1" outlineLevel="1"/>
    <col min="33" max="33" width="5" style="960" hidden="1" customWidth="1" outlineLevel="1"/>
    <col min="34" max="34" width="6" style="960" hidden="1" customWidth="1" outlineLevel="1"/>
    <col min="35" max="35" width="1.75" style="960" hidden="1" customWidth="1" outlineLevel="1"/>
    <col min="36" max="36" width="6.625" style="960" hidden="1" customWidth="1" outlineLevel="1"/>
    <col min="37" max="37" width="5" style="960" hidden="1" customWidth="1" outlineLevel="1"/>
    <col min="38" max="38" width="6" style="960" hidden="1" customWidth="1" outlineLevel="1"/>
    <col min="39" max="39" width="1.75" style="960" hidden="1" customWidth="1" outlineLevel="1"/>
    <col min="40" max="40" width="6.625" style="960" hidden="1" customWidth="1" outlineLevel="1"/>
    <col min="41" max="41" width="5" style="960" hidden="1" customWidth="1" outlineLevel="1"/>
    <col min="42" max="42" width="6" style="960" hidden="1" customWidth="1" outlineLevel="1"/>
    <col min="43" max="43" width="1.75" style="960" hidden="1" customWidth="1" outlineLevel="1"/>
    <col min="44" max="44" width="6.625" style="960" hidden="1" customWidth="1" outlineLevel="1" collapsed="1"/>
    <col min="45" max="46" width="5.5" style="960" hidden="1" customWidth="1" outlineLevel="1"/>
    <col min="47" max="47" width="1.625" style="960" hidden="1" customWidth="1" outlineLevel="1"/>
    <col min="48" max="48" width="6.5" style="960" hidden="1" customWidth="1" outlineLevel="1"/>
    <col min="49" max="49" width="4.5" style="960" hidden="1" customWidth="1" outlineLevel="1"/>
    <col min="50" max="50" width="5.25" style="960" hidden="1" customWidth="1" outlineLevel="1"/>
    <col min="51" max="51" width="1.625" style="960" hidden="1" customWidth="1" outlineLevel="1"/>
    <col min="52" max="52" width="6.5" style="960" hidden="1" customWidth="1" outlineLevel="1"/>
    <col min="53" max="54" width="4.5" style="960" hidden="1" customWidth="1" outlineLevel="1"/>
    <col min="55" max="55" width="1.25" style="960" hidden="1" customWidth="1" outlineLevel="1"/>
    <col min="56" max="56" width="6.5" style="960" hidden="1" customWidth="1" outlineLevel="1"/>
    <col min="57" max="57" width="6.125" style="960" hidden="1" customWidth="1" outlineLevel="1"/>
    <col min="58" max="58" width="5.25" style="960" hidden="1" customWidth="1" outlineLevel="1"/>
    <col min="59" max="59" width="1.125" style="960" hidden="1" customWidth="1" outlineLevel="1"/>
    <col min="60" max="60" width="6.625" style="960" hidden="1" customWidth="1" outlineLevel="1"/>
    <col min="61" max="61" width="5" style="960" hidden="1" customWidth="1" outlineLevel="1"/>
    <col min="62" max="62" width="6.625" style="960" hidden="1" customWidth="1" outlineLevel="1"/>
    <col min="63" max="63" width="1.25" style="960" hidden="1" customWidth="1" outlineLevel="1"/>
    <col min="64" max="64" width="8" style="960" hidden="1" customWidth="1" outlineLevel="1"/>
    <col min="65" max="65" width="5.5" style="960" hidden="1" customWidth="1" outlineLevel="1"/>
    <col min="66" max="66" width="6.625" style="960" hidden="1" customWidth="1" outlineLevel="1"/>
    <col min="67" max="67" width="1.25" style="960" hidden="1" customWidth="1" outlineLevel="1"/>
    <col min="68" max="68" width="7.625" style="960" hidden="1" customWidth="1" outlineLevel="1"/>
    <col min="69" max="69" width="6" style="960" hidden="1" customWidth="1" outlineLevel="1"/>
    <col min="70" max="70" width="6.625" style="960" hidden="1" customWidth="1" outlineLevel="1"/>
    <col min="71" max="71" width="1.25" style="960" hidden="1" customWidth="1" outlineLevel="1"/>
    <col min="72" max="72" width="7.875" style="960" hidden="1" customWidth="1" outlineLevel="1"/>
    <col min="73" max="73" width="7.25" style="960" hidden="1" customWidth="1" outlineLevel="1"/>
    <col min="74" max="74" width="6.625" style="960" hidden="1" customWidth="1" outlineLevel="1"/>
    <col min="75" max="75" width="1.25" style="960" customWidth="1" collapsed="1"/>
    <col min="76" max="76" width="8.125" style="960" customWidth="1"/>
    <col min="77" max="77" width="7" style="960" customWidth="1"/>
    <col min="78" max="78" width="6" style="960" customWidth="1"/>
    <col min="79" max="79" width="1.875" style="960" customWidth="1"/>
    <col min="80" max="80" width="7.5" style="960" customWidth="1"/>
    <col min="81" max="81" width="5.75" style="960" customWidth="1"/>
    <col min="82" max="82" width="5.5" style="960" customWidth="1"/>
    <col min="83" max="83" width="2" style="960" customWidth="1"/>
    <col min="84" max="84" width="7.5" style="960" customWidth="1"/>
    <col min="85" max="85" width="5.75" style="960" customWidth="1"/>
    <col min="86" max="86" width="6" style="960" customWidth="1"/>
    <col min="87" max="87" width="2" style="960" customWidth="1"/>
    <col min="88" max="88" width="7.5" style="960" customWidth="1"/>
    <col min="89" max="89" width="5" style="960" customWidth="1"/>
    <col min="90" max="90" width="6.5" style="960" customWidth="1"/>
    <col min="91" max="91" width="2" style="960" customWidth="1"/>
    <col min="92" max="92" width="7.5" style="960" customWidth="1"/>
    <col min="93" max="93" width="5.625" style="960" customWidth="1"/>
    <col min="94" max="94" width="6.5" style="960" customWidth="1"/>
    <col min="95" max="95" width="2" style="960" customWidth="1"/>
    <col min="96" max="96" width="7.875" style="2123" customWidth="1"/>
    <col min="97" max="98" width="6.5" style="2123" customWidth="1"/>
    <col min="99" max="99" width="7.25" style="960" customWidth="1"/>
    <col min="100" max="100" width="7.5" style="960" customWidth="1"/>
    <col min="101" max="102" width="7.125" style="960" customWidth="1"/>
    <col min="103" max="103" width="6.625" style="960" customWidth="1"/>
    <col min="104" max="104" width="5.875" style="960" customWidth="1"/>
    <col min="105" max="105" width="4.5" style="960" customWidth="1"/>
    <col min="106" max="106" width="5" style="960" customWidth="1"/>
    <col min="107" max="107" width="8.875" style="960" bestFit="1" customWidth="1"/>
    <col min="108" max="108" width="1.125" style="960" customWidth="1"/>
    <col min="109" max="109" width="8.75" style="960" bestFit="1" customWidth="1"/>
    <col min="110" max="110" width="1.625" style="960" customWidth="1"/>
    <col min="111" max="111" width="8.375" style="960" customWidth="1"/>
    <col min="112" max="112" width="5.875" style="960" hidden="1" customWidth="1" outlineLevel="1" collapsed="1"/>
    <col min="113" max="113" width="5.375" style="960" hidden="1" customWidth="1" outlineLevel="1"/>
    <col min="114" max="114" width="5.75" style="960" hidden="1" customWidth="1" outlineLevel="1"/>
    <col min="115" max="115" width="4.625" style="960" hidden="1" customWidth="1" outlineLevel="1"/>
    <col min="116" max="116" width="5.5" style="960" hidden="1" customWidth="1" outlineLevel="1"/>
    <col min="117" max="117" width="2.375" style="960" hidden="1" customWidth="1" outlineLevel="1"/>
    <col min="118" max="118" width="5.875" style="960" hidden="1" customWidth="1" outlineLevel="1"/>
    <col min="119" max="119" width="4.625" style="960" hidden="1" customWidth="1" outlineLevel="1"/>
    <col min="120" max="120" width="5.75" style="960" hidden="1" customWidth="1" outlineLevel="1"/>
    <col min="121" max="121" width="4.625" style="960" hidden="1" customWidth="1" outlineLevel="1"/>
    <col min="122" max="122" width="5.5" style="960" hidden="1" customWidth="1" outlineLevel="1"/>
    <col min="123" max="123" width="2.375" style="960" hidden="1" customWidth="1" outlineLevel="1"/>
    <col min="124" max="124" width="9.75" style="960" hidden="1" customWidth="1" outlineLevel="1"/>
    <col min="125" max="129" width="6" style="960" hidden="1" customWidth="1" outlineLevel="1"/>
    <col min="130" max="130" width="4.75" style="960" customWidth="1" collapsed="1"/>
    <col min="131" max="131" width="8.625" style="960" customWidth="1"/>
    <col min="132" max="132" width="1.125" style="960" customWidth="1"/>
    <col min="133" max="16384" width="9.75" style="960"/>
  </cols>
  <sheetData>
    <row r="1" spans="1:129" ht="12.75">
      <c r="A1" s="10" t="s">
        <v>85</v>
      </c>
      <c r="B1" s="951"/>
      <c r="C1" s="951"/>
      <c r="D1" s="951"/>
      <c r="E1" s="951"/>
      <c r="F1" s="951"/>
      <c r="G1" s="951"/>
      <c r="H1" s="951"/>
      <c r="I1" s="951"/>
      <c r="J1" s="951"/>
      <c r="K1" s="951"/>
      <c r="L1" s="951"/>
      <c r="M1" s="951"/>
      <c r="N1" s="951"/>
      <c r="O1" s="951"/>
      <c r="P1" s="951"/>
      <c r="Q1" s="951"/>
      <c r="R1" s="951"/>
      <c r="S1" s="951"/>
      <c r="T1" s="951"/>
      <c r="U1" s="951"/>
      <c r="V1" s="951"/>
      <c r="W1" s="951"/>
      <c r="X1" s="951"/>
      <c r="Y1" s="951"/>
      <c r="Z1" s="951"/>
      <c r="AA1" s="951"/>
      <c r="AB1" s="951"/>
      <c r="AC1" s="951"/>
      <c r="AD1" s="951"/>
      <c r="AE1" s="951"/>
      <c r="AF1" s="951"/>
      <c r="AG1" s="951"/>
      <c r="AH1" s="951"/>
      <c r="AI1" s="951"/>
      <c r="AJ1" s="951"/>
      <c r="AK1" s="951"/>
      <c r="AL1" s="951"/>
      <c r="AM1" s="951"/>
      <c r="AN1" s="951"/>
      <c r="AO1" s="951"/>
      <c r="AP1" s="951"/>
      <c r="AQ1" s="951"/>
      <c r="AR1" s="951"/>
      <c r="AS1" s="951"/>
      <c r="AT1" s="951"/>
      <c r="AU1" s="951"/>
      <c r="AV1" s="1158"/>
      <c r="AW1" s="1158"/>
      <c r="AX1" s="1158"/>
      <c r="AY1" s="951"/>
      <c r="AZ1" s="1159"/>
      <c r="BA1" s="1158"/>
      <c r="BB1" s="1158"/>
      <c r="BC1" s="951"/>
      <c r="BD1" s="1158"/>
      <c r="BE1" s="1158"/>
      <c r="BF1" s="1158"/>
      <c r="BG1" s="1158"/>
      <c r="BH1" s="1160"/>
      <c r="BI1" s="1158"/>
      <c r="BJ1" s="1158"/>
      <c r="BK1" s="1158"/>
      <c r="BL1" s="1158"/>
      <c r="BM1" s="1158"/>
      <c r="BN1" s="1158"/>
      <c r="BO1" s="1158"/>
      <c r="BP1" s="1158"/>
      <c r="BQ1" s="1158"/>
      <c r="BR1" s="1158"/>
      <c r="BS1" s="1158"/>
      <c r="BT1" s="1158"/>
      <c r="BU1" s="1158"/>
      <c r="BV1" s="1158"/>
      <c r="BW1" s="1158"/>
      <c r="BX1" s="1158"/>
      <c r="BY1" s="1158"/>
      <c r="BZ1" s="1158"/>
      <c r="CA1" s="1158"/>
      <c r="CB1" s="1158"/>
      <c r="CC1" s="1158"/>
      <c r="CD1" s="1158"/>
      <c r="CE1" s="1158"/>
      <c r="CF1" s="1158"/>
      <c r="CG1" s="1158"/>
      <c r="CH1" s="1158"/>
      <c r="CI1" s="1158"/>
      <c r="CJ1" s="1158"/>
      <c r="CK1" s="1158"/>
      <c r="CL1" s="1158"/>
      <c r="CM1" s="1158"/>
      <c r="CN1" s="1158"/>
      <c r="CO1" s="1158"/>
      <c r="CP1" s="1158"/>
      <c r="CQ1" s="1158"/>
      <c r="CR1" s="1158"/>
      <c r="CS1" s="1158"/>
      <c r="CT1" s="1158"/>
      <c r="CU1" s="1158"/>
      <c r="CV1" s="1158"/>
      <c r="CW1" s="1158"/>
      <c r="CX1" s="1158"/>
      <c r="CY1" s="1158"/>
      <c r="CZ1" s="1158"/>
      <c r="DA1" s="1158"/>
      <c r="DB1" s="951"/>
      <c r="DC1" s="951"/>
      <c r="DD1" s="951"/>
      <c r="DE1" s="951"/>
      <c r="DF1" s="951"/>
      <c r="DG1" s="951"/>
      <c r="DH1" s="951"/>
      <c r="DI1" s="951"/>
      <c r="DJ1" s="951"/>
      <c r="DK1" s="951"/>
      <c r="DL1" s="951"/>
      <c r="DM1" s="951"/>
      <c r="DN1" s="951"/>
      <c r="DO1" s="951"/>
      <c r="DP1" s="951"/>
      <c r="DQ1" s="951"/>
      <c r="DR1" s="951"/>
      <c r="DS1" s="951"/>
      <c r="DT1" s="951"/>
      <c r="DU1" s="951"/>
      <c r="DV1" s="951"/>
      <c r="DW1" s="951"/>
      <c r="DX1" s="951"/>
      <c r="DY1" s="951"/>
    </row>
    <row r="2" spans="1:129" ht="12.75">
      <c r="A2" s="13" t="s">
        <v>765</v>
      </c>
      <c r="B2" s="1161"/>
      <c r="C2" s="1161"/>
      <c r="D2" s="1161"/>
      <c r="E2" s="1161"/>
      <c r="F2" s="1161"/>
      <c r="G2" s="1161"/>
      <c r="H2" s="1161"/>
      <c r="I2" s="1161"/>
      <c r="J2" s="1161"/>
      <c r="K2" s="1161"/>
      <c r="L2" s="1161"/>
      <c r="M2" s="1161"/>
      <c r="N2" s="1161"/>
      <c r="O2" s="1161"/>
      <c r="P2" s="1161"/>
      <c r="Q2" s="1161"/>
      <c r="R2" s="1161"/>
      <c r="S2" s="1161"/>
      <c r="T2" s="1161"/>
      <c r="U2" s="1161"/>
      <c r="V2" s="1161"/>
      <c r="W2" s="1161"/>
      <c r="X2" s="1161"/>
      <c r="Y2" s="1161"/>
      <c r="Z2" s="1161"/>
      <c r="AA2" s="1161"/>
      <c r="AB2" s="1161"/>
      <c r="AC2" s="1161"/>
      <c r="AD2" s="1161"/>
      <c r="AE2" s="1161"/>
      <c r="AF2" s="1161"/>
      <c r="AG2" s="1161"/>
      <c r="AH2" s="1161"/>
      <c r="AI2" s="1161"/>
      <c r="AJ2" s="1161"/>
      <c r="AK2" s="1161"/>
      <c r="AL2" s="1161"/>
      <c r="AM2" s="1161"/>
      <c r="AN2" s="1161"/>
      <c r="AO2" s="1161"/>
      <c r="AP2" s="1161"/>
      <c r="AQ2" s="1161"/>
      <c r="AR2" s="1161"/>
      <c r="AS2" s="1161"/>
      <c r="AT2" s="1161"/>
      <c r="AU2" s="1161"/>
      <c r="AV2" s="1162"/>
      <c r="AW2" s="1162"/>
      <c r="AX2" s="1162"/>
      <c r="AY2" s="1161"/>
      <c r="AZ2" s="1162"/>
      <c r="BA2" s="1162"/>
      <c r="BB2" s="1162"/>
      <c r="BC2" s="1161"/>
      <c r="BD2" s="1163"/>
      <c r="BE2" s="1163"/>
      <c r="BF2" s="1162"/>
      <c r="BG2" s="1162"/>
      <c r="BH2" s="1162"/>
      <c r="BI2" s="1162"/>
      <c r="BJ2" s="1162"/>
      <c r="BK2" s="1162"/>
      <c r="BL2" s="1162"/>
      <c r="BM2" s="1162"/>
      <c r="BN2" s="1162"/>
      <c r="BO2" s="1162"/>
      <c r="BP2" s="1162"/>
      <c r="BQ2" s="1162"/>
      <c r="BR2" s="1162"/>
      <c r="BS2" s="1162"/>
      <c r="BT2" s="1162"/>
      <c r="BU2" s="1162"/>
      <c r="BV2" s="1162"/>
      <c r="BW2" s="1162"/>
      <c r="BX2" s="1162"/>
      <c r="BY2" s="1162"/>
      <c r="BZ2" s="1162"/>
      <c r="CA2" s="1164"/>
      <c r="CB2" s="1162"/>
      <c r="CC2" s="1162"/>
      <c r="CD2" s="1162"/>
      <c r="CE2" s="1164"/>
      <c r="CF2" s="1162"/>
      <c r="CG2" s="1162"/>
      <c r="CH2" s="1162"/>
      <c r="CI2" s="1164"/>
      <c r="CJ2" s="1162"/>
      <c r="CK2" s="1162"/>
      <c r="CL2" s="1162"/>
      <c r="CM2" s="1164"/>
      <c r="CN2" s="1162"/>
      <c r="CO2" s="1162"/>
      <c r="CP2" s="1162"/>
      <c r="CQ2" s="1164"/>
      <c r="CR2" s="1162"/>
      <c r="CS2" s="1162"/>
      <c r="CT2" s="1162"/>
      <c r="CU2" s="1164"/>
      <c r="CV2" s="1164"/>
      <c r="CW2" s="1164"/>
      <c r="CX2" s="1164"/>
      <c r="CY2" s="1164"/>
      <c r="CZ2" s="1164"/>
      <c r="DA2" s="1164"/>
      <c r="DB2" s="1012"/>
      <c r="DC2" s="1012"/>
      <c r="DD2" s="1012"/>
      <c r="DE2" s="1012"/>
      <c r="DF2" s="1012"/>
      <c r="DG2" s="1012"/>
      <c r="DH2" s="951"/>
      <c r="DI2" s="951"/>
      <c r="DJ2" s="951"/>
      <c r="DK2" s="951"/>
      <c r="DL2" s="951"/>
      <c r="DM2" s="951"/>
      <c r="DN2" s="951"/>
      <c r="DO2" s="951"/>
      <c r="DP2" s="951"/>
      <c r="DQ2" s="951"/>
      <c r="DR2" s="951"/>
      <c r="DS2" s="951"/>
      <c r="DT2" s="951"/>
      <c r="DU2" s="951"/>
      <c r="DV2" s="951"/>
      <c r="DW2" s="951"/>
      <c r="DX2" s="951"/>
      <c r="DY2" s="951"/>
    </row>
    <row r="3" spans="1:129" ht="12.75">
      <c r="A3" s="1165" t="s">
        <v>160</v>
      </c>
      <c r="B3" s="951"/>
      <c r="C3" s="951"/>
      <c r="D3" s="951"/>
      <c r="E3" s="951"/>
      <c r="F3" s="951"/>
      <c r="G3" s="951"/>
      <c r="H3" s="951"/>
      <c r="I3" s="951"/>
      <c r="J3" s="951"/>
      <c r="K3" s="951"/>
      <c r="L3" s="951"/>
      <c r="M3" s="951"/>
      <c r="N3" s="951"/>
      <c r="O3" s="951"/>
      <c r="P3" s="951"/>
      <c r="Q3" s="951"/>
      <c r="R3" s="951"/>
      <c r="S3" s="951"/>
      <c r="T3" s="951"/>
      <c r="U3" s="951"/>
      <c r="V3" s="951"/>
      <c r="W3" s="951"/>
      <c r="X3" s="951"/>
      <c r="Y3" s="951"/>
      <c r="Z3" s="951"/>
      <c r="AA3" s="951"/>
      <c r="AB3" s="951"/>
      <c r="AC3" s="951"/>
      <c r="AD3" s="951"/>
      <c r="AE3" s="951"/>
      <c r="AF3" s="951"/>
      <c r="AG3" s="951"/>
      <c r="AH3" s="951"/>
      <c r="AI3" s="951"/>
      <c r="AJ3" s="951"/>
      <c r="AK3" s="951"/>
      <c r="AL3" s="951"/>
      <c r="AM3" s="951"/>
      <c r="AN3" s="951"/>
      <c r="AO3" s="951"/>
      <c r="AP3" s="951"/>
      <c r="AQ3" s="951"/>
      <c r="AR3" s="951"/>
      <c r="AS3" s="951"/>
      <c r="AT3" s="951"/>
      <c r="AU3" s="951"/>
      <c r="AV3" s="1158"/>
      <c r="AW3" s="1158"/>
      <c r="AX3" s="1158"/>
      <c r="AY3" s="951"/>
      <c r="AZ3" s="1158"/>
      <c r="BA3" s="1158"/>
      <c r="BB3" s="1158"/>
      <c r="BC3" s="951"/>
      <c r="BD3" s="1158"/>
      <c r="BE3" s="1158"/>
      <c r="BF3" s="1158"/>
      <c r="BG3" s="1158"/>
      <c r="BH3" s="1158"/>
      <c r="BI3" s="1158"/>
      <c r="BJ3" s="1158"/>
      <c r="BK3" s="1158"/>
      <c r="BL3" s="1158"/>
      <c r="BM3" s="1158"/>
      <c r="BN3" s="1158"/>
      <c r="BO3" s="1158"/>
      <c r="BP3" s="1158"/>
      <c r="BQ3" s="1158"/>
      <c r="BR3" s="1158"/>
      <c r="BS3" s="1158"/>
      <c r="BT3" s="1158"/>
      <c r="BU3" s="1158"/>
      <c r="BV3" s="1158"/>
      <c r="BW3" s="1158"/>
      <c r="BX3" s="1158"/>
      <c r="BY3" s="1158"/>
      <c r="BZ3" s="1158"/>
      <c r="CA3" s="1158"/>
      <c r="CB3" s="1158"/>
      <c r="CC3" s="1158"/>
      <c r="CD3" s="1158"/>
      <c r="CE3" s="1158"/>
      <c r="CF3" s="1158"/>
      <c r="CG3" s="1158"/>
      <c r="CH3" s="1158"/>
      <c r="CI3" s="1158"/>
      <c r="CJ3" s="1158"/>
      <c r="CK3" s="1158"/>
      <c r="CL3" s="1158"/>
      <c r="CM3" s="1158"/>
      <c r="CN3" s="1158"/>
      <c r="CO3" s="1158"/>
      <c r="CP3" s="1158"/>
      <c r="CQ3" s="1158"/>
      <c r="CR3" s="1158"/>
      <c r="CS3" s="1158"/>
      <c r="CT3" s="1158"/>
      <c r="CU3" s="1158"/>
      <c r="CV3" s="1158"/>
      <c r="CW3" s="1158"/>
      <c r="CX3" s="1158"/>
      <c r="CY3" s="1158"/>
      <c r="CZ3" s="1158"/>
      <c r="DA3" s="1158"/>
      <c r="DB3" s="951"/>
      <c r="DC3" s="951"/>
      <c r="DD3" s="951"/>
      <c r="DE3" s="951"/>
      <c r="DF3" s="951"/>
      <c r="DG3" s="951"/>
      <c r="DH3" s="951"/>
      <c r="DI3" s="951"/>
      <c r="DJ3" s="951"/>
      <c r="DK3" s="951"/>
      <c r="DL3" s="951"/>
      <c r="DM3" s="951"/>
      <c r="DN3" s="951"/>
      <c r="DO3" s="951"/>
      <c r="DP3" s="951"/>
      <c r="DQ3" s="951"/>
      <c r="DR3" s="951"/>
      <c r="DS3" s="951"/>
      <c r="DT3" s="951"/>
      <c r="DU3" s="951"/>
      <c r="DV3" s="951"/>
      <c r="DW3" s="951"/>
      <c r="DX3" s="951"/>
      <c r="DY3" s="951"/>
    </row>
    <row r="4" spans="1:129" ht="21" customHeight="1">
      <c r="A4" s="1165" t="s">
        <v>167</v>
      </c>
      <c r="B4" s="951"/>
      <c r="C4" s="951"/>
      <c r="D4" s="951"/>
      <c r="E4" s="951"/>
      <c r="F4" s="951"/>
      <c r="G4" s="951"/>
      <c r="H4" s="951"/>
      <c r="I4" s="951"/>
      <c r="J4" s="951"/>
      <c r="K4" s="951"/>
      <c r="L4" s="951"/>
      <c r="M4" s="951"/>
      <c r="N4" s="951"/>
      <c r="O4" s="951"/>
      <c r="P4" s="951"/>
      <c r="Q4" s="951"/>
      <c r="R4" s="951"/>
      <c r="S4" s="951"/>
      <c r="T4" s="951"/>
      <c r="U4" s="951"/>
      <c r="V4" s="951"/>
      <c r="W4" s="951"/>
      <c r="X4" s="951"/>
      <c r="Y4" s="951"/>
      <c r="Z4" s="951"/>
      <c r="AA4" s="951"/>
      <c r="AB4" s="951"/>
      <c r="AC4" s="951"/>
      <c r="AD4" s="951"/>
      <c r="AE4" s="951"/>
      <c r="AF4" s="951"/>
      <c r="AG4" s="951"/>
      <c r="AH4" s="951"/>
      <c r="AI4" s="951"/>
      <c r="AJ4" s="951"/>
      <c r="AK4" s="951"/>
      <c r="AL4" s="951"/>
      <c r="AM4" s="951"/>
      <c r="AN4" s="951"/>
      <c r="AO4" s="951"/>
      <c r="AP4" s="951"/>
      <c r="AQ4" s="951"/>
      <c r="AR4" s="951"/>
      <c r="AS4" s="951"/>
      <c r="AT4" s="951"/>
      <c r="AU4" s="951"/>
      <c r="AV4" s="1158"/>
      <c r="AW4" s="1158"/>
      <c r="AX4" s="1158"/>
      <c r="AY4" s="951"/>
      <c r="AZ4" s="1158"/>
      <c r="BA4" s="1158"/>
      <c r="BB4" s="1158"/>
      <c r="BC4" s="951"/>
      <c r="BD4" s="1158"/>
      <c r="BE4" s="1158"/>
      <c r="BF4" s="1158"/>
      <c r="BG4" s="1158"/>
      <c r="BH4" s="1166"/>
      <c r="BI4" s="1158"/>
      <c r="BJ4" s="1158"/>
      <c r="BK4" s="1158"/>
      <c r="BL4" s="1158"/>
      <c r="BM4" s="1158"/>
      <c r="BN4" s="1158"/>
      <c r="BO4" s="1158"/>
      <c r="BP4" s="1158"/>
      <c r="BQ4" s="1158"/>
      <c r="BR4" s="1158"/>
      <c r="BS4" s="1158"/>
      <c r="BT4" s="1158"/>
      <c r="BU4" s="1158"/>
      <c r="BV4" s="1158"/>
      <c r="BW4" s="1158"/>
      <c r="BX4" s="1158"/>
      <c r="BY4" s="1158"/>
      <c r="BZ4" s="1158"/>
      <c r="CA4" s="1158"/>
      <c r="CB4" s="1158"/>
      <c r="CC4" s="1158"/>
      <c r="CD4" s="1158"/>
      <c r="CE4" s="1158"/>
      <c r="CF4" s="1158"/>
      <c r="CG4" s="1158"/>
      <c r="CH4" s="1158"/>
      <c r="CI4" s="1158"/>
      <c r="CJ4" s="1158"/>
      <c r="CK4" s="1158"/>
      <c r="CL4" s="1158"/>
      <c r="CM4" s="1158"/>
      <c r="CN4" s="1229"/>
      <c r="CO4" s="1158"/>
      <c r="CP4" s="1158"/>
      <c r="CQ4" s="1158"/>
      <c r="CR4" s="1158"/>
      <c r="CS4" s="1158"/>
      <c r="CT4" s="1158"/>
      <c r="CU4" s="1158"/>
      <c r="CV4" s="1158"/>
      <c r="CW4" s="1158"/>
      <c r="CX4" s="1158"/>
      <c r="CY4" s="1158"/>
      <c r="CZ4" s="1158"/>
      <c r="DA4" s="1158"/>
      <c r="DB4" s="951"/>
      <c r="DC4" s="951"/>
      <c r="DD4" s="951"/>
      <c r="DE4" s="951"/>
      <c r="DF4" s="951"/>
      <c r="DG4" s="951"/>
      <c r="DH4" s="951"/>
      <c r="DI4" s="951"/>
      <c r="DJ4" s="951"/>
      <c r="DK4" s="951"/>
      <c r="DL4" s="951"/>
      <c r="DM4" s="951"/>
      <c r="DN4" s="951"/>
      <c r="DO4" s="951"/>
      <c r="DP4" s="951"/>
      <c r="DQ4" s="951"/>
      <c r="DR4" s="951"/>
      <c r="DS4" s="951"/>
      <c r="DT4" s="951"/>
      <c r="DU4" s="951"/>
      <c r="DV4" s="951"/>
      <c r="DW4" s="951"/>
      <c r="DX4" s="951"/>
      <c r="DY4" s="951"/>
    </row>
    <row r="5" spans="1:129" ht="6" customHeight="1">
      <c r="A5" s="1167"/>
      <c r="B5" s="951"/>
      <c r="C5" s="951"/>
      <c r="D5" s="951"/>
      <c r="E5" s="951"/>
      <c r="F5" s="951"/>
      <c r="G5" s="951"/>
      <c r="H5" s="951"/>
      <c r="I5" s="951"/>
      <c r="J5" s="951"/>
      <c r="K5" s="951"/>
      <c r="L5" s="951"/>
      <c r="M5" s="951"/>
      <c r="N5" s="951"/>
      <c r="O5" s="951"/>
      <c r="P5" s="951"/>
      <c r="Q5" s="951"/>
      <c r="R5" s="951"/>
      <c r="S5" s="951"/>
      <c r="T5" s="951"/>
      <c r="U5" s="951"/>
      <c r="V5" s="951"/>
      <c r="W5" s="951"/>
      <c r="X5" s="951"/>
      <c r="Y5" s="951"/>
      <c r="Z5" s="951"/>
      <c r="AA5" s="951"/>
      <c r="AB5" s="951"/>
      <c r="AC5" s="951"/>
      <c r="AD5" s="951"/>
      <c r="AE5" s="951"/>
      <c r="AF5" s="951"/>
      <c r="AG5" s="951"/>
      <c r="AH5" s="951"/>
      <c r="AI5" s="951"/>
      <c r="AJ5" s="951"/>
      <c r="AK5" s="951"/>
      <c r="AL5" s="951"/>
      <c r="AM5" s="951"/>
      <c r="AN5" s="951"/>
      <c r="AO5" s="951"/>
      <c r="AP5" s="951"/>
      <c r="AQ5" s="951"/>
      <c r="AR5" s="951"/>
      <c r="AS5" s="951"/>
      <c r="AT5" s="951"/>
      <c r="AU5" s="951"/>
      <c r="AV5" s="1158"/>
      <c r="AW5" s="1158"/>
      <c r="AX5" s="1158"/>
      <c r="AY5" s="951"/>
      <c r="AZ5" s="1158"/>
      <c r="BA5" s="1158"/>
      <c r="BB5" s="1158"/>
      <c r="BC5" s="951"/>
      <c r="BD5" s="1158"/>
      <c r="BE5" s="1158"/>
      <c r="BF5" s="1158"/>
      <c r="BG5" s="1158"/>
      <c r="BH5" s="1158"/>
      <c r="BI5" s="1158"/>
      <c r="BJ5" s="1158"/>
      <c r="BK5" s="1158"/>
      <c r="BL5" s="1158"/>
      <c r="BM5" s="1158"/>
      <c r="BN5" s="1158"/>
      <c r="BO5" s="1158"/>
      <c r="BP5" s="1158"/>
      <c r="BQ5" s="1158"/>
      <c r="BR5" s="1158"/>
      <c r="BS5" s="1158"/>
      <c r="BT5" s="1158"/>
      <c r="BU5" s="1158"/>
      <c r="BV5" s="1158"/>
      <c r="BW5" s="1158"/>
      <c r="BX5" s="1158"/>
      <c r="BY5" s="1158"/>
      <c r="BZ5" s="1158"/>
      <c r="CA5" s="1158"/>
      <c r="CB5" s="1158"/>
      <c r="CC5" s="1158"/>
      <c r="CD5" s="1158"/>
      <c r="CE5" s="1158"/>
      <c r="CF5" s="1158"/>
      <c r="CG5" s="1158"/>
      <c r="CH5" s="1158"/>
      <c r="CI5" s="1158"/>
      <c r="CJ5" s="1158"/>
      <c r="CK5" s="1158"/>
      <c r="CL5" s="1158"/>
      <c r="CM5" s="1158"/>
      <c r="CN5" s="1158"/>
      <c r="CO5" s="1158"/>
      <c r="CP5" s="1158"/>
      <c r="CQ5" s="1158"/>
      <c r="CR5" s="1158"/>
      <c r="CS5" s="1158"/>
      <c r="CT5" s="1158"/>
      <c r="CU5" s="1158"/>
      <c r="CV5" s="1158"/>
      <c r="CW5" s="1158"/>
      <c r="CX5" s="1158"/>
      <c r="CY5" s="1158"/>
      <c r="CZ5" s="1158"/>
      <c r="DA5" s="1158"/>
      <c r="DB5" s="951"/>
      <c r="DC5" s="951"/>
      <c r="DD5" s="951"/>
      <c r="DE5" s="951"/>
      <c r="DF5" s="951"/>
      <c r="DG5" s="951"/>
      <c r="DH5" s="951"/>
      <c r="DI5" s="951"/>
      <c r="DJ5" s="951"/>
      <c r="DK5" s="951"/>
      <c r="DL5" s="951"/>
      <c r="DM5" s="951"/>
      <c r="DN5" s="951"/>
      <c r="DO5" s="951"/>
      <c r="DP5" s="951"/>
      <c r="DQ5" s="951"/>
      <c r="DR5" s="951"/>
      <c r="DS5" s="951"/>
      <c r="DT5" s="951"/>
      <c r="DU5" s="951"/>
      <c r="DV5" s="951"/>
      <c r="DW5" s="951"/>
      <c r="DX5" s="951"/>
      <c r="DY5" s="951"/>
    </row>
    <row r="6" spans="1:129" ht="12.75">
      <c r="A6" s="45"/>
      <c r="B6" s="45"/>
      <c r="C6" s="1168" t="s">
        <v>48</v>
      </c>
      <c r="D6" s="1169"/>
      <c r="E6" s="1169"/>
      <c r="F6" s="45"/>
      <c r="G6" s="1168" t="s">
        <v>766</v>
      </c>
      <c r="H6" s="1169"/>
      <c r="I6" s="1169"/>
      <c r="J6" s="45"/>
      <c r="K6" s="1168" t="s">
        <v>767</v>
      </c>
      <c r="L6" s="1169"/>
      <c r="M6" s="1169"/>
      <c r="N6" s="45"/>
      <c r="O6" s="1170" t="s">
        <v>49</v>
      </c>
      <c r="P6" s="1169"/>
      <c r="Q6" s="1169"/>
      <c r="R6" s="45"/>
      <c r="S6" s="1170" t="s">
        <v>155</v>
      </c>
      <c r="T6" s="1169"/>
      <c r="U6" s="1169"/>
      <c r="V6" s="45"/>
      <c r="W6" s="1169" t="s">
        <v>436</v>
      </c>
      <c r="X6" s="1169"/>
      <c r="Y6" s="1169"/>
      <c r="Z6" s="1171" t="s">
        <v>441</v>
      </c>
      <c r="AA6" s="45"/>
      <c r="AB6" s="1169" t="s">
        <v>520</v>
      </c>
      <c r="AC6" s="1169"/>
      <c r="AD6" s="1169"/>
      <c r="AE6" s="45"/>
      <c r="AF6" s="1169" t="s">
        <v>568</v>
      </c>
      <c r="AG6" s="1169"/>
      <c r="AH6" s="1169"/>
      <c r="AI6" s="45"/>
      <c r="AJ6" s="1169" t="s">
        <v>585</v>
      </c>
      <c r="AK6" s="1169"/>
      <c r="AL6" s="1169"/>
      <c r="AM6" s="45"/>
      <c r="AN6" s="1169" t="s">
        <v>691</v>
      </c>
      <c r="AO6" s="1169"/>
      <c r="AP6" s="1169"/>
      <c r="AQ6" s="45"/>
      <c r="AR6" s="1172" t="s">
        <v>260</v>
      </c>
      <c r="AS6" s="1172"/>
      <c r="AT6" s="1169"/>
      <c r="AU6" s="45"/>
      <c r="AV6" s="1172" t="s">
        <v>259</v>
      </c>
      <c r="AW6" s="1172"/>
      <c r="AX6" s="1172"/>
      <c r="AY6" s="45"/>
      <c r="AZ6" s="1173" t="s">
        <v>258</v>
      </c>
      <c r="BA6" s="1172"/>
      <c r="BB6" s="1172"/>
      <c r="BC6" s="45"/>
      <c r="BD6" s="1173" t="s">
        <v>257</v>
      </c>
      <c r="BE6" s="1174"/>
      <c r="BF6" s="1174"/>
      <c r="BG6" s="1175"/>
      <c r="BH6" s="2173" t="s">
        <v>747</v>
      </c>
      <c r="BI6" s="2174"/>
      <c r="BJ6" s="2174"/>
      <c r="BK6" s="1176"/>
      <c r="BL6" s="2173" t="s">
        <v>748</v>
      </c>
      <c r="BM6" s="2174"/>
      <c r="BN6" s="2174"/>
      <c r="BO6" s="1176"/>
      <c r="BP6" s="2173" t="s">
        <v>141</v>
      </c>
      <c r="BQ6" s="2174"/>
      <c r="BR6" s="2174"/>
      <c r="BS6" s="1176"/>
      <c r="BT6" s="2174" t="s">
        <v>479</v>
      </c>
      <c r="BU6" s="2174"/>
      <c r="BV6" s="2174"/>
      <c r="BW6" s="1177"/>
      <c r="BX6" s="2174" t="s">
        <v>190</v>
      </c>
      <c r="BY6" s="2174"/>
      <c r="BZ6" s="2174"/>
      <c r="CA6" s="1177"/>
      <c r="CB6" s="2174" t="s">
        <v>187</v>
      </c>
      <c r="CC6" s="2174"/>
      <c r="CD6" s="2174"/>
      <c r="CE6" s="1177"/>
      <c r="CF6" s="2174" t="s">
        <v>788</v>
      </c>
      <c r="CG6" s="2174"/>
      <c r="CH6" s="2174"/>
      <c r="CI6" s="1177"/>
      <c r="CJ6" s="2174" t="s">
        <v>800</v>
      </c>
      <c r="CK6" s="2174"/>
      <c r="CL6" s="2174"/>
      <c r="CM6" s="1177"/>
      <c r="CN6" s="2173" t="s">
        <v>804</v>
      </c>
      <c r="CO6" s="2174"/>
      <c r="CP6" s="2174"/>
      <c r="CQ6" s="1177"/>
      <c r="CR6" s="2171" t="s">
        <v>188</v>
      </c>
      <c r="CS6" s="2172"/>
      <c r="CT6" s="2172"/>
      <c r="CU6" s="1176"/>
      <c r="CV6" s="1158"/>
      <c r="CW6" s="1176"/>
      <c r="CX6" s="1176"/>
      <c r="CY6" s="1176"/>
      <c r="CZ6" s="1178"/>
      <c r="DA6" s="1178"/>
      <c r="DB6" s="1179"/>
      <c r="DC6" s="1179"/>
      <c r="DD6" s="1179"/>
      <c r="DE6" s="1179"/>
      <c r="DF6" s="1179"/>
      <c r="DG6" s="1179"/>
      <c r="DH6" s="45"/>
      <c r="DI6" s="45"/>
      <c r="DJ6" s="45"/>
      <c r="DK6" s="45"/>
      <c r="DL6" s="45"/>
      <c r="DM6" s="45"/>
      <c r="DN6" s="45"/>
      <c r="DO6" s="45"/>
      <c r="DP6" s="45"/>
      <c r="DQ6" s="45"/>
      <c r="DR6" s="45"/>
      <c r="DS6" s="45"/>
      <c r="DT6" s="45"/>
      <c r="DU6" s="45"/>
      <c r="DV6" s="45"/>
      <c r="DW6" s="45"/>
      <c r="DX6" s="45"/>
      <c r="DY6" s="45"/>
    </row>
    <row r="7" spans="1:129" ht="12.75">
      <c r="A7" s="951"/>
      <c r="B7" s="951"/>
      <c r="C7" s="951"/>
      <c r="D7" s="951"/>
      <c r="E7" s="951"/>
      <c r="F7" s="951"/>
      <c r="G7" s="951"/>
      <c r="H7" s="951"/>
      <c r="I7" s="951"/>
      <c r="J7" s="951"/>
      <c r="K7" s="951"/>
      <c r="L7" s="951"/>
      <c r="M7" s="951"/>
      <c r="N7" s="951"/>
      <c r="O7" s="951"/>
      <c r="P7" s="951"/>
      <c r="Q7" s="951"/>
      <c r="R7" s="951"/>
      <c r="S7" s="951"/>
      <c r="T7" s="951"/>
      <c r="U7" s="951"/>
      <c r="V7" s="951"/>
      <c r="W7" s="951"/>
      <c r="X7" s="951"/>
      <c r="Y7" s="951"/>
      <c r="Z7" s="951" t="s">
        <v>435</v>
      </c>
      <c r="AA7" s="951"/>
      <c r="AB7" s="951"/>
      <c r="AC7" s="951"/>
      <c r="AD7" s="951"/>
      <c r="AE7" s="951"/>
      <c r="AF7" s="951"/>
      <c r="AG7" s="951"/>
      <c r="AH7" s="951"/>
      <c r="AI7" s="951"/>
      <c r="AJ7" s="951"/>
      <c r="AK7" s="1180"/>
      <c r="AL7" s="951"/>
      <c r="AM7" s="951"/>
      <c r="AN7" s="951"/>
      <c r="AO7" s="951"/>
      <c r="AP7" s="951"/>
      <c r="AQ7" s="951"/>
      <c r="AR7" s="951"/>
      <c r="AS7" s="951"/>
      <c r="AT7" s="951"/>
      <c r="AU7" s="951"/>
      <c r="AV7" s="1158"/>
      <c r="AW7" s="1158"/>
      <c r="AX7" s="1158"/>
      <c r="AY7" s="951"/>
      <c r="AZ7" s="1158"/>
      <c r="BA7" s="1158"/>
      <c r="BB7" s="1158"/>
      <c r="BC7" s="951"/>
      <c r="BD7" s="1158"/>
      <c r="BE7" s="1158"/>
      <c r="BF7" s="1158"/>
      <c r="BG7" s="1158"/>
      <c r="BH7" s="1158"/>
      <c r="BI7" s="1158"/>
      <c r="BJ7" s="1158"/>
      <c r="BK7" s="1158"/>
      <c r="BL7" s="1158" t="s">
        <v>193</v>
      </c>
      <c r="BM7" s="1158"/>
      <c r="BN7" s="1158"/>
      <c r="BO7" s="1158"/>
      <c r="BP7" s="1158" t="s">
        <v>193</v>
      </c>
      <c r="BQ7" s="1158"/>
      <c r="BR7" s="1158"/>
      <c r="BS7" s="1158"/>
      <c r="BT7" s="1158" t="s">
        <v>193</v>
      </c>
      <c r="BU7" s="1158"/>
      <c r="BV7" s="1158"/>
      <c r="BW7" s="1158"/>
      <c r="BX7" s="1158" t="s">
        <v>865</v>
      </c>
      <c r="BY7" s="1158"/>
      <c r="BZ7" s="1158"/>
      <c r="CA7" s="1158"/>
      <c r="CB7" s="1158"/>
      <c r="CC7" s="1158"/>
      <c r="CD7" s="1158"/>
      <c r="CE7" s="1158"/>
      <c r="CF7" s="1158"/>
      <c r="CG7" s="1158"/>
      <c r="CH7" s="1158"/>
      <c r="CI7" s="1158"/>
      <c r="CJ7" s="1158"/>
      <c r="CK7" s="1158"/>
      <c r="CL7" s="1158"/>
      <c r="CM7" s="1158"/>
      <c r="CN7" s="1158"/>
      <c r="CO7" s="1158"/>
      <c r="CP7" s="1158"/>
      <c r="CQ7" s="1158"/>
      <c r="CR7" s="1158"/>
      <c r="CS7" s="1158"/>
      <c r="CT7" s="1158"/>
      <c r="CU7" s="1188"/>
      <c r="CV7" s="1188"/>
      <c r="CW7" s="1188"/>
      <c r="CX7" s="1188">
        <v>2017</v>
      </c>
      <c r="CY7" s="1158"/>
      <c r="CZ7" s="1188">
        <v>2018</v>
      </c>
      <c r="DA7" s="1158"/>
      <c r="DB7" s="951"/>
      <c r="DC7" s="951"/>
      <c r="DD7" s="951"/>
      <c r="DE7" s="951"/>
      <c r="DF7" s="951"/>
      <c r="DG7" s="951"/>
      <c r="DH7" s="951"/>
      <c r="DI7" s="951"/>
      <c r="DJ7" s="951"/>
      <c r="DK7" s="951"/>
      <c r="DL7" s="951"/>
      <c r="DM7" s="951"/>
      <c r="DN7" s="951"/>
      <c r="DO7" s="951"/>
      <c r="DP7" s="951"/>
      <c r="DQ7" s="951"/>
      <c r="DR7" s="951"/>
      <c r="DS7" s="951"/>
      <c r="DT7" s="951"/>
      <c r="DU7" s="951"/>
      <c r="DV7" s="951"/>
      <c r="DW7" s="951"/>
      <c r="DX7" s="951"/>
      <c r="DY7" s="951"/>
    </row>
    <row r="8" spans="1:129" ht="12.75" outlineLevel="2">
      <c r="A8" s="1181"/>
      <c r="B8" s="1181"/>
      <c r="C8" s="1181"/>
      <c r="D8" s="1181"/>
      <c r="E8" s="1181"/>
      <c r="F8" s="1181"/>
      <c r="G8" s="1182"/>
      <c r="H8" s="1182"/>
      <c r="I8" s="1182"/>
      <c r="J8" s="1182"/>
      <c r="K8" s="1182"/>
      <c r="L8" s="1182"/>
      <c r="M8" s="1182"/>
      <c r="N8" s="1182"/>
      <c r="O8" s="1182"/>
      <c r="P8" s="1182"/>
      <c r="Q8" s="1182"/>
      <c r="R8" s="1182"/>
      <c r="S8" s="45"/>
      <c r="T8" s="1182"/>
      <c r="U8" s="1182"/>
      <c r="V8" s="1182"/>
      <c r="W8" s="45"/>
      <c r="X8" s="1182"/>
      <c r="Y8" s="1182"/>
      <c r="Z8" s="1183"/>
      <c r="AA8" s="1183"/>
      <c r="AB8" s="1183"/>
      <c r="AC8" s="1183"/>
      <c r="AD8" s="1183"/>
      <c r="AE8" s="1183"/>
      <c r="AF8" s="1182"/>
      <c r="AG8" s="1183"/>
      <c r="AH8" s="1183"/>
      <c r="AI8" s="1183"/>
      <c r="AJ8" s="1184"/>
      <c r="AK8" s="1183"/>
      <c r="AL8" s="1183"/>
      <c r="AM8" s="1183"/>
      <c r="AN8" s="1184"/>
      <c r="AO8" s="1183"/>
      <c r="AP8" s="1183"/>
      <c r="AQ8" s="1183"/>
      <c r="AR8" s="1184"/>
      <c r="AS8" s="1183"/>
      <c r="AT8" s="1183"/>
      <c r="AU8" s="1183"/>
      <c r="AW8" s="1185"/>
      <c r="AX8" s="1185"/>
      <c r="AY8" s="1183"/>
      <c r="AZ8" s="1186"/>
      <c r="BA8" s="1185"/>
      <c r="BB8" s="1185"/>
      <c r="BC8" s="1183"/>
      <c r="BD8" s="1186"/>
      <c r="BE8" s="1185"/>
      <c r="BF8" s="1185"/>
      <c r="BG8" s="1185"/>
      <c r="BH8" s="1186"/>
      <c r="BI8" s="1185"/>
      <c r="BJ8" s="1185"/>
      <c r="BK8" s="1185"/>
      <c r="BL8" s="1186"/>
      <c r="BM8" s="1185"/>
      <c r="BN8" s="1185"/>
      <c r="BO8" s="1185"/>
      <c r="BP8" s="1182" t="s">
        <v>238</v>
      </c>
      <c r="BQ8" s="1185"/>
      <c r="BR8" s="1185"/>
      <c r="BS8" s="1185"/>
      <c r="BT8" s="1186"/>
      <c r="BU8" s="1185"/>
      <c r="BV8" s="1185"/>
      <c r="BW8" s="1185"/>
      <c r="BX8" s="1185"/>
      <c r="BY8" s="1185"/>
      <c r="BZ8" s="1185"/>
      <c r="CA8" s="1187"/>
      <c r="CB8" s="1185"/>
      <c r="CC8" s="1185"/>
      <c r="CD8" s="1185"/>
      <c r="CE8" s="1783"/>
      <c r="CF8" s="1783"/>
      <c r="CG8" s="1182" t="s">
        <v>238</v>
      </c>
      <c r="CH8" s="1185"/>
      <c r="CI8" s="1783"/>
      <c r="CJ8" s="1783"/>
      <c r="CK8" s="1185"/>
      <c r="CL8" s="1185"/>
      <c r="CM8" s="1783"/>
      <c r="CN8" s="1783"/>
      <c r="CO8" s="1185"/>
      <c r="CP8" s="1185"/>
      <c r="CQ8" s="1185"/>
      <c r="CR8" s="1185"/>
      <c r="CS8" s="1185"/>
      <c r="CT8" s="1185"/>
      <c r="CU8" s="1191"/>
      <c r="CV8" s="1191"/>
      <c r="CW8" s="1191"/>
      <c r="CX8" s="1191" t="s">
        <v>380</v>
      </c>
      <c r="CY8" s="1187"/>
      <c r="CZ8" s="1191" t="s">
        <v>380</v>
      </c>
      <c r="DA8" s="1187"/>
      <c r="DB8" s="156"/>
      <c r="DC8" s="2010"/>
      <c r="DD8" s="156"/>
      <c r="DE8" s="2010"/>
      <c r="DF8" s="156"/>
      <c r="DG8" s="156"/>
      <c r="DH8" s="1171" t="s">
        <v>446</v>
      </c>
      <c r="DI8" s="45"/>
      <c r="DJ8" s="45"/>
      <c r="DK8" s="45"/>
      <c r="DL8" s="45"/>
      <c r="DM8" s="45"/>
      <c r="DN8" s="1171" t="s">
        <v>522</v>
      </c>
      <c r="DO8" s="45"/>
      <c r="DP8" s="45"/>
      <c r="DQ8" s="45"/>
      <c r="DR8" s="45"/>
      <c r="DS8" s="45"/>
      <c r="DT8" s="1171" t="s">
        <v>509</v>
      </c>
      <c r="DU8" s="1171"/>
      <c r="DV8" s="45"/>
      <c r="DW8" s="45"/>
      <c r="DX8" s="45"/>
      <c r="DY8" s="45"/>
    </row>
    <row r="9" spans="1:129" ht="12.75" outlineLevel="2">
      <c r="A9" s="1189"/>
      <c r="B9" s="1189"/>
      <c r="C9" s="1189"/>
      <c r="D9" s="1189"/>
      <c r="E9" s="1189"/>
      <c r="F9" s="1189"/>
      <c r="G9" s="1189"/>
      <c r="H9" s="1189"/>
      <c r="I9" s="1189"/>
      <c r="J9" s="1189"/>
      <c r="K9" s="1189"/>
      <c r="L9" s="1189"/>
      <c r="M9" s="1189"/>
      <c r="N9" s="1189"/>
      <c r="O9" s="1189"/>
      <c r="P9" s="1189"/>
      <c r="Q9" s="1189"/>
      <c r="R9" s="1189"/>
      <c r="S9" s="1189"/>
      <c r="T9" s="1189"/>
      <c r="U9" s="1189"/>
      <c r="V9" s="1189"/>
      <c r="W9" s="1189"/>
      <c r="X9" s="1189"/>
      <c r="Y9" s="1189"/>
      <c r="Z9" s="1190" t="s">
        <v>250</v>
      </c>
      <c r="AA9" s="1189"/>
      <c r="AB9" s="1189"/>
      <c r="AC9" s="1189"/>
      <c r="AD9" s="1189"/>
      <c r="AE9" s="1189"/>
      <c r="AF9" s="1189"/>
      <c r="AG9" s="1189"/>
      <c r="AH9" s="1189"/>
      <c r="AI9" s="1189"/>
      <c r="AJ9" s="1189"/>
      <c r="AK9" s="1189"/>
      <c r="AL9" s="1189"/>
      <c r="AM9" s="1189"/>
      <c r="AN9" s="1189"/>
      <c r="AO9" s="1189"/>
      <c r="AP9" s="1189"/>
      <c r="AQ9" s="1189"/>
      <c r="AR9" s="1189"/>
      <c r="AS9" s="1189"/>
      <c r="AT9" s="1189"/>
      <c r="AU9" s="1189"/>
      <c r="AV9" s="1191"/>
      <c r="AW9" s="1191"/>
      <c r="AX9" s="1191"/>
      <c r="AY9" s="1189"/>
      <c r="AZ9" s="1191"/>
      <c r="BA9" s="1191"/>
      <c r="BB9" s="1191"/>
      <c r="BC9" s="1189"/>
      <c r="BD9" s="1191"/>
      <c r="BE9" s="1191"/>
      <c r="BF9" s="1191"/>
      <c r="BG9" s="1191"/>
      <c r="BH9" s="1191"/>
      <c r="BI9" s="1191"/>
      <c r="BJ9" s="1191"/>
      <c r="BK9" s="1191"/>
      <c r="BL9" s="1191"/>
      <c r="BM9" s="1191"/>
      <c r="BN9" s="1191"/>
      <c r="BO9" s="1191"/>
      <c r="BP9" s="1191"/>
      <c r="BQ9" s="1191"/>
      <c r="BR9" s="1191"/>
      <c r="BS9" s="1191"/>
      <c r="BT9" s="1191"/>
      <c r="BU9" s="1191"/>
      <c r="BV9" s="1191"/>
      <c r="BW9" s="1191"/>
      <c r="BX9" s="1191"/>
      <c r="BY9" s="1191"/>
      <c r="BZ9" s="1191"/>
      <c r="CA9" s="1191"/>
      <c r="CB9" s="1191"/>
      <c r="CC9" s="1191"/>
      <c r="CD9" s="1191"/>
      <c r="CE9" s="1191"/>
      <c r="CF9" s="1191"/>
      <c r="CG9" s="1191"/>
      <c r="CH9" s="1191"/>
      <c r="CI9" s="1191"/>
      <c r="CJ9" s="1191"/>
      <c r="CK9" s="1191"/>
      <c r="CL9" s="1191"/>
      <c r="CM9" s="1191"/>
      <c r="CN9" s="1191"/>
      <c r="CO9" s="2011"/>
      <c r="CP9" s="1191"/>
      <c r="CQ9" s="1191"/>
      <c r="CR9" s="1191"/>
      <c r="CS9" s="1191"/>
      <c r="CT9" s="1191"/>
      <c r="CU9" s="1203"/>
      <c r="CV9" s="1203"/>
      <c r="CW9" s="1203"/>
      <c r="CX9" s="1203">
        <f>CP10+CL10</f>
        <v>8</v>
      </c>
      <c r="CY9" s="1191"/>
      <c r="CZ9" s="1203">
        <f>CT10+CP10</f>
        <v>7</v>
      </c>
      <c r="DA9" s="1191"/>
      <c r="DB9" s="1189"/>
      <c r="DC9" s="1189"/>
      <c r="DD9" s="1189"/>
      <c r="DE9" s="1189"/>
      <c r="DF9" s="1189"/>
      <c r="DG9" s="1189"/>
      <c r="DH9" s="1189" t="s">
        <v>558</v>
      </c>
      <c r="DI9" s="1192" t="s">
        <v>445</v>
      </c>
      <c r="DJ9" s="1189" t="s">
        <v>557</v>
      </c>
      <c r="DK9" s="1192" t="s">
        <v>445</v>
      </c>
      <c r="DL9" s="1189" t="s">
        <v>695</v>
      </c>
      <c r="DM9" s="1189"/>
      <c r="DN9" s="1189" t="s">
        <v>443</v>
      </c>
      <c r="DO9" s="1192" t="s">
        <v>445</v>
      </c>
      <c r="DP9" s="1189" t="s">
        <v>444</v>
      </c>
      <c r="DQ9" s="1192" t="s">
        <v>445</v>
      </c>
      <c r="DR9" s="1189" t="s">
        <v>695</v>
      </c>
      <c r="DS9" s="1189"/>
      <c r="DT9" s="1189"/>
      <c r="DU9" s="1189"/>
      <c r="DV9" s="1189"/>
      <c r="DW9" s="1189"/>
      <c r="DX9" s="1189"/>
      <c r="DY9" s="1189"/>
    </row>
    <row r="10" spans="1:129" ht="12.75" outlineLevel="2">
      <c r="A10" s="1167" t="s">
        <v>734</v>
      </c>
      <c r="B10" s="951"/>
      <c r="C10" s="267">
        <v>48.417000000000002</v>
      </c>
      <c r="D10" s="1193"/>
      <c r="E10" s="1194">
        <f>qtrSales!$E52</f>
        <v>8.4</v>
      </c>
      <c r="F10" s="951"/>
      <c r="G10" s="267">
        <v>54.396000000000001</v>
      </c>
      <c r="H10" s="1193">
        <f>(G10/(C10)-1)*100</f>
        <v>12.348968337567378</v>
      </c>
      <c r="I10" s="1194">
        <f>qtrSales!E58</f>
        <v>10.3</v>
      </c>
      <c r="J10" s="951"/>
      <c r="K10" s="267">
        <v>60.951999999999998</v>
      </c>
      <c r="L10" s="1193">
        <f>(K10/(G10)-1)*100</f>
        <v>12.0523567909405</v>
      </c>
      <c r="M10" s="1194">
        <f>qtrSales!E65</f>
        <v>3.3</v>
      </c>
      <c r="N10" s="951"/>
      <c r="O10" s="267">
        <v>99.694000000000003</v>
      </c>
      <c r="P10" s="1193">
        <f>(O10/(K10)-1)*100</f>
        <v>63.561491009318829</v>
      </c>
      <c r="Q10" s="1195">
        <f>qtrSales!E72</f>
        <v>52.4</v>
      </c>
      <c r="R10" s="951"/>
      <c r="S10" s="267">
        <v>145.404</v>
      </c>
      <c r="T10" s="1193">
        <f>(S10/O10-1)*100</f>
        <v>45.850301923887081</v>
      </c>
      <c r="U10" s="1195">
        <f>qtrSales!E79</f>
        <v>27.5</v>
      </c>
      <c r="V10" s="951"/>
      <c r="W10" s="267">
        <v>177.999</v>
      </c>
      <c r="X10" s="1193">
        <f>(W10/S10-1)*100</f>
        <v>22.416852356193772</v>
      </c>
      <c r="Y10" s="1195">
        <f>+qtrSales!E86</f>
        <v>3.9</v>
      </c>
      <c r="Z10" s="951" t="s">
        <v>239</v>
      </c>
      <c r="AA10" s="951"/>
      <c r="AB10" s="267">
        <v>251.548</v>
      </c>
      <c r="AC10" s="1193">
        <f>(AB10/W10-1)*100</f>
        <v>41.319895055590194</v>
      </c>
      <c r="AD10" s="1196">
        <v>8.1999999999999993</v>
      </c>
      <c r="AE10" s="951"/>
      <c r="AF10" s="267">
        <v>277.89299999999997</v>
      </c>
      <c r="AG10" s="1193">
        <f>(AF10/AB10-1)*100</f>
        <v>10.473150253629516</v>
      </c>
      <c r="AH10" s="1197">
        <v>-6.1</v>
      </c>
      <c r="AI10" s="951"/>
      <c r="AJ10" s="267">
        <f>628.913-AJ11</f>
        <v>291.858</v>
      </c>
      <c r="AK10" s="1193">
        <f t="shared" ref="AK10:AK16" si="0">(AJ10/AF10-1)*100</f>
        <v>5.0253154991309668</v>
      </c>
      <c r="AL10" s="1197">
        <v>-6.5</v>
      </c>
      <c r="AM10" s="951"/>
      <c r="AN10" s="267">
        <v>332.23</v>
      </c>
      <c r="AO10" s="1193">
        <f t="shared" ref="AO10:AO16" si="1">(AN10/AJ10-1)*100</f>
        <v>13.832754284617877</v>
      </c>
      <c r="AP10" s="1196">
        <v>9.3000000000000007</v>
      </c>
      <c r="AQ10" s="951"/>
      <c r="AR10" s="267">
        <v>456.47699999999998</v>
      </c>
      <c r="AS10" s="1193">
        <f>(AR10/AN10-1)*100</f>
        <v>37.397887005989801</v>
      </c>
      <c r="AT10" s="1196">
        <v>27.1</v>
      </c>
      <c r="AU10" s="951"/>
      <c r="AV10" s="577">
        <v>522.428</v>
      </c>
      <c r="AW10" s="1198">
        <f t="shared" ref="AW10:AW16" si="2">(AV10/AR10-1)*100</f>
        <v>14.447825410699778</v>
      </c>
      <c r="AX10" s="1199">
        <v>9</v>
      </c>
      <c r="AY10" s="951"/>
      <c r="AZ10" s="577">
        <v>612.38599999999997</v>
      </c>
      <c r="BA10" s="1198">
        <f t="shared" ref="BA10:BA16" si="3">(AZ10/AV10-1)*100</f>
        <v>17.219214896598189</v>
      </c>
      <c r="BB10" s="1199">
        <v>6</v>
      </c>
      <c r="BC10" s="951"/>
      <c r="BD10" s="577">
        <v>640.30200000000002</v>
      </c>
      <c r="BE10" s="1198">
        <f t="shared" ref="BE10:BE16" si="4">(BD10/AZ10-1)*100</f>
        <v>4.5585627365746451</v>
      </c>
      <c r="BF10" s="1199">
        <v>-6</v>
      </c>
      <c r="BG10" s="1199"/>
      <c r="BH10" s="577">
        <f>611.986-10.307</f>
        <v>601.67899999999997</v>
      </c>
      <c r="BI10" s="1198">
        <f t="shared" ref="BI10:BI16" si="5">(BH10/BD10-1)*100</f>
        <v>-6.0319974012263078</v>
      </c>
      <c r="BJ10" s="1199">
        <v>-10</v>
      </c>
      <c r="BK10" s="1199"/>
      <c r="BL10" s="577">
        <f>648.462-3.342</f>
        <v>645.12</v>
      </c>
      <c r="BM10" s="1198">
        <f t="shared" ref="BM10:BM16" si="6">(BL10/BH10-1)*100</f>
        <v>7.219962804086566</v>
      </c>
      <c r="BN10" s="1789">
        <v>5</v>
      </c>
      <c r="BO10" s="1199"/>
      <c r="BP10" s="577">
        <f>609.562-6.478</f>
        <v>603.08400000000006</v>
      </c>
      <c r="BQ10" s="1198">
        <f t="shared" ref="BQ10:BQ16" si="7">(BP10/BL10-1)*100</f>
        <v>-6.5159970238095166</v>
      </c>
      <c r="BR10" s="1789">
        <v>-8</v>
      </c>
      <c r="BS10" s="1199"/>
      <c r="BT10" s="577">
        <v>708.69500000000005</v>
      </c>
      <c r="BU10" s="1198">
        <f t="shared" ref="BU10:BU16" si="8">(BT10/BP10-1)*100</f>
        <v>17.511822565347444</v>
      </c>
      <c r="BV10" s="1789">
        <v>17</v>
      </c>
      <c r="BW10" s="1199"/>
      <c r="BX10" s="577">
        <v>679.47699999999998</v>
      </c>
      <c r="BY10" s="1200">
        <f t="shared" ref="BY10:BY16" si="9">(BX10/BT10-1)*100</f>
        <v>-4.1227890700513026</v>
      </c>
      <c r="BZ10" s="1789">
        <v>-5</v>
      </c>
      <c r="CA10" s="1199"/>
      <c r="CB10" s="577">
        <v>646.12900000000002</v>
      </c>
      <c r="CC10" s="1200">
        <f>(CB10/BX10-1)*100</f>
        <v>-4.9078923937086794</v>
      </c>
      <c r="CD10" s="1789">
        <v>-10</v>
      </c>
      <c r="CE10" s="1199"/>
      <c r="CF10" s="577">
        <v>699.52</v>
      </c>
      <c r="CG10" s="1200">
        <f>(CF10/CB10-1)*100</f>
        <v>8.2632105972646244</v>
      </c>
      <c r="CH10" s="1789">
        <v>7</v>
      </c>
      <c r="CI10" s="1199"/>
      <c r="CJ10" s="577">
        <v>749.41600000000005</v>
      </c>
      <c r="CK10" s="1200">
        <f>(CJ10/CF10-1)*100</f>
        <v>7.1328911253430993</v>
      </c>
      <c r="CL10" s="1789">
        <v>6</v>
      </c>
      <c r="CM10" s="1199"/>
      <c r="CN10" s="577">
        <v>761.83600000000001</v>
      </c>
      <c r="CO10" s="1200">
        <f t="shared" ref="CO10:CO16" si="10">(CN10/CJ10-1)*100</f>
        <v>1.657290476851303</v>
      </c>
      <c r="CP10" s="1792">
        <v>2</v>
      </c>
      <c r="CQ10" s="1792"/>
      <c r="CR10" s="1201">
        <f>qtrSales!R212+qtrSales!AM212</f>
        <v>808.29303830291394</v>
      </c>
      <c r="CS10" s="1200">
        <f t="shared" ref="CS10:CS16" si="11">(CR10/CN10-1)*100</f>
        <v>6.0980366250628748</v>
      </c>
      <c r="CT10" s="1790">
        <f>qtrSales!E212</f>
        <v>5</v>
      </c>
      <c r="CU10" s="1203"/>
      <c r="CV10" s="1203"/>
      <c r="CW10" s="1203"/>
      <c r="CX10" s="1203">
        <f t="shared" ref="CX10:CX12" si="12">CP11+CL11</f>
        <v>5</v>
      </c>
      <c r="CY10" s="1204"/>
      <c r="CZ10" s="1203">
        <f t="shared" ref="CZ10:CZ12" si="13">CT11+CP11</f>
        <v>5</v>
      </c>
      <c r="DA10" s="1199"/>
      <c r="DB10" s="1195"/>
      <c r="DC10" s="1205"/>
      <c r="DD10" s="1205"/>
      <c r="DE10" s="1205"/>
      <c r="DF10" s="1195"/>
      <c r="DG10" s="1195"/>
      <c r="DH10" s="56">
        <v>213.03374543103448</v>
      </c>
      <c r="DI10" s="1206">
        <f>+DH10/DL10</f>
        <v>0.91260903618570022</v>
      </c>
      <c r="DJ10" s="951">
        <f>+qtrSales!AX234</f>
        <v>20.399999999999999</v>
      </c>
      <c r="DK10" s="1206">
        <f>+DJ10/DL10</f>
        <v>8.7390963814299769E-2</v>
      </c>
      <c r="DL10" s="951">
        <f>+DJ10+DH10</f>
        <v>233.43374543103448</v>
      </c>
      <c r="DM10" s="951"/>
      <c r="DN10" s="1207">
        <f>+qtrSales!R100</f>
        <v>270.89299999999997</v>
      </c>
      <c r="DO10" s="1206">
        <f>+DN10/DR10</f>
        <v>1</v>
      </c>
      <c r="DP10" s="951">
        <f>+qtrSales!R241</f>
        <v>0</v>
      </c>
      <c r="DQ10" s="1206">
        <f>+DP10/DR10</f>
        <v>0</v>
      </c>
      <c r="DR10" s="951">
        <f>+DP10+DN10</f>
        <v>270.89299999999997</v>
      </c>
      <c r="DS10" s="951"/>
      <c r="DT10" s="951"/>
      <c r="DU10" s="1208" t="s">
        <v>147</v>
      </c>
      <c r="DV10" s="1208" t="s">
        <v>148</v>
      </c>
      <c r="DW10" s="1208" t="s">
        <v>149</v>
      </c>
      <c r="DX10" s="1208" t="s">
        <v>150</v>
      </c>
      <c r="DY10" s="1208" t="s">
        <v>45</v>
      </c>
    </row>
    <row r="11" spans="1:129" ht="12.75" outlineLevel="2">
      <c r="A11" s="1167" t="s">
        <v>735</v>
      </c>
      <c r="B11" s="951"/>
      <c r="C11" s="164">
        <v>65.337000000000003</v>
      </c>
      <c r="D11" s="1193"/>
      <c r="E11" s="1194">
        <f>qtrSales!$E53</f>
        <v>5.9</v>
      </c>
      <c r="F11" s="1194"/>
      <c r="G11" s="164">
        <v>70.257000000000005</v>
      </c>
      <c r="H11" s="1193">
        <f>(G11/(C11)-1)*100</f>
        <v>7.5301896322145234</v>
      </c>
      <c r="I11" s="1194">
        <f>qtrSales!E59</f>
        <v>10</v>
      </c>
      <c r="J11" s="1194"/>
      <c r="K11" s="164">
        <v>86.159000000000006</v>
      </c>
      <c r="L11" s="1193">
        <f>(K11/(G11)-1)*100</f>
        <v>22.634043582845841</v>
      </c>
      <c r="M11" s="1194">
        <f>qtrSales!E66</f>
        <v>11.8</v>
      </c>
      <c r="N11" s="951"/>
      <c r="O11" s="164">
        <v>125.73099999999999</v>
      </c>
      <c r="P11" s="1193">
        <f>(O11/(K11)-1)*100</f>
        <v>45.92903817360925</v>
      </c>
      <c r="Q11" s="1195">
        <f>qtrSales!E73</f>
        <v>35.6</v>
      </c>
      <c r="R11" s="951"/>
      <c r="S11" s="164">
        <v>178.58199999999999</v>
      </c>
      <c r="T11" s="1193">
        <f>(S11/(O11)-1)*100</f>
        <v>42.034979440233514</v>
      </c>
      <c r="U11" s="1195">
        <f>qtrSales!E80</f>
        <v>19.8</v>
      </c>
      <c r="V11" s="1209"/>
      <c r="W11" s="164">
        <v>208.977</v>
      </c>
      <c r="X11" s="1193">
        <f>(W11/S11-1)*100</f>
        <v>17.020192404609659</v>
      </c>
      <c r="Y11" s="1195">
        <f>+qtrSales!E87</f>
        <v>-2.9</v>
      </c>
      <c r="Z11" s="951" t="s">
        <v>247</v>
      </c>
      <c r="AA11" s="951"/>
      <c r="AB11" s="164">
        <v>292.392</v>
      </c>
      <c r="AC11" s="1193">
        <f>(AB11/(W11)-1)*100</f>
        <v>39.915875909789108</v>
      </c>
      <c r="AD11" s="1196">
        <v>4.5999999999999996</v>
      </c>
      <c r="AE11" s="951"/>
      <c r="AF11" s="164">
        <v>319.2</v>
      </c>
      <c r="AG11" s="1193">
        <f>(AF11/(AB11)-1)*100</f>
        <v>9.1685135024214048</v>
      </c>
      <c r="AH11" s="1197">
        <v>-5.5</v>
      </c>
      <c r="AI11" s="951"/>
      <c r="AJ11" s="164">
        <v>337.05500000000001</v>
      </c>
      <c r="AK11" s="1193">
        <f t="shared" si="0"/>
        <v>5.5936716791979979</v>
      </c>
      <c r="AL11" s="1197">
        <v>-5.5</v>
      </c>
      <c r="AM11" s="951"/>
      <c r="AN11" s="169">
        <v>395.40199999999999</v>
      </c>
      <c r="AO11" s="1193">
        <f t="shared" si="1"/>
        <v>17.310824642862443</v>
      </c>
      <c r="AP11" s="1196">
        <v>12.7</v>
      </c>
      <c r="AQ11" s="951"/>
      <c r="AR11" s="169">
        <v>515.86800000000005</v>
      </c>
      <c r="AS11" s="1193">
        <f t="shared" ref="AS11:AS16" si="14">(AR11/AN11-1)*100</f>
        <v>30.466714887633373</v>
      </c>
      <c r="AT11" s="1196">
        <v>21.1</v>
      </c>
      <c r="AU11" s="951"/>
      <c r="AV11" s="1210">
        <v>602.32600000000002</v>
      </c>
      <c r="AW11" s="1198">
        <f t="shared" si="2"/>
        <v>16.759713725216518</v>
      </c>
      <c r="AX11" s="1199">
        <v>10</v>
      </c>
      <c r="AY11" s="951"/>
      <c r="AZ11" s="1210">
        <f>703.189</f>
        <v>703.18899999999996</v>
      </c>
      <c r="BA11" s="1198">
        <f t="shared" si="3"/>
        <v>16.745582956737692</v>
      </c>
      <c r="BB11" s="1199">
        <v>2</v>
      </c>
      <c r="BC11" s="951"/>
      <c r="BD11" s="1210">
        <v>688.81500000000005</v>
      </c>
      <c r="BE11" s="1198">
        <f t="shared" si="4"/>
        <v>-2.0441161622266391</v>
      </c>
      <c r="BF11" s="1199">
        <v>-9</v>
      </c>
      <c r="BG11" s="1199"/>
      <c r="BH11" s="1210">
        <f>657.596-10.798</f>
        <v>646.798</v>
      </c>
      <c r="BI11" s="1198">
        <f t="shared" si="5"/>
        <v>-6.0998961985438864</v>
      </c>
      <c r="BJ11" s="1199">
        <v>-10</v>
      </c>
      <c r="BK11" s="1199"/>
      <c r="BL11" s="1210">
        <f>651.502-2.761</f>
        <v>648.74099999999999</v>
      </c>
      <c r="BM11" s="1198">
        <f t="shared" si="6"/>
        <v>0.30040290786303991</v>
      </c>
      <c r="BN11" s="1789">
        <v>-1</v>
      </c>
      <c r="BO11" s="1199"/>
      <c r="BP11" s="1210">
        <f>675.703-6.583</f>
        <v>669.12</v>
      </c>
      <c r="BQ11" s="1198">
        <f t="shared" si="7"/>
        <v>3.1413152552405288</v>
      </c>
      <c r="BR11" s="1789">
        <v>1</v>
      </c>
      <c r="BS11" s="1199"/>
      <c r="BT11" s="1210">
        <v>739.68</v>
      </c>
      <c r="BU11" s="1198">
        <f t="shared" si="8"/>
        <v>10.545193687230991</v>
      </c>
      <c r="BV11" s="1789">
        <v>9</v>
      </c>
      <c r="BW11" s="1199"/>
      <c r="BX11" s="1210">
        <v>727.31299999999999</v>
      </c>
      <c r="BY11" s="1200">
        <f t="shared" si="9"/>
        <v>-1.6719392169586844</v>
      </c>
      <c r="BZ11" s="1789">
        <v>-7</v>
      </c>
      <c r="CA11" s="1199"/>
      <c r="CB11" s="1210">
        <v>710.59500000000003</v>
      </c>
      <c r="CC11" s="1200">
        <f t="shared" ref="CC11:CC16" si="15">(CB11/BX11-1)*100</f>
        <v>-2.298597715151518</v>
      </c>
      <c r="CD11" s="1789">
        <v>-7</v>
      </c>
      <c r="CE11" s="1199"/>
      <c r="CF11" s="1210">
        <v>797.428</v>
      </c>
      <c r="CG11" s="1200">
        <f t="shared" ref="CG11:CG16" si="16">(CF11/CB11-1)*100</f>
        <v>12.219759497322658</v>
      </c>
      <c r="CH11" s="1789">
        <v>11</v>
      </c>
      <c r="CI11" s="1199"/>
      <c r="CJ11" s="1210">
        <v>822.59400000000005</v>
      </c>
      <c r="CK11" s="1200">
        <f t="shared" ref="CK11:CK16" si="17">(CJ11/CF11-1)*100</f>
        <v>3.1558962063032769</v>
      </c>
      <c r="CL11" s="1789">
        <v>3</v>
      </c>
      <c r="CM11" s="1199"/>
      <c r="CN11" s="1210">
        <v>844.55700000000002</v>
      </c>
      <c r="CO11" s="1200">
        <f t="shared" si="10"/>
        <v>2.6699684169833482</v>
      </c>
      <c r="CP11" s="1792">
        <v>2</v>
      </c>
      <c r="CQ11" s="1792"/>
      <c r="CR11" s="1211">
        <f>qtrSales!R213+qtrSales!AM213</f>
        <v>911.41708210582624</v>
      </c>
      <c r="CS11" s="1200">
        <f t="shared" si="11"/>
        <v>7.9165861044105057</v>
      </c>
      <c r="CT11" s="1790">
        <f>qtrSales!E213</f>
        <v>3</v>
      </c>
      <c r="CU11" s="1203"/>
      <c r="CV11" s="1203"/>
      <c r="CW11" s="1203"/>
      <c r="CX11" s="1203">
        <f t="shared" si="12"/>
        <v>5</v>
      </c>
      <c r="CY11" s="1203"/>
      <c r="CZ11" s="1203">
        <f t="shared" si="13"/>
        <v>6</v>
      </c>
      <c r="DA11" s="1199"/>
      <c r="DB11" s="1195"/>
      <c r="DC11" s="1212"/>
      <c r="DD11" s="1212"/>
      <c r="DE11" s="1195"/>
      <c r="DF11" s="1195"/>
      <c r="DG11" s="1195"/>
      <c r="DH11" s="56">
        <v>253.59137908466138</v>
      </c>
      <c r="DI11" s="1206">
        <f>+DH11/DL11</f>
        <v>0.92285056368719476</v>
      </c>
      <c r="DJ11" s="951">
        <f>+qtrSales!AX235</f>
        <v>21.200000000000003</v>
      </c>
      <c r="DK11" s="1206">
        <f>+DJ11/DL11</f>
        <v>7.7149436312805228E-2</v>
      </c>
      <c r="DL11" s="951">
        <f>+DJ11+DH11</f>
        <v>274.7913790846614</v>
      </c>
      <c r="DM11" s="951"/>
      <c r="DN11" s="1207">
        <f>+qtrSales!R101</f>
        <v>311.7</v>
      </c>
      <c r="DO11" s="1206">
        <f>+DN11/DR11</f>
        <v>1</v>
      </c>
      <c r="DP11" s="951">
        <f>+qtrSales!R242</f>
        <v>0</v>
      </c>
      <c r="DQ11" s="1206">
        <f>+DP11/DR11</f>
        <v>0</v>
      </c>
      <c r="DR11" s="951">
        <f>+DP11+DN11</f>
        <v>311.7</v>
      </c>
      <c r="DS11" s="951"/>
      <c r="DT11" s="951" t="s">
        <v>738</v>
      </c>
      <c r="DU11" s="951">
        <f>+$DJ10</f>
        <v>20.399999999999999</v>
      </c>
      <c r="DV11" s="951">
        <f>+$DJ11</f>
        <v>21.200000000000003</v>
      </c>
      <c r="DW11" s="951">
        <f>+$DJ12</f>
        <v>29.400000000000002</v>
      </c>
      <c r="DX11" s="951">
        <f>+$DJ13</f>
        <v>29.700000000000003</v>
      </c>
      <c r="DY11" s="951">
        <f>SUM(DU11:DX11)</f>
        <v>100.7</v>
      </c>
    </row>
    <row r="12" spans="1:129" ht="12.75" outlineLevel="2">
      <c r="A12" s="1167" t="s">
        <v>736</v>
      </c>
      <c r="B12" s="951"/>
      <c r="C12" s="169">
        <v>85.885000000000005</v>
      </c>
      <c r="D12" s="1193"/>
      <c r="E12" s="1194">
        <f>qtrSales!$E54</f>
        <v>-3.6</v>
      </c>
      <c r="F12" s="951"/>
      <c r="G12" s="169">
        <v>78.846000000000004</v>
      </c>
      <c r="H12" s="1193">
        <f>(G12/(C12)-1)*100</f>
        <v>-8.19584327880305</v>
      </c>
      <c r="I12" s="1194">
        <f>qtrSales!E60</f>
        <v>0.8</v>
      </c>
      <c r="J12" s="951"/>
      <c r="K12" s="169">
        <v>104.902</v>
      </c>
      <c r="L12" s="1193">
        <f>(K12/(G12)-1)*100</f>
        <v>33.046698627704643</v>
      </c>
      <c r="M12" s="1194">
        <f>qtrSales!E67</f>
        <v>23.8</v>
      </c>
      <c r="N12" s="951"/>
      <c r="O12" s="169">
        <v>149.06800000000001</v>
      </c>
      <c r="P12" s="1193">
        <f>(O12/(K12)-1)*100</f>
        <v>42.10215248517666</v>
      </c>
      <c r="Q12" s="1195">
        <f>qtrSales!E74</f>
        <v>29.4</v>
      </c>
      <c r="R12" s="951"/>
      <c r="S12" s="169">
        <v>222.69300000000001</v>
      </c>
      <c r="T12" s="1193">
        <f>(S12/(O12)-1)*100</f>
        <v>49.390211178790878</v>
      </c>
      <c r="U12" s="1195">
        <f>qtrSales!E81</f>
        <v>26.4</v>
      </c>
      <c r="V12" s="1209"/>
      <c r="W12" s="169">
        <v>282.767</v>
      </c>
      <c r="X12" s="1193">
        <f>(W12/S12-1)*100</f>
        <v>26.976151024055529</v>
      </c>
      <c r="Y12" s="1195">
        <f>+qtrSales!E88</f>
        <v>6.8</v>
      </c>
      <c r="Z12" s="951" t="s">
        <v>248</v>
      </c>
      <c r="AA12" s="951"/>
      <c r="AB12" s="169">
        <v>363.65899999999999</v>
      </c>
      <c r="AC12" s="1193">
        <f>(AB12/(W12)-1)*100</f>
        <v>28.607298588590613</v>
      </c>
      <c r="AD12" s="1196">
        <v>2.6</v>
      </c>
      <c r="AE12" s="951"/>
      <c r="AF12" s="169">
        <v>374.49400000000003</v>
      </c>
      <c r="AG12" s="1193">
        <f>(AF12/(AB12)-1)*100</f>
        <v>2.9794395298892828</v>
      </c>
      <c r="AH12" s="1197">
        <v>-7</v>
      </c>
      <c r="AI12" s="951"/>
      <c r="AJ12" s="169">
        <v>373.8</v>
      </c>
      <c r="AK12" s="1193">
        <f t="shared" si="0"/>
        <v>-0.18531672069512783</v>
      </c>
      <c r="AL12" s="1197">
        <v>-10.3</v>
      </c>
      <c r="AM12" s="951"/>
      <c r="AN12" s="169">
        <v>479.58499999999998</v>
      </c>
      <c r="AO12" s="1193">
        <f t="shared" si="1"/>
        <v>28.299892990904208</v>
      </c>
      <c r="AP12" s="1196">
        <v>24.9</v>
      </c>
      <c r="AQ12" s="951"/>
      <c r="AR12" s="169">
        <v>580.54700000000003</v>
      </c>
      <c r="AS12" s="1193">
        <f>(AR12/AN12-1)*100</f>
        <v>21.051951166112381</v>
      </c>
      <c r="AT12" s="1196">
        <v>13.6</v>
      </c>
      <c r="AU12" s="951"/>
      <c r="AV12" s="1210">
        <v>696.29</v>
      </c>
      <c r="AW12" s="1198">
        <f t="shared" si="2"/>
        <v>19.936887108192771</v>
      </c>
      <c r="AX12" s="1199">
        <v>13</v>
      </c>
      <c r="AY12" s="951"/>
      <c r="AZ12" s="1210">
        <v>744.44299999999998</v>
      </c>
      <c r="BA12" s="1198">
        <f t="shared" si="3"/>
        <v>6.9156529606916761</v>
      </c>
      <c r="BB12" s="1199">
        <v>2</v>
      </c>
      <c r="BC12" s="951"/>
      <c r="BD12" s="1210">
        <v>754.03599999999994</v>
      </c>
      <c r="BE12" s="1198">
        <f t="shared" si="4"/>
        <v>1.2886144405951816</v>
      </c>
      <c r="BF12" s="1199">
        <v>-7</v>
      </c>
      <c r="BG12" s="1202"/>
      <c r="BH12" s="1210">
        <f>748.962-12.951</f>
        <v>736.01099999999997</v>
      </c>
      <c r="BI12" s="1198">
        <f t="shared" si="5"/>
        <v>-2.3904694205581722</v>
      </c>
      <c r="BJ12" s="1199">
        <v>-4</v>
      </c>
      <c r="BK12" s="1199"/>
      <c r="BL12" s="1210">
        <f>751.507-6.658</f>
        <v>744.84899999999993</v>
      </c>
      <c r="BM12" s="1198">
        <f t="shared" si="6"/>
        <v>1.2007972706929548</v>
      </c>
      <c r="BN12" s="1789">
        <v>1</v>
      </c>
      <c r="BO12" s="1199"/>
      <c r="BP12" s="1210">
        <f>831.826-12.407</f>
        <v>819.41899999999998</v>
      </c>
      <c r="BQ12" s="1198">
        <f t="shared" si="7"/>
        <v>10.011425134490359</v>
      </c>
      <c r="BR12" s="1789">
        <v>5</v>
      </c>
      <c r="BS12" s="1199"/>
      <c r="BT12" s="1210">
        <v>910.37400000000002</v>
      </c>
      <c r="BU12" s="1198">
        <f t="shared" si="8"/>
        <v>11.099937882816979</v>
      </c>
      <c r="BV12" s="1789">
        <v>10</v>
      </c>
      <c r="BW12" s="1202"/>
      <c r="BX12" s="1210">
        <v>857.30499999999995</v>
      </c>
      <c r="BY12" s="1200">
        <f t="shared" si="9"/>
        <v>-5.8293624378552238</v>
      </c>
      <c r="BZ12" s="1789">
        <v>-5</v>
      </c>
      <c r="CA12" s="1199"/>
      <c r="CB12" s="1210">
        <v>854.29</v>
      </c>
      <c r="CC12" s="1200">
        <f t="shared" si="15"/>
        <v>-0.35168347320965188</v>
      </c>
      <c r="CD12" s="1789">
        <v>-5</v>
      </c>
      <c r="CE12" s="1199"/>
      <c r="CF12" s="1210">
        <v>919.072</v>
      </c>
      <c r="CG12" s="1200">
        <f>(CF12/CB12-1)*100</f>
        <v>7.5831392150206733</v>
      </c>
      <c r="CH12" s="1792">
        <v>9</v>
      </c>
      <c r="CI12" s="1199"/>
      <c r="CJ12" s="1210">
        <v>940.60900000000004</v>
      </c>
      <c r="CK12" s="1200">
        <f t="shared" si="17"/>
        <v>2.343341979736091</v>
      </c>
      <c r="CL12" s="1789">
        <v>2</v>
      </c>
      <c r="CM12" s="1199"/>
      <c r="CN12" s="1210">
        <v>960.43299999999999</v>
      </c>
      <c r="CO12" s="1200">
        <f t="shared" si="10"/>
        <v>2.1075707334290872</v>
      </c>
      <c r="CP12" s="1792">
        <v>3</v>
      </c>
      <c r="CQ12" s="1790"/>
      <c r="CR12" s="1211">
        <f>qtrSales!R214+qtrSales!AM214</f>
        <v>960.37366019560545</v>
      </c>
      <c r="CS12" s="1200">
        <f t="shared" si="11"/>
        <v>-6.1784428892486254E-3</v>
      </c>
      <c r="CT12" s="1790">
        <f>qtrSales!E214</f>
        <v>3</v>
      </c>
      <c r="CU12" s="1203"/>
      <c r="CV12" s="1203"/>
      <c r="CW12" s="1203"/>
      <c r="CX12" s="1203">
        <f>CP13+CL13</f>
        <v>8.4</v>
      </c>
      <c r="CY12" s="1203"/>
      <c r="CZ12" s="1203">
        <f t="shared" si="13"/>
        <v>6</v>
      </c>
      <c r="DA12" s="1213"/>
      <c r="DB12" s="1195"/>
      <c r="DC12" s="1214"/>
      <c r="DD12" s="1212"/>
      <c r="DE12" s="1195"/>
      <c r="DF12" s="1195"/>
      <c r="DG12" s="1195"/>
      <c r="DH12" s="56">
        <v>334.06431051233392</v>
      </c>
      <c r="DI12" s="1206">
        <f>+DH12/DL12</f>
        <v>0.91911172803030328</v>
      </c>
      <c r="DJ12" s="951">
        <f>+qtrSales!AX236</f>
        <v>29.400000000000002</v>
      </c>
      <c r="DK12" s="1206">
        <f>+DJ12/DL12</f>
        <v>8.0888271969696834E-2</v>
      </c>
      <c r="DL12" s="951">
        <f>+DJ12+DH12</f>
        <v>363.4643105123339</v>
      </c>
      <c r="DM12" s="951"/>
      <c r="DN12" s="1207">
        <f>+qtrSales!R102</f>
        <v>363.14400000000001</v>
      </c>
      <c r="DO12" s="1206">
        <f>+DN12/DR12</f>
        <v>1</v>
      </c>
      <c r="DP12" s="951">
        <f>+qtrSales!R243</f>
        <v>0</v>
      </c>
      <c r="DQ12" s="1206">
        <f>+DP12/DR12</f>
        <v>0</v>
      </c>
      <c r="DR12" s="951">
        <f>+DP12+DN12</f>
        <v>363.14400000000001</v>
      </c>
      <c r="DS12" s="951"/>
      <c r="DT12" s="951" t="s">
        <v>31</v>
      </c>
      <c r="DU12" s="951">
        <f>+(1-($DJ20/100))*$DJ10</f>
        <v>13.26</v>
      </c>
      <c r="DV12" s="951">
        <f>+(1-($DJ21/100))*$DJ11</f>
        <v>13.7376</v>
      </c>
      <c r="DW12" s="951">
        <f>+(1-($DJ22/100))*$DJ12</f>
        <v>20.873999999999999</v>
      </c>
      <c r="DX12" s="951">
        <f>+(1-($DJ23/100))*$DJ13</f>
        <v>21.087</v>
      </c>
      <c r="DY12" s="951">
        <f>SUM(DU12:DX12)</f>
        <v>68.958600000000004</v>
      </c>
    </row>
    <row r="13" spans="1:129" ht="12.75" outlineLevel="2">
      <c r="A13" s="1167" t="s">
        <v>737</v>
      </c>
      <c r="B13" s="951"/>
      <c r="C13" s="256">
        <v>140.684</v>
      </c>
      <c r="D13" s="1193"/>
      <c r="E13" s="1194">
        <f>qtrSales!$E55</f>
        <v>9.3000000000000007</v>
      </c>
      <c r="F13" s="951"/>
      <c r="G13" s="256">
        <v>122.905</v>
      </c>
      <c r="H13" s="1193">
        <f>(G13/(C13)-1)*100</f>
        <v>-12.637542293366689</v>
      </c>
      <c r="I13" s="1215">
        <f>qtrSales!E61</f>
        <v>-12.2</v>
      </c>
      <c r="J13" s="951"/>
      <c r="K13" s="256">
        <v>153.69999999999999</v>
      </c>
      <c r="L13" s="1193">
        <f>(K13/(G13)-1)*100</f>
        <v>25.055937512713065</v>
      </c>
      <c r="M13" s="1194">
        <f>qtrSales!E68</f>
        <v>16.5</v>
      </c>
      <c r="N13" s="951"/>
      <c r="O13" s="256">
        <v>213.107</v>
      </c>
      <c r="P13" s="1193">
        <f>(O13/(K13)-1)*100</f>
        <v>38.651268705270027</v>
      </c>
      <c r="Q13" s="1195">
        <f>qtrSales!E75</f>
        <v>23.8</v>
      </c>
      <c r="R13" s="951"/>
      <c r="S13" s="256">
        <v>285.42500000000001</v>
      </c>
      <c r="T13" s="1193">
        <f>(S13/(O13)-1)*100</f>
        <v>33.935065483536441</v>
      </c>
      <c r="U13" s="1195">
        <f>qtrSales!E82</f>
        <v>14.4</v>
      </c>
      <c r="V13" s="1209"/>
      <c r="W13" s="256">
        <v>423.73399999999998</v>
      </c>
      <c r="X13" s="1193">
        <f>(W13/S13-1)*100</f>
        <v>48.457212928089689</v>
      </c>
      <c r="Y13" s="1195">
        <f>+qtrSales!E89</f>
        <v>11.3</v>
      </c>
      <c r="Z13" s="951" t="s">
        <v>249</v>
      </c>
      <c r="AA13" s="951"/>
      <c r="AB13" s="256">
        <v>464.3</v>
      </c>
      <c r="AC13" s="1193">
        <f>(AB13/(W13)-1)*100</f>
        <v>9.5734588208640439</v>
      </c>
      <c r="AD13" s="1197">
        <v>-2.1</v>
      </c>
      <c r="AE13" s="951"/>
      <c r="AF13" s="256">
        <v>491.55399999999997</v>
      </c>
      <c r="AG13" s="1193">
        <f>(AF13/(AB13)-1)*100</f>
        <v>5.8699116950247543</v>
      </c>
      <c r="AH13" s="1216">
        <v>-4.5999999999999996</v>
      </c>
      <c r="AI13" s="951"/>
      <c r="AJ13" s="256">
        <v>490.58</v>
      </c>
      <c r="AK13" s="1193">
        <f t="shared" si="0"/>
        <v>-0.19814710082717291</v>
      </c>
      <c r="AL13" s="1197">
        <v>-4.7</v>
      </c>
      <c r="AM13" s="951"/>
      <c r="AN13" s="256">
        <v>674.024</v>
      </c>
      <c r="AO13" s="1193">
        <f t="shared" si="1"/>
        <v>37.393289575604392</v>
      </c>
      <c r="AP13" s="1196">
        <v>28.6</v>
      </c>
      <c r="AQ13" s="951"/>
      <c r="AR13" s="256">
        <v>769.07</v>
      </c>
      <c r="AS13" s="1193">
        <f t="shared" si="14"/>
        <v>14.101278292761087</v>
      </c>
      <c r="AT13" s="1196">
        <v>7.8</v>
      </c>
      <c r="AU13" s="951"/>
      <c r="AV13" s="1217">
        <v>973.36500000000001</v>
      </c>
      <c r="AW13" s="1198">
        <f t="shared" si="2"/>
        <v>26.563901855487781</v>
      </c>
      <c r="AX13" s="1199">
        <v>14</v>
      </c>
      <c r="AY13" s="951"/>
      <c r="AZ13" s="1217">
        <v>995.40099999999995</v>
      </c>
      <c r="BA13" s="1198">
        <f t="shared" si="3"/>
        <v>2.2638989484931038</v>
      </c>
      <c r="BB13" s="1199">
        <v>-2</v>
      </c>
      <c r="BC13" s="951"/>
      <c r="BD13" s="1217">
        <v>905.71299999999997</v>
      </c>
      <c r="BE13" s="1198">
        <f t="shared" si="4"/>
        <v>-9.0102380849526931</v>
      </c>
      <c r="BF13" s="1199">
        <v>-16</v>
      </c>
      <c r="BG13" s="1202"/>
      <c r="BH13" s="1217">
        <f>971.976-16.195</f>
        <v>955.78099999999995</v>
      </c>
      <c r="BI13" s="1198">
        <f t="shared" si="5"/>
        <v>5.5280204656442011</v>
      </c>
      <c r="BJ13" s="1199">
        <v>5</v>
      </c>
      <c r="BK13" s="1202"/>
      <c r="BL13" s="1217">
        <f>916.088-9.504</f>
        <v>906.58399999999995</v>
      </c>
      <c r="BM13" s="1198">
        <f t="shared" si="6"/>
        <v>-5.1473088500399111</v>
      </c>
      <c r="BN13" s="1789">
        <v>-7</v>
      </c>
      <c r="BO13" s="1202"/>
      <c r="BP13" s="1217">
        <f>1042.727-14.285</f>
        <v>1028.442</v>
      </c>
      <c r="BQ13" s="1198">
        <f t="shared" si="7"/>
        <v>13.441446131853208</v>
      </c>
      <c r="BR13" s="1789">
        <v>10</v>
      </c>
      <c r="BS13" s="1202"/>
      <c r="BT13" s="1217">
        <v>1117.0530000000001</v>
      </c>
      <c r="BU13" s="1198">
        <f t="shared" si="8"/>
        <v>8.6160425186836207</v>
      </c>
      <c r="BV13" s="1789">
        <v>4</v>
      </c>
      <c r="BW13" s="1202"/>
      <c r="BX13" s="1217">
        <v>1041.7070000000001</v>
      </c>
      <c r="BY13" s="1200">
        <f t="shared" si="9"/>
        <v>-6.7450693924102083</v>
      </c>
      <c r="BZ13" s="1789">
        <v>-7</v>
      </c>
      <c r="CA13" s="1199"/>
      <c r="CB13" s="1217">
        <v>1071.8530000000001</v>
      </c>
      <c r="CC13" s="1200">
        <f>(CB13/BX13-1)*100</f>
        <v>2.8939039480391227</v>
      </c>
      <c r="CD13" s="1789">
        <v>0</v>
      </c>
      <c r="CE13" s="1199"/>
      <c r="CF13" s="1217">
        <v>1105.828</v>
      </c>
      <c r="CG13" s="1200">
        <f t="shared" si="16"/>
        <v>3.1697443586014007</v>
      </c>
      <c r="CH13" s="1792">
        <v>4</v>
      </c>
      <c r="CI13" s="1199"/>
      <c r="CJ13" s="1217">
        <v>1097.2460000000001</v>
      </c>
      <c r="CK13" s="1200">
        <f t="shared" si="17"/>
        <v>-0.77607005791134887</v>
      </c>
      <c r="CL13" s="1792">
        <v>0.4</v>
      </c>
      <c r="CM13" s="1199"/>
      <c r="CN13" s="1217">
        <v>1228.723</v>
      </c>
      <c r="CO13" s="1200">
        <f t="shared" si="10"/>
        <v>11.982454253649589</v>
      </c>
      <c r="CP13" s="1792">
        <v>8</v>
      </c>
      <c r="CQ13" s="1790"/>
      <c r="CR13" s="1218">
        <f>qtrSales!R215+qtrSales!AM215</f>
        <v>1166.2475736261315</v>
      </c>
      <c r="CS13" s="1200">
        <f>(CR13/CN13-1)*100</f>
        <v>-5.0845818279521504</v>
      </c>
      <c r="CT13" s="1790">
        <f>qtrSales!E215</f>
        <v>-2</v>
      </c>
      <c r="CU13" s="1797"/>
      <c r="CV13" s="1202"/>
      <c r="CW13" s="1202"/>
      <c r="CX13" s="1224"/>
      <c r="CY13" s="1203"/>
      <c r="CZ13" s="1191" t="s">
        <v>864</v>
      </c>
      <c r="DA13" s="1202"/>
      <c r="DB13" s="1195"/>
      <c r="DC13" s="1212"/>
      <c r="DD13" s="1212"/>
      <c r="DE13" s="1195"/>
      <c r="DF13" s="1195"/>
      <c r="DG13" s="1195"/>
      <c r="DH13" s="1219">
        <v>449.06309589041098</v>
      </c>
      <c r="DI13" s="1220">
        <f>+DH13/DL13</f>
        <v>0.93796514339777282</v>
      </c>
      <c r="DJ13" s="1171">
        <f>+qtrSales!AX237</f>
        <v>29.700000000000003</v>
      </c>
      <c r="DK13" s="1220">
        <f>+DJ13/DL13</f>
        <v>6.2034856602227219E-2</v>
      </c>
      <c r="DL13" s="1171">
        <f>+DJ13+DH13</f>
        <v>478.76309589041097</v>
      </c>
      <c r="DM13" s="951"/>
      <c r="DN13" s="1221">
        <f>+qtrSales!R103</f>
        <v>471.55399999999997</v>
      </c>
      <c r="DO13" s="1220">
        <f>+DN13/DR13</f>
        <v>1</v>
      </c>
      <c r="DP13" s="1171">
        <f>+qtrSales!R244</f>
        <v>0</v>
      </c>
      <c r="DQ13" s="1220">
        <f>+DP13/DR13</f>
        <v>0</v>
      </c>
      <c r="DR13" s="1171">
        <f>+DP13+DN13</f>
        <v>471.55399999999997</v>
      </c>
      <c r="DS13" s="951"/>
      <c r="DT13" s="951" t="s">
        <v>504</v>
      </c>
      <c r="DU13" s="1171">
        <f>+$DJ30/100*$DJ10</f>
        <v>8.7719999999999985</v>
      </c>
      <c r="DV13" s="1171">
        <f>+$DJ31/100*$DJ11</f>
        <v>6.1564800000000011</v>
      </c>
      <c r="DW13" s="1171">
        <f>+$DJ32/100*$DJ12</f>
        <v>7.0677600000000007</v>
      </c>
      <c r="DX13" s="1171">
        <f>+$DJ33/100*$DJ13</f>
        <v>6.8161500000000004</v>
      </c>
      <c r="DY13" s="1171">
        <f>SUM(DU13:DX13)</f>
        <v>28.812390000000001</v>
      </c>
    </row>
    <row r="14" spans="1:129" ht="12.75" customHeight="1" outlineLevel="2">
      <c r="A14" s="1167" t="s">
        <v>762</v>
      </c>
      <c r="B14" s="951"/>
      <c r="C14" s="1222">
        <f>SUM(C10:C13)</f>
        <v>340.32299999999998</v>
      </c>
      <c r="D14" s="1193" t="str">
        <f>qtrSales!$C$56</f>
        <v>NA</v>
      </c>
      <c r="E14" s="1194">
        <f>qtrSales!E56</f>
        <v>6.6</v>
      </c>
      <c r="F14" s="951"/>
      <c r="G14" s="1222">
        <f>SUM(G10:G13)</f>
        <v>326.404</v>
      </c>
      <c r="H14" s="1193">
        <f>(G14/(C14)-1)*100</f>
        <v>-4.0899380882279406</v>
      </c>
      <c r="I14" s="1215">
        <f>qtrSales!E62</f>
        <v>-1.8</v>
      </c>
      <c r="J14" s="951"/>
      <c r="K14" s="1222">
        <f>SUM(K10:K13)</f>
        <v>405.71299999999997</v>
      </c>
      <c r="L14" s="1193">
        <f>(K14/(G14)-1)*100</f>
        <v>24.297802723005834</v>
      </c>
      <c r="M14" s="1194">
        <f>qtrSales!E69</f>
        <v>15.1</v>
      </c>
      <c r="N14" s="951"/>
      <c r="O14" s="1223">
        <f>SUM(O10:O13)</f>
        <v>587.6</v>
      </c>
      <c r="P14" s="1193">
        <f>(O14/(K14)-1)*100</f>
        <v>44.831444888381711</v>
      </c>
      <c r="Q14" s="1194">
        <f>qtrSales!E76</f>
        <v>32.1</v>
      </c>
      <c r="R14" s="951"/>
      <c r="S14" s="1222">
        <f>SUM(S10:S13)</f>
        <v>832.10400000000004</v>
      </c>
      <c r="T14" s="1193">
        <f>(S14/(O14)-1)*100</f>
        <v>41.610619469026553</v>
      </c>
      <c r="U14" s="1195">
        <f>qtrSales!E83</f>
        <v>20.899565631219172</v>
      </c>
      <c r="V14" s="1209"/>
      <c r="W14" s="1222">
        <f>SUM(W10:W13)</f>
        <v>1093.4769999999999</v>
      </c>
      <c r="X14" s="1193">
        <f>(W14/(S14)-1)*100</f>
        <v>31.411097651255115</v>
      </c>
      <c r="Y14" s="1195">
        <f>+qtrSales!E90</f>
        <v>5.8</v>
      </c>
      <c r="Z14" s="951"/>
      <c r="AA14" s="951"/>
      <c r="AB14" s="1222">
        <f>SUM(AB10:AB13)</f>
        <v>1371.8990000000001</v>
      </c>
      <c r="AC14" s="1193">
        <f>(AB14/(W14)-1)*100</f>
        <v>25.462081049715746</v>
      </c>
      <c r="AD14" s="1196">
        <v>2.2999999999999998</v>
      </c>
      <c r="AE14" s="951"/>
      <c r="AF14" s="1222">
        <f>SUM(AF10:AF13)</f>
        <v>1463.1410000000001</v>
      </c>
      <c r="AG14" s="1193">
        <f>(AF14/(AB14)-1)*100</f>
        <v>6.6507811435098318</v>
      </c>
      <c r="AH14" s="1197">
        <v>-5.7</v>
      </c>
      <c r="AI14" s="951"/>
      <c r="AJ14" s="1222">
        <f>SUM(AJ10:AJ13)</f>
        <v>1493.2929999999999</v>
      </c>
      <c r="AK14" s="1193">
        <f t="shared" si="0"/>
        <v>2.0607719966838411</v>
      </c>
      <c r="AL14" s="1197">
        <f>+qtrSales!E111*(qtrSales!R111/'qtrP&amp;L'!AJ14)+qtrSales!E252*(qtrSales!R252/'qtrP&amp;L'!AJ14)</f>
        <v>-6.3839620891546414</v>
      </c>
      <c r="AM14" s="951"/>
      <c r="AN14" s="1222">
        <f>SUM(AN10:AN13)</f>
        <v>1881.241</v>
      </c>
      <c r="AO14" s="1193">
        <f t="shared" si="1"/>
        <v>25.979362389028825</v>
      </c>
      <c r="AP14" s="1196">
        <v>21.4</v>
      </c>
      <c r="AQ14" s="951"/>
      <c r="AR14" s="1222">
        <f>SUM(AR10:AR13)</f>
        <v>2321.962</v>
      </c>
      <c r="AS14" s="1193">
        <f t="shared" si="14"/>
        <v>23.427141977024736</v>
      </c>
      <c r="AT14" s="1196">
        <v>15.5</v>
      </c>
      <c r="AU14" s="951"/>
      <c r="AV14" s="1201">
        <f>SUM(AV10:AV13)</f>
        <v>2794.4089999999997</v>
      </c>
      <c r="AW14" s="1198">
        <f t="shared" si="2"/>
        <v>20.34688767516435</v>
      </c>
      <c r="AX14" s="1199">
        <v>12</v>
      </c>
      <c r="AY14" s="951"/>
      <c r="AZ14" s="1201">
        <f>SUM(AZ10:AZ13)</f>
        <v>3055.4189999999999</v>
      </c>
      <c r="BA14" s="1198">
        <f t="shared" si="3"/>
        <v>9.3404365645830758</v>
      </c>
      <c r="BB14" s="1199">
        <v>1</v>
      </c>
      <c r="BC14" s="951"/>
      <c r="BD14" s="1201">
        <f>SUM(BD10:BD13)</f>
        <v>2988.866</v>
      </c>
      <c r="BE14" s="1198">
        <f t="shared" si="4"/>
        <v>-2.1781955273564746</v>
      </c>
      <c r="BF14" s="1199">
        <v>-10</v>
      </c>
      <c r="BG14" s="1202"/>
      <c r="BH14" s="1201">
        <f>SUM(BH10:BH13)</f>
        <v>2940.2689999999998</v>
      </c>
      <c r="BI14" s="1198">
        <f t="shared" si="5"/>
        <v>-1.6259343844789331</v>
      </c>
      <c r="BJ14" s="1199">
        <v>-4</v>
      </c>
      <c r="BK14" s="1202"/>
      <c r="BL14" s="1201">
        <f>SUM(BL10:BL13)</f>
        <v>2945.2939999999999</v>
      </c>
      <c r="BM14" s="1198">
        <f t="shared" si="6"/>
        <v>0.17090273032842607</v>
      </c>
      <c r="BN14" s="1789">
        <v>-1</v>
      </c>
      <c r="BO14" s="1202"/>
      <c r="BP14" s="1201">
        <f>SUM(BP10:BP13)</f>
        <v>3120.0650000000001</v>
      </c>
      <c r="BQ14" s="1198">
        <f t="shared" si="7"/>
        <v>5.9339067678812363</v>
      </c>
      <c r="BR14" s="1789">
        <v>4</v>
      </c>
      <c r="BS14" s="1202"/>
      <c r="BT14" s="1201">
        <f>SUM(BT10:BT13)</f>
        <v>3475.8019999999997</v>
      </c>
      <c r="BU14" s="1198">
        <f t="shared" si="8"/>
        <v>11.401589389964627</v>
      </c>
      <c r="BV14" s="1789">
        <v>9</v>
      </c>
      <c r="BW14" s="1202"/>
      <c r="BX14" s="1201">
        <f>SUM(BX10:BX13)</f>
        <v>3305.8019999999997</v>
      </c>
      <c r="BY14" s="1200">
        <f t="shared" si="9"/>
        <v>-4.8909575401590804</v>
      </c>
      <c r="BZ14" s="1789">
        <v>-6</v>
      </c>
      <c r="CA14" s="1199"/>
      <c r="CB14" s="1201">
        <f>SUM(CB10:CB13)</f>
        <v>3282.8670000000002</v>
      </c>
      <c r="CC14" s="1200">
        <f t="shared" si="15"/>
        <v>-0.69378020825202613</v>
      </c>
      <c r="CD14" s="1789">
        <v>-5</v>
      </c>
      <c r="CE14" s="1199"/>
      <c r="CF14" s="1201">
        <f>SUM(CF10:CF13)</f>
        <v>3521.848</v>
      </c>
      <c r="CG14" s="1200">
        <f t="shared" si="16"/>
        <v>7.2796430680865054</v>
      </c>
      <c r="CH14" s="1789">
        <v>7</v>
      </c>
      <c r="CI14" s="1199"/>
      <c r="CJ14" s="1201">
        <f>SUM(CJ10:CJ13)</f>
        <v>3609.8650000000002</v>
      </c>
      <c r="CK14" s="1200">
        <f>(CJ14/CF14-1)*100</f>
        <v>2.4991708898282949</v>
      </c>
      <c r="CL14" s="1789">
        <v>3</v>
      </c>
      <c r="CM14" s="1199"/>
      <c r="CN14" s="1201">
        <f>SUM(CN10:CN13)</f>
        <v>3795.549</v>
      </c>
      <c r="CO14" s="1200">
        <f t="shared" si="10"/>
        <v>5.1437934659606332</v>
      </c>
      <c r="CP14" s="1792">
        <v>4</v>
      </c>
      <c r="CQ14" s="1790"/>
      <c r="CR14" s="1201">
        <f>SUM(CR10:CR13)</f>
        <v>3846.3313542304768</v>
      </c>
      <c r="CS14" s="1200">
        <f t="shared" si="11"/>
        <v>1.3379448988928067</v>
      </c>
      <c r="CT14" s="1790">
        <f>qtrSales!E216</f>
        <v>2.0712879278911158</v>
      </c>
      <c r="CU14" s="1203"/>
      <c r="CV14" s="1203"/>
      <c r="CW14" s="1203"/>
      <c r="CX14" s="1203">
        <f>CL10+CH10+CP10</f>
        <v>15</v>
      </c>
      <c r="CY14" s="1202"/>
      <c r="CZ14" s="1203">
        <f>CT10+CP10+CL10</f>
        <v>13</v>
      </c>
      <c r="DA14" s="1202"/>
      <c r="DB14" s="1195"/>
      <c r="DC14" s="1195"/>
      <c r="DD14" s="1195"/>
      <c r="DE14" s="1225"/>
      <c r="DF14" s="1195"/>
      <c r="DG14" s="1195"/>
      <c r="DH14" s="951">
        <v>1249.7525309184407</v>
      </c>
      <c r="DI14" s="1206">
        <f>+DH14/DL14</f>
        <v>0.92543240306898156</v>
      </c>
      <c r="DJ14" s="951">
        <f>+qtrSales!AX238</f>
        <v>100.7</v>
      </c>
      <c r="DK14" s="1206">
        <f>+DJ14/DL14</f>
        <v>7.4567596931018443E-2</v>
      </c>
      <c r="DL14" s="951">
        <f>+DJ14+DH14</f>
        <v>1350.4525309184407</v>
      </c>
      <c r="DM14" s="951"/>
      <c r="DN14" s="951">
        <f>+SUM(DN10:DN13)</f>
        <v>1417.2909999999999</v>
      </c>
      <c r="DO14" s="1206">
        <f>+DN14/DR14</f>
        <v>1</v>
      </c>
      <c r="DP14" s="951">
        <f>+SUM(DP10:DP13)</f>
        <v>0</v>
      </c>
      <c r="DQ14" s="1206">
        <f>+DP14/DR14</f>
        <v>0</v>
      </c>
      <c r="DR14" s="951">
        <f>+DP14+DN14</f>
        <v>1417.2909999999999</v>
      </c>
      <c r="DS14" s="951"/>
      <c r="DT14" s="951" t="s">
        <v>505</v>
      </c>
      <c r="DU14" s="951">
        <f>+DU11-DU12-DU13</f>
        <v>-1.6319999999999997</v>
      </c>
      <c r="DV14" s="951">
        <f>+DV11-DV12-DV13</f>
        <v>1.3059200000000013</v>
      </c>
      <c r="DW14" s="951">
        <f>+DW11-DW12-DW13</f>
        <v>1.4582400000000026</v>
      </c>
      <c r="DX14" s="951">
        <f>+DX11-DX12-DX13</f>
        <v>1.7968500000000027</v>
      </c>
      <c r="DY14" s="951">
        <f>+DY11-DY12-DY13</f>
        <v>2.9290099999999981</v>
      </c>
    </row>
    <row r="15" spans="1:129" ht="11.25" hidden="1" customHeight="1" outlineLevel="3">
      <c r="A15" s="1167" t="s">
        <v>769</v>
      </c>
      <c r="B15" s="951"/>
      <c r="C15" s="1226">
        <f>C10+C11</f>
        <v>113.754</v>
      </c>
      <c r="D15" s="1193"/>
      <c r="E15" s="1194">
        <f>((C11/C15)*E11+(C10/C15)*E10)</f>
        <v>6.9640724721768033</v>
      </c>
      <c r="F15" s="951"/>
      <c r="G15" s="1226">
        <f>G10+G11</f>
        <v>124.65300000000001</v>
      </c>
      <c r="H15" s="1193">
        <f>(G15/C15-1)*100</f>
        <v>9.581201540165619</v>
      </c>
      <c r="I15" s="1194">
        <f>((G11/G15)*I11+(G10/G15)*I10)</f>
        <v>10.130913816755314</v>
      </c>
      <c r="J15" s="951"/>
      <c r="K15" s="1226">
        <f>K10+K11</f>
        <v>147.11099999999999</v>
      </c>
      <c r="L15" s="1193">
        <f>(K15/G15-1)*100</f>
        <v>18.016413564053792</v>
      </c>
      <c r="M15" s="1194">
        <f>((K11/K15)*M11+(K10/K15)*M10)</f>
        <v>8.2782239261510036</v>
      </c>
      <c r="N15" s="951"/>
      <c r="O15" s="1226">
        <f>O10+O11</f>
        <v>225.42500000000001</v>
      </c>
      <c r="P15" s="1193">
        <f>(O15/K15-1)*100</f>
        <v>53.234632352441366</v>
      </c>
      <c r="Q15" s="1194">
        <f>((O11/O15)*Q11+(O10/O15)*Q10)</f>
        <v>43.02978462903404</v>
      </c>
      <c r="R15" s="951"/>
      <c r="S15" s="1226">
        <f>S10+S11</f>
        <v>323.98599999999999</v>
      </c>
      <c r="T15" s="1193">
        <f>(S15/O15-1)*100</f>
        <v>43.722302317844061</v>
      </c>
      <c r="U15" s="1195">
        <f>((S11/S15)*U11+(S10/S15)*U10)</f>
        <v>23.255738210910348</v>
      </c>
      <c r="V15" s="1209"/>
      <c r="W15" s="1226">
        <f>W10+W11</f>
        <v>386.976</v>
      </c>
      <c r="X15" s="1193">
        <f>(W15/S15-1)*100</f>
        <v>19.442198119671851</v>
      </c>
      <c r="Y15" s="1195">
        <f>((W11/W15)*Y11+(W10/W15)*Y10)</f>
        <v>0.22782498139419505</v>
      </c>
      <c r="Z15" s="951">
        <f>388.7-374.3</f>
        <v>14.399999999999977</v>
      </c>
      <c r="AA15" s="951"/>
      <c r="AB15" s="1226">
        <f>AB10+AB11</f>
        <v>543.94000000000005</v>
      </c>
      <c r="AC15" s="1193">
        <f>(AB15/W15-1)*100</f>
        <v>40.561688580170355</v>
      </c>
      <c r="AD15" s="1195">
        <f>((AB11/AB15)*AD11+(AB10/AB15)*AD10)</f>
        <v>6.2648395043570968</v>
      </c>
      <c r="AE15" s="951"/>
      <c r="AF15" s="1226">
        <f>AF10+AF11</f>
        <v>597.09299999999996</v>
      </c>
      <c r="AG15" s="1193">
        <f>(AF15/AB15-1)*100</f>
        <v>9.7718498363789976</v>
      </c>
      <c r="AH15" s="1195">
        <f>((AF11/AF15)*AH11+(AF10/AF15)*AH10)</f>
        <v>-5.7792459466113311</v>
      </c>
      <c r="AI15" s="951"/>
      <c r="AJ15" s="1226">
        <f>AJ10+AJ11</f>
        <v>628.91300000000001</v>
      </c>
      <c r="AK15" s="1193">
        <f t="shared" si="0"/>
        <v>5.3291530800059661</v>
      </c>
      <c r="AL15" s="1227">
        <f>((AJ11/AJ15)*AL11+(AJ10/AJ15)*AL10)</f>
        <v>-5.9640673670285071</v>
      </c>
      <c r="AM15" s="951"/>
      <c r="AN15" s="1226">
        <f>AN10+AN11</f>
        <v>727.63200000000006</v>
      </c>
      <c r="AO15" s="1193">
        <f t="shared" si="1"/>
        <v>15.696765689371993</v>
      </c>
      <c r="AP15" s="1195">
        <f>((AN11/AN15)*AP11+(AN10/AN15)*AP10)</f>
        <v>11.147591639729974</v>
      </c>
      <c r="AQ15" s="951"/>
      <c r="AR15" s="1226">
        <f>AR10+AR11</f>
        <v>972.34500000000003</v>
      </c>
      <c r="AS15" s="1193">
        <f t="shared" si="14"/>
        <v>33.631423576753086</v>
      </c>
      <c r="AT15" s="1195">
        <f>((AR11/AR15)*AT11+(AR10/AR15)*AT10)</f>
        <v>23.916759483516657</v>
      </c>
      <c r="AU15" s="951"/>
      <c r="AV15" s="1166">
        <f>AV10+AV11</f>
        <v>1124.7539999999999</v>
      </c>
      <c r="AW15" s="1198">
        <f t="shared" si="2"/>
        <v>15.67437483609211</v>
      </c>
      <c r="AX15" s="1202">
        <f>((AV11/AV15)*AX11+(AV10/AV15)*AX10)</f>
        <v>9.5355179888224466</v>
      </c>
      <c r="AY15" s="951"/>
      <c r="AZ15" s="1166">
        <f>AZ10+AZ11</f>
        <v>1315.5749999999998</v>
      </c>
      <c r="BA15" s="1198">
        <f t="shared" si="3"/>
        <v>16.965576472722034</v>
      </c>
      <c r="BB15" s="1202">
        <f>((AZ11/AZ15)*BB11+(AZ10/AZ15)*BB10)</f>
        <v>3.861956938981054</v>
      </c>
      <c r="BC15" s="951"/>
      <c r="BD15" s="1166">
        <f>BD10+BD11</f>
        <v>1329.1170000000002</v>
      </c>
      <c r="BE15" s="1198">
        <f t="shared" si="4"/>
        <v>1.0293597856450898</v>
      </c>
      <c r="BF15" s="1202">
        <f>((BD11/BD15)*BF11+(BD10/BD15)*BF10)</f>
        <v>-7.5547502590065427</v>
      </c>
      <c r="BG15" s="1202"/>
      <c r="BH15" s="1166">
        <f>BH10+BH11</f>
        <v>1248.4769999999999</v>
      </c>
      <c r="BI15" s="1198">
        <f t="shared" si="5"/>
        <v>-6.0671859587982375</v>
      </c>
      <c r="BJ15" s="1202">
        <f>((BH11/BH15)*BJ11+(BH10/BH15)*BJ10)</f>
        <v>-10</v>
      </c>
      <c r="BK15" s="1202"/>
      <c r="BL15" s="1166">
        <f>BL10+BL11</f>
        <v>1293.8609999999999</v>
      </c>
      <c r="BM15" s="1198">
        <f t="shared" si="6"/>
        <v>3.6351490656215457</v>
      </c>
      <c r="BN15" s="1202">
        <f>((BL11/BL15)*BN11+(BL10/BL15)*BN10)</f>
        <v>1.9916041985962945</v>
      </c>
      <c r="BO15" s="1202"/>
      <c r="BP15" s="1166">
        <f>BP10+BP11</f>
        <v>1272.2040000000002</v>
      </c>
      <c r="BQ15" s="1198">
        <f t="shared" si="7"/>
        <v>-1.6738274049530544</v>
      </c>
      <c r="BR15" s="1202">
        <f>((BP11/BP15)*BR11+(BP10/BP15)*BR10)</f>
        <v>-3.2664195364894306</v>
      </c>
      <c r="BS15" s="1202"/>
      <c r="BT15" s="1166">
        <f>BT10+BT11</f>
        <v>1448.375</v>
      </c>
      <c r="BU15" s="1198">
        <f t="shared" si="8"/>
        <v>13.847700526016249</v>
      </c>
      <c r="BV15" s="1202">
        <f>((BT11/BT15)*BV11+(BT10/BT15)*BV10)</f>
        <v>12.914428238543197</v>
      </c>
      <c r="BW15" s="1202"/>
      <c r="BX15" s="1166">
        <f>BX10+BX11</f>
        <v>1406.79</v>
      </c>
      <c r="BY15" s="1200">
        <f t="shared" si="9"/>
        <v>-2.871148701130577</v>
      </c>
      <c r="BZ15" s="1202">
        <f>((BX11/BX15)*BZ11+(BX10/BX15)*BZ10)</f>
        <v>-6.034003653708087</v>
      </c>
      <c r="CA15" s="1199"/>
      <c r="CB15" s="1166">
        <f>CB10+CB11</f>
        <v>1356.7240000000002</v>
      </c>
      <c r="CC15" s="1200">
        <f t="shared" si="15"/>
        <v>-3.5588822780940887</v>
      </c>
      <c r="CD15" s="1202">
        <f>((CB11/CB15)*CD11+(CB10/CB15)*CD10)</f>
        <v>-8.4287261078892968</v>
      </c>
      <c r="CE15" s="1199"/>
      <c r="CF15" s="1166">
        <f>CF10+CF11</f>
        <v>1496.9479999999999</v>
      </c>
      <c r="CG15" s="1200">
        <f t="shared" si="16"/>
        <v>10.335484593771449</v>
      </c>
      <c r="CH15" s="1202">
        <f>((CF11/CF15)*CH11+(CF10/CF15)*CH10)</f>
        <v>9.1308101550621679</v>
      </c>
      <c r="CI15" s="1199"/>
      <c r="CJ15" s="1166">
        <f>CJ10+CJ11</f>
        <v>1572.0100000000002</v>
      </c>
      <c r="CK15" s="1200">
        <f t="shared" si="17"/>
        <v>5.0143358353129441</v>
      </c>
      <c r="CL15" s="1202">
        <f>((CJ11/CJ15)*CL11+(CJ10/CJ15)*CL10)</f>
        <v>4.4301741083071988</v>
      </c>
      <c r="CM15" s="1199"/>
      <c r="CN15" s="1166">
        <f>CN10+CN11</f>
        <v>1606.393</v>
      </c>
      <c r="CO15" s="1200">
        <f t="shared" si="10"/>
        <v>2.1871998269731074</v>
      </c>
      <c r="CP15" s="1202">
        <f>((CN11/CN15)*CP11+(CN10/CN15)*CP10)</f>
        <v>2</v>
      </c>
      <c r="CQ15" s="1202"/>
      <c r="CR15" s="1166">
        <f>CR10+CR11</f>
        <v>1719.7101204087403</v>
      </c>
      <c r="CS15" s="1200">
        <f t="shared" si="11"/>
        <v>7.0541343499841203</v>
      </c>
      <c r="CT15" s="1202">
        <f>((CR11/CR15)*CT11+(CR10/CR15)*CT10)</f>
        <v>3.9400340542402561</v>
      </c>
      <c r="CU15" s="1202"/>
      <c r="CV15" s="1202"/>
      <c r="CW15" s="1202"/>
      <c r="CX15" s="1203">
        <f t="shared" ref="CX15:CX19" si="18">CL11+CH11+CP11</f>
        <v>16</v>
      </c>
      <c r="CY15" s="1202"/>
      <c r="CZ15" s="1203">
        <f t="shared" ref="CZ15:CZ19" si="19">CT11+CP11+CL11</f>
        <v>8</v>
      </c>
      <c r="DA15" s="1213"/>
      <c r="DB15" s="1195"/>
      <c r="DC15" s="1195"/>
      <c r="DD15" s="1195"/>
      <c r="DE15" s="1195"/>
      <c r="DF15" s="1195"/>
      <c r="DG15" s="1195"/>
      <c r="DH15" s="951"/>
      <c r="DI15" s="951"/>
      <c r="DJ15" s="951"/>
      <c r="DK15" s="951"/>
      <c r="DL15" s="951"/>
      <c r="DM15" s="951"/>
      <c r="DN15" s="951"/>
      <c r="DO15" s="951"/>
      <c r="DP15" s="951"/>
      <c r="DQ15" s="951"/>
      <c r="DR15" s="951"/>
      <c r="DS15" s="951"/>
      <c r="DT15" s="951" t="s">
        <v>506</v>
      </c>
      <c r="DU15" s="1171">
        <f>0.385*DU14</f>
        <v>-0.62831999999999988</v>
      </c>
      <c r="DV15" s="1171">
        <f>0.385*DV14</f>
        <v>0.50277920000000054</v>
      </c>
      <c r="DW15" s="1171">
        <f>0.385*DW14</f>
        <v>0.56142240000000099</v>
      </c>
      <c r="DX15" s="1171">
        <f>0.385*DX14</f>
        <v>0.69178725000000107</v>
      </c>
      <c r="DY15" s="1171">
        <f>0.385*DY14</f>
        <v>1.1276688499999994</v>
      </c>
    </row>
    <row r="16" spans="1:129" ht="11.25" hidden="1" customHeight="1" outlineLevel="3">
      <c r="A16" s="1167" t="s">
        <v>770</v>
      </c>
      <c r="B16" s="951"/>
      <c r="C16" s="1226">
        <f>C10+C11+C12</f>
        <v>199.63900000000001</v>
      </c>
      <c r="D16" s="1193"/>
      <c r="E16" s="1194">
        <f>((C12/C16)*E12+(C15/C16)*E15)</f>
        <v>2.4193925034687616</v>
      </c>
      <c r="F16" s="951"/>
      <c r="G16" s="1226">
        <f>G10+G11+G12</f>
        <v>203.49900000000002</v>
      </c>
      <c r="H16" s="1193">
        <f>(G16/C16-1)*100</f>
        <v>1.9334899493586022</v>
      </c>
      <c r="I16" s="1194">
        <f>((G12/G16)*I12+(G15/G16)*I15)</f>
        <v>6.5156369318768155</v>
      </c>
      <c r="J16" s="951"/>
      <c r="K16" s="1226">
        <f>K10+K11+K12</f>
        <v>252.01299999999998</v>
      </c>
      <c r="L16" s="1193">
        <f>(K16/G16-1)*100</f>
        <v>23.839920589290344</v>
      </c>
      <c r="M16" s="1194">
        <f>((K12/K16)*M12+(K15/K16)*M15)</f>
        <v>14.739261069865446</v>
      </c>
      <c r="N16" s="951"/>
      <c r="O16" s="1226">
        <f>O10+O11+O12</f>
        <v>374.49300000000005</v>
      </c>
      <c r="P16" s="1193">
        <f>(O16/K16-1)*100</f>
        <v>48.600667425886797</v>
      </c>
      <c r="Q16" s="1194">
        <f>((O12/O16)*Q12+(O15/O16)*Q15)</f>
        <v>37.604410229296668</v>
      </c>
      <c r="R16" s="951"/>
      <c r="S16" s="1226">
        <f>S10+S11+S12</f>
        <v>546.67899999999997</v>
      </c>
      <c r="T16" s="1193">
        <f>(S16/O16-1)*100</f>
        <v>45.97842950335518</v>
      </c>
      <c r="U16" s="1195">
        <f>((S12/S16)*U12+(S15/S16)*U15)</f>
        <v>24.536572284649676</v>
      </c>
      <c r="V16" s="1209"/>
      <c r="W16" s="1226">
        <f>W10+W11+W12</f>
        <v>669.74299999999994</v>
      </c>
      <c r="X16" s="1193">
        <f>(W16/S16-1)*100</f>
        <v>22.511199442451591</v>
      </c>
      <c r="Y16" s="1195">
        <f>((W12/W16)*Y12+(W15/W16)*Y15)</f>
        <v>3.0026120467104547</v>
      </c>
      <c r="Z16" s="951"/>
      <c r="AA16" s="951"/>
      <c r="AB16" s="1226">
        <f>AB10+AB11+AB12</f>
        <v>907.59900000000005</v>
      </c>
      <c r="AC16" s="1193">
        <f>(AB16/W16-1)*100</f>
        <v>35.514518255509977</v>
      </c>
      <c r="AD16" s="1195">
        <f>((AB12/AB16)*AD12+(AB15/AB16)*AD15)</f>
        <v>4.7964025963007888</v>
      </c>
      <c r="AE16" s="951"/>
      <c r="AF16" s="1226">
        <f>AF10+AF11+AF12</f>
        <v>971.58699999999999</v>
      </c>
      <c r="AG16" s="1193">
        <f>(AF16/AB16-1)*100</f>
        <v>7.0502501655466787</v>
      </c>
      <c r="AH16" s="1195">
        <f>((AF12/AF16)*AH12+(AF15/AF16)*AH15)</f>
        <v>-6.2497803078880221</v>
      </c>
      <c r="AI16" s="951"/>
      <c r="AJ16" s="1226">
        <f>AJ10+AJ11+AJ12</f>
        <v>1002.713</v>
      </c>
      <c r="AK16" s="1193">
        <f t="shared" si="0"/>
        <v>3.2036245853433565</v>
      </c>
      <c r="AL16" s="1227">
        <f>((AJ12/AJ16)*AL12+(AJ15/AJ16)*AL15)</f>
        <v>-7.5804537290331329</v>
      </c>
      <c r="AM16" s="951"/>
      <c r="AN16" s="1226">
        <f>AN10+AN11+AN12</f>
        <v>1207.2170000000001</v>
      </c>
      <c r="AO16" s="1193">
        <f t="shared" si="1"/>
        <v>20.395068180027607</v>
      </c>
      <c r="AP16" s="1195">
        <f>((AN12/AN16)*AP12+(AN15/AN16)*AP15)</f>
        <v>16.610941446318265</v>
      </c>
      <c r="AQ16" s="951"/>
      <c r="AR16" s="1226">
        <f>AR10+AR11+AR12</f>
        <v>1552.8920000000001</v>
      </c>
      <c r="AS16" s="1193">
        <f t="shared" si="14"/>
        <v>28.634040110435819</v>
      </c>
      <c r="AT16" s="1195">
        <f>((AR12/AR16)*AT12+(AR15/AR16)*AT15)</f>
        <v>20.059850073282625</v>
      </c>
      <c r="AU16" s="951"/>
      <c r="AV16" s="1166">
        <f>AV10+AV11+AV12</f>
        <v>1821.0439999999999</v>
      </c>
      <c r="AW16" s="1198">
        <f t="shared" si="2"/>
        <v>17.267910453527978</v>
      </c>
      <c r="AX16" s="1202">
        <f>((AV12/AV16)*AX12+(AV15/AV16)*AX15)</f>
        <v>10.860188990491171</v>
      </c>
      <c r="AY16" s="951"/>
      <c r="AZ16" s="1166">
        <f>AZ10+AZ11+AZ12</f>
        <v>2060.018</v>
      </c>
      <c r="BA16" s="1198">
        <f t="shared" si="3"/>
        <v>13.122911912068025</v>
      </c>
      <c r="BB16" s="1202">
        <f>((AZ12/AZ16)*BB12+(AZ15/AZ16)*BB15)</f>
        <v>3.1890886390313096</v>
      </c>
      <c r="BC16" s="951"/>
      <c r="BD16" s="1166">
        <f>BD10+BD11+BD12</f>
        <v>2083.1530000000002</v>
      </c>
      <c r="BE16" s="1198">
        <f t="shared" si="4"/>
        <v>1.123048439382579</v>
      </c>
      <c r="BF16" s="1202">
        <f>((BD12/BD16)*BF12+(BD15/BD16)*BF15)</f>
        <v>-7.353948077745609</v>
      </c>
      <c r="BG16" s="1202"/>
      <c r="BH16" s="1166">
        <f>BH10+BH11+BH12</f>
        <v>1984.4879999999998</v>
      </c>
      <c r="BI16" s="1198">
        <f t="shared" si="5"/>
        <v>-4.7363299767228089</v>
      </c>
      <c r="BJ16" s="1202">
        <f>((BH12/BH16)*BJ12+(BH15/BH16)*BJ15)</f>
        <v>-7.7747076323968694</v>
      </c>
      <c r="BK16" s="1202"/>
      <c r="BL16" s="1166">
        <f>BL10+BL11+BL12</f>
        <v>2038.7099999999998</v>
      </c>
      <c r="BM16" s="1198">
        <f t="shared" si="6"/>
        <v>2.7322916540689635</v>
      </c>
      <c r="BN16" s="1202">
        <f>((BL12/BL16)*BN12+(BL15/BL16)*BN15)</f>
        <v>1.629318539664788</v>
      </c>
      <c r="BO16" s="1202"/>
      <c r="BP16" s="1166">
        <f>BP10+BP11+BP12</f>
        <v>2091.623</v>
      </c>
      <c r="BQ16" s="1198">
        <f t="shared" si="7"/>
        <v>2.5954157285734691</v>
      </c>
      <c r="BR16" s="1202">
        <f>((BP12/BP16)*BR12+(BP15/BP16)*BR15)</f>
        <v>-2.7948153180568536E-2</v>
      </c>
      <c r="BS16" s="1202"/>
      <c r="BT16" s="1166">
        <f>BT10+BT11+BT12</f>
        <v>2358.7489999999998</v>
      </c>
      <c r="BU16" s="1198">
        <f t="shared" si="8"/>
        <v>12.771230761948971</v>
      </c>
      <c r="BV16" s="1202">
        <f>((BT12/BT16)*BV12+(BT15/BT16)*BV15)</f>
        <v>11.789586344286739</v>
      </c>
      <c r="BW16" s="1202"/>
      <c r="BX16" s="1166">
        <f>BX10+BX11+BX12</f>
        <v>2264.0949999999998</v>
      </c>
      <c r="BY16" s="1200">
        <f t="shared" si="9"/>
        <v>-4.0128898835781186</v>
      </c>
      <c r="BZ16" s="1202">
        <f>((BX12/BX16)*BZ12+(BX15/BX16)*BZ15)</f>
        <v>-5.642475691170203</v>
      </c>
      <c r="CA16" s="1199"/>
      <c r="CB16" s="1166">
        <f>CB10+CB11+CB12</f>
        <v>2211.0140000000001</v>
      </c>
      <c r="CC16" s="1200">
        <f t="shared" si="15"/>
        <v>-2.3444687612489634</v>
      </c>
      <c r="CD16" s="1202">
        <f>((CB12/CB16)*CD12+(CB15/CB16)*CD15)</f>
        <v>-7.1039373789582516</v>
      </c>
      <c r="CE16" s="1199"/>
      <c r="CF16" s="1166">
        <f>CF10+CF11+CF12</f>
        <v>2416.02</v>
      </c>
      <c r="CG16" s="1200">
        <f t="shared" si="16"/>
        <v>9.2720353647692821</v>
      </c>
      <c r="CH16" s="1202">
        <f>((CF12/CF16)*CH12+(CF15/CF16)*CH15)</f>
        <v>9.0810489979387583</v>
      </c>
      <c r="CI16" s="1199"/>
      <c r="CJ16" s="1166">
        <f>CJ10+CJ11+CJ12</f>
        <v>2512.6190000000001</v>
      </c>
      <c r="CK16" s="1200">
        <f t="shared" si="17"/>
        <v>3.998269881871841</v>
      </c>
      <c r="CL16" s="1202">
        <f>((CJ12/CJ16)*CL12+(CJ15/CJ16)*CL15)</f>
        <v>3.5204286841737646</v>
      </c>
      <c r="CM16" s="1199"/>
      <c r="CN16" s="1166">
        <f>CN10+CN11+CN12</f>
        <v>2566.826</v>
      </c>
      <c r="CO16" s="1200">
        <f t="shared" si="10"/>
        <v>2.1573903564368502</v>
      </c>
      <c r="CP16" s="1202">
        <f>((CN12/CN16)*CP12+(CN15/CN16)*CP15)</f>
        <v>2.3741714475387115</v>
      </c>
      <c r="CQ16" s="1202"/>
      <c r="CR16" s="1166">
        <f>CR10+CR11+CR12</f>
        <v>2680.0837806043455</v>
      </c>
      <c r="CS16" s="1200">
        <f t="shared" si="11"/>
        <v>4.4123668921985937</v>
      </c>
      <c r="CT16" s="1202">
        <f>((CR12/CR16)*CT12+(CR15/CR16)*CT15)</f>
        <v>3.6031849035112238</v>
      </c>
      <c r="CU16" s="1202"/>
      <c r="CV16" s="1202"/>
      <c r="CW16" s="1202"/>
      <c r="CX16" s="1203">
        <f t="shared" si="18"/>
        <v>14</v>
      </c>
      <c r="CY16" s="1202"/>
      <c r="CZ16" s="1203">
        <f t="shared" si="19"/>
        <v>8</v>
      </c>
      <c r="DA16" s="1202"/>
      <c r="DB16" s="1195"/>
      <c r="DC16" s="1195"/>
      <c r="DD16" s="1195"/>
      <c r="DE16" s="1195"/>
      <c r="DF16" s="1195"/>
      <c r="DG16" s="1195"/>
      <c r="DH16" s="1226"/>
      <c r="DI16" s="951"/>
      <c r="DJ16" s="951"/>
      <c r="DK16" s="951"/>
      <c r="DL16" s="951"/>
      <c r="DM16" s="951"/>
      <c r="DN16" s="1226"/>
      <c r="DO16" s="951"/>
      <c r="DP16" s="951"/>
      <c r="DQ16" s="951"/>
      <c r="DR16" s="951"/>
      <c r="DS16" s="951"/>
      <c r="DT16" s="951" t="s">
        <v>507</v>
      </c>
      <c r="DU16" s="951">
        <f>+DU14-DU15</f>
        <v>-1.0036799999999997</v>
      </c>
      <c r="DV16" s="951">
        <f>+DV14-DV15</f>
        <v>0.80314080000000077</v>
      </c>
      <c r="DW16" s="951">
        <f>+DW14-DW15</f>
        <v>0.89681760000000166</v>
      </c>
      <c r="DX16" s="951">
        <f>+DX14-DX15</f>
        <v>1.1050627500000016</v>
      </c>
      <c r="DY16" s="951">
        <f>+DY14-DY15</f>
        <v>1.8013411499999987</v>
      </c>
    </row>
    <row r="17" spans="1:129" ht="12.75" outlineLevel="2" collapsed="1">
      <c r="A17" s="951"/>
      <c r="B17" s="951"/>
      <c r="C17" s="951"/>
      <c r="D17" s="951"/>
      <c r="E17" s="951"/>
      <c r="F17" s="951"/>
      <c r="G17" s="951"/>
      <c r="H17" s="951"/>
      <c r="I17" s="951"/>
      <c r="J17" s="951"/>
      <c r="K17" s="951"/>
      <c r="L17" s="951"/>
      <c r="M17" s="951"/>
      <c r="N17" s="951"/>
      <c r="O17" s="951"/>
      <c r="P17" s="1206"/>
      <c r="Q17" s="951"/>
      <c r="R17" s="951"/>
      <c r="S17" s="951"/>
      <c r="T17" s="1206"/>
      <c r="U17" s="951"/>
      <c r="V17" s="1209"/>
      <c r="W17" s="951"/>
      <c r="X17" s="1206"/>
      <c r="Y17" s="951"/>
      <c r="Z17" s="951"/>
      <c r="AA17" s="951"/>
      <c r="AB17" s="951"/>
      <c r="AC17" s="1206"/>
      <c r="AD17" s="951"/>
      <c r="AE17" s="951"/>
      <c r="AF17" s="951"/>
      <c r="AG17" s="1206"/>
      <c r="AH17" s="951"/>
      <c r="AI17" s="951"/>
      <c r="AJ17" s="951"/>
      <c r="AK17" s="1206"/>
      <c r="AL17" s="951"/>
      <c r="AM17" s="951"/>
      <c r="AN17" s="951"/>
      <c r="AO17" s="1206"/>
      <c r="AP17" s="951"/>
      <c r="AQ17" s="951"/>
      <c r="AR17" s="951"/>
      <c r="AS17" s="1206"/>
      <c r="AT17" s="951"/>
      <c r="AU17" s="951"/>
      <c r="AV17" s="1228"/>
      <c r="AW17" s="1160"/>
      <c r="AX17" s="1158"/>
      <c r="AY17" s="951"/>
      <c r="AZ17" s="1228"/>
      <c r="BA17" s="1160"/>
      <c r="BB17" s="1158"/>
      <c r="BC17" s="951"/>
      <c r="BD17" s="1228"/>
      <c r="BE17" s="1160"/>
      <c r="BF17" s="1158"/>
      <c r="BG17" s="1158"/>
      <c r="BH17" s="1228"/>
      <c r="BI17" s="1160"/>
      <c r="BJ17" s="1158"/>
      <c r="BK17" s="1158"/>
      <c r="BL17" s="1228"/>
      <c r="BM17" s="1160"/>
      <c r="BN17" s="1158"/>
      <c r="BO17" s="1158"/>
      <c r="BP17" s="1158"/>
      <c r="BQ17" s="1160"/>
      <c r="BR17" s="1158"/>
      <c r="BS17" s="1158"/>
      <c r="BT17" s="1229"/>
      <c r="BU17" s="1229"/>
      <c r="BV17" s="1230"/>
      <c r="BW17" s="1230"/>
      <c r="BX17" s="1158"/>
      <c r="BY17" s="1230"/>
      <c r="BZ17" s="1230"/>
      <c r="CA17" s="1199"/>
      <c r="CB17" s="1245"/>
      <c r="CC17" s="1230"/>
      <c r="CD17" s="1230"/>
      <c r="CE17" s="1199"/>
      <c r="CF17" s="1375"/>
      <c r="CG17" s="1230"/>
      <c r="CH17" s="1230"/>
      <c r="CI17" s="1199"/>
      <c r="CJ17" s="1839"/>
      <c r="CK17" s="1230"/>
      <c r="CL17" s="1230"/>
      <c r="CM17" s="1199"/>
      <c r="CN17" s="2194"/>
      <c r="CO17" s="1230"/>
      <c r="CP17" s="1230"/>
      <c r="CQ17" s="1230"/>
      <c r="CR17" s="1839"/>
      <c r="CS17" s="1230"/>
      <c r="CT17" s="1230"/>
      <c r="CU17" s="1203"/>
      <c r="CV17" s="1203"/>
      <c r="CW17" s="1203"/>
      <c r="CX17" s="1203">
        <f t="shared" si="18"/>
        <v>12.4</v>
      </c>
      <c r="CY17" s="1158"/>
      <c r="CZ17" s="1203">
        <f>CT11+CP11+CL11</f>
        <v>8</v>
      </c>
      <c r="DA17" s="1158"/>
      <c r="DB17" s="951"/>
      <c r="DC17" s="1226"/>
      <c r="DD17" s="1226"/>
      <c r="DE17" s="951"/>
      <c r="DF17" s="951"/>
      <c r="DG17" s="951"/>
      <c r="DH17" s="951"/>
      <c r="DI17" s="951"/>
      <c r="DJ17" s="951"/>
      <c r="DK17" s="951"/>
      <c r="DL17" s="951"/>
      <c r="DM17" s="951"/>
      <c r="DN17" s="951"/>
      <c r="DO17" s="951"/>
      <c r="DP17" s="951"/>
      <c r="DQ17" s="951"/>
      <c r="DR17" s="951"/>
      <c r="DS17" s="951"/>
      <c r="DT17" s="951" t="s">
        <v>35</v>
      </c>
      <c r="DU17" s="1232">
        <f>+DU16/$AB177</f>
        <v>-4.5378835146352697E-3</v>
      </c>
      <c r="DV17" s="1232">
        <f>+DV16/$AB178</f>
        <v>3.589327755879123E-3</v>
      </c>
      <c r="DW17" s="1232">
        <f>+DW16/$AB179</f>
        <v>4.0696916479477305E-3</v>
      </c>
      <c r="DX17" s="1232">
        <f>+DX16/$AB180</f>
        <v>5.0076708175861295E-3</v>
      </c>
      <c r="DY17" s="1232">
        <f>+DY16/$AB180</f>
        <v>8.1629061420919469E-3</v>
      </c>
    </row>
    <row r="18" spans="1:129" ht="12.75" outlineLevel="2">
      <c r="A18" s="1181"/>
      <c r="B18" s="1181"/>
      <c r="C18" s="1181"/>
      <c r="D18" s="1181"/>
      <c r="E18" s="1181"/>
      <c r="F18" s="1181"/>
      <c r="G18" s="1182"/>
      <c r="H18" s="1182"/>
      <c r="I18" s="1182"/>
      <c r="J18" s="1182"/>
      <c r="K18" s="1182"/>
      <c r="L18" s="1182"/>
      <c r="M18" s="1182"/>
      <c r="N18" s="1182"/>
      <c r="O18" s="1182"/>
      <c r="P18" s="1182"/>
      <c r="Q18" s="1182"/>
      <c r="R18" s="1182"/>
      <c r="S18" s="45"/>
      <c r="T18" s="1182"/>
      <c r="U18" s="1182"/>
      <c r="V18" s="1182"/>
      <c r="W18" s="45"/>
      <c r="X18" s="1182"/>
      <c r="Y18" s="1182"/>
      <c r="Z18" s="1183"/>
      <c r="AA18" s="1183"/>
      <c r="AB18" s="1183"/>
      <c r="AC18" s="1183"/>
      <c r="AD18" s="1183"/>
      <c r="AE18" s="1183"/>
      <c r="AF18" s="1182"/>
      <c r="AG18" s="1183"/>
      <c r="AH18" s="1183"/>
      <c r="AI18" s="1183"/>
      <c r="AJ18" s="1184"/>
      <c r="AK18" s="1183"/>
      <c r="AL18" s="1183"/>
      <c r="AM18" s="1183"/>
      <c r="AN18" s="1184"/>
      <c r="AO18" s="1183"/>
      <c r="AP18" s="1183"/>
      <c r="AQ18" s="1183"/>
      <c r="AR18" s="1184"/>
      <c r="AS18" s="1183"/>
      <c r="AT18" s="1183"/>
      <c r="AU18" s="1183"/>
      <c r="AW18" s="1185"/>
      <c r="AX18" s="1185"/>
      <c r="AY18" s="1183"/>
      <c r="AZ18" s="1186"/>
      <c r="BA18" s="1185"/>
      <c r="BB18" s="1185"/>
      <c r="BC18" s="1183"/>
      <c r="BD18" s="1186"/>
      <c r="BE18" s="1185"/>
      <c r="BF18" s="1185"/>
      <c r="BG18" s="1185"/>
      <c r="BH18" s="1186"/>
      <c r="BI18" s="1185"/>
      <c r="BJ18" s="1185"/>
      <c r="BK18" s="1185"/>
      <c r="BL18" s="1186"/>
      <c r="BM18" s="1185"/>
      <c r="BN18" s="1185"/>
      <c r="BO18" s="1185"/>
      <c r="BP18" s="1182" t="s">
        <v>168</v>
      </c>
      <c r="BQ18" s="1185"/>
      <c r="BR18" s="1185"/>
      <c r="BS18" s="1185"/>
      <c r="BT18" s="1233"/>
      <c r="BU18" s="1185"/>
      <c r="BV18" s="1185"/>
      <c r="BW18" s="1185"/>
      <c r="BX18" s="1185"/>
      <c r="BY18" s="1185"/>
      <c r="BZ18" s="1234"/>
      <c r="CA18" s="1187"/>
      <c r="CB18" s="1185"/>
      <c r="CC18" s="1185"/>
      <c r="CD18" s="1234"/>
      <c r="CE18" s="1187"/>
      <c r="CF18" s="1185"/>
      <c r="CG18" s="1182" t="s">
        <v>168</v>
      </c>
      <c r="CH18" s="1234"/>
      <c r="CI18" s="1187"/>
      <c r="CJ18" s="1185"/>
      <c r="CK18" s="1185"/>
      <c r="CL18" s="1234"/>
      <c r="CM18" s="1187"/>
      <c r="CN18" s="2194"/>
      <c r="CO18" s="1185"/>
      <c r="CP18" s="1234"/>
      <c r="CQ18" s="1234"/>
      <c r="CR18" s="1185"/>
      <c r="CS18" s="1185"/>
      <c r="CT18" s="1234"/>
      <c r="CU18" s="1203"/>
      <c r="CV18" s="1203"/>
      <c r="CW18" s="1203"/>
      <c r="CX18" s="1203">
        <f t="shared" si="18"/>
        <v>14</v>
      </c>
      <c r="CY18" s="1185"/>
      <c r="CZ18" s="1203">
        <f t="shared" ref="CZ18:CZ19" si="20">CT12+CP12+CL12</f>
        <v>8</v>
      </c>
      <c r="DA18" s="1185"/>
      <c r="DB18" s="1183"/>
      <c r="DC18" s="1183"/>
      <c r="DD18" s="1183"/>
      <c r="DE18" s="1183"/>
      <c r="DF18" s="1183"/>
      <c r="DG18" s="1183"/>
      <c r="DH18" s="1235" t="s">
        <v>32</v>
      </c>
      <c r="DI18" s="45"/>
      <c r="DJ18" s="45"/>
      <c r="DK18" s="45"/>
      <c r="DL18" s="1236" t="s">
        <v>31</v>
      </c>
      <c r="DM18" s="45"/>
      <c r="DN18" s="1235" t="s">
        <v>32</v>
      </c>
      <c r="DO18" s="45"/>
      <c r="DP18" s="45"/>
      <c r="DQ18" s="45"/>
      <c r="DR18" s="1236" t="s">
        <v>31</v>
      </c>
      <c r="DS18" s="45"/>
      <c r="DT18" s="45"/>
      <c r="DU18" s="45"/>
      <c r="DV18" s="45"/>
      <c r="DW18" s="45"/>
      <c r="DX18" s="45"/>
      <c r="DY18" s="258"/>
    </row>
    <row r="19" spans="1:129" ht="12.75" outlineLevel="2">
      <c r="A19" s="45"/>
      <c r="B19" s="1183"/>
      <c r="C19" s="1183"/>
      <c r="D19" s="1183"/>
      <c r="E19" s="1183"/>
      <c r="F19" s="1183"/>
      <c r="G19" s="1183"/>
      <c r="H19" s="1183"/>
      <c r="I19" s="1183"/>
      <c r="J19" s="1183"/>
      <c r="K19" s="1183"/>
      <c r="L19" s="1183"/>
      <c r="M19" s="1183"/>
      <c r="N19" s="45"/>
      <c r="O19" s="1183"/>
      <c r="P19" s="1183"/>
      <c r="Q19" s="1183"/>
      <c r="R19" s="45"/>
      <c r="S19" s="1183"/>
      <c r="T19" s="1183"/>
      <c r="U19" s="1183"/>
      <c r="V19" s="45"/>
      <c r="W19" s="1183"/>
      <c r="X19" s="1183"/>
      <c r="Y19" s="1183"/>
      <c r="Z19" s="45"/>
      <c r="AA19" s="45"/>
      <c r="AB19" s="1183"/>
      <c r="AC19" s="1183"/>
      <c r="AD19" s="1183"/>
      <c r="AE19" s="45"/>
      <c r="AF19" s="1183"/>
      <c r="AG19" s="1183"/>
      <c r="AH19" s="1183"/>
      <c r="AI19" s="45"/>
      <c r="AJ19" s="1183"/>
      <c r="AK19" s="1183"/>
      <c r="AL19" s="1237"/>
      <c r="AM19" s="45"/>
      <c r="AN19" s="1183"/>
      <c r="AO19" s="1183"/>
      <c r="AP19" s="1237"/>
      <c r="AQ19" s="45"/>
      <c r="AR19" s="1183"/>
      <c r="AS19" s="1183"/>
      <c r="AT19" s="1237"/>
      <c r="AU19" s="45"/>
      <c r="AV19" s="1185"/>
      <c r="AW19" s="1185"/>
      <c r="AX19" s="1237"/>
      <c r="AY19" s="45"/>
      <c r="AZ19" s="1185"/>
      <c r="BA19" s="1185"/>
      <c r="BB19" s="1237"/>
      <c r="BC19" s="45"/>
      <c r="BD19" s="1185"/>
      <c r="BE19" s="1185"/>
      <c r="BF19" s="1237"/>
      <c r="BG19" s="1185"/>
      <c r="BH19" s="1185"/>
      <c r="BI19" s="1185"/>
      <c r="BJ19" s="1237"/>
      <c r="BK19" s="1185"/>
      <c r="BL19" s="1238"/>
      <c r="BM19" s="1185"/>
      <c r="BN19" s="1237"/>
      <c r="BO19" s="1185"/>
      <c r="BP19" s="1185"/>
      <c r="BQ19" s="1185"/>
      <c r="BR19" s="1237"/>
      <c r="BS19" s="1185"/>
      <c r="BT19" s="1185"/>
      <c r="BU19" s="1185"/>
      <c r="BV19" s="1237"/>
      <c r="BW19" s="1237"/>
      <c r="BX19" s="1237"/>
      <c r="BY19" s="1237"/>
      <c r="BZ19" s="1237"/>
      <c r="CA19" s="1237"/>
      <c r="CB19" s="1237"/>
      <c r="CC19" s="1237"/>
      <c r="CD19" s="1237"/>
      <c r="CE19" s="1237"/>
      <c r="CF19" s="1237"/>
      <c r="CG19" s="1237"/>
      <c r="CH19" s="1237"/>
      <c r="CI19" s="1237"/>
      <c r="CJ19" s="1237"/>
      <c r="CK19" s="1237"/>
      <c r="CL19" s="1237"/>
      <c r="CM19" s="1237"/>
      <c r="CN19" s="1237"/>
      <c r="CO19" s="1237"/>
      <c r="CP19" s="1237"/>
      <c r="CQ19" s="1237"/>
      <c r="CR19" s="1312"/>
      <c r="CS19" s="1312"/>
      <c r="CT19" s="1312"/>
      <c r="CU19" s="1203"/>
      <c r="CV19" s="1203"/>
      <c r="CW19" s="1203"/>
      <c r="CX19" s="1203">
        <f t="shared" si="18"/>
        <v>15.560984263369367</v>
      </c>
      <c r="CY19" s="1239"/>
      <c r="CZ19" s="1203">
        <f t="shared" si="20"/>
        <v>6.4</v>
      </c>
      <c r="DA19" s="45"/>
      <c r="DB19" s="1237"/>
      <c r="DC19" s="1240"/>
      <c r="DD19" s="45"/>
      <c r="DE19" s="1240"/>
      <c r="DF19" s="1183"/>
      <c r="DG19" s="1183"/>
      <c r="DH19" s="156" t="s">
        <v>443</v>
      </c>
      <c r="DI19" s="45"/>
      <c r="DJ19" s="156" t="s">
        <v>444</v>
      </c>
      <c r="DK19" s="951" t="s">
        <v>447</v>
      </c>
      <c r="DL19" s="156" t="s">
        <v>695</v>
      </c>
      <c r="DM19" s="45"/>
      <c r="DN19" s="156" t="s">
        <v>443</v>
      </c>
      <c r="DO19" s="45"/>
      <c r="DP19" s="156" t="s">
        <v>444</v>
      </c>
      <c r="DQ19" s="951" t="s">
        <v>447</v>
      </c>
      <c r="DR19" s="156" t="s">
        <v>695</v>
      </c>
      <c r="DS19" s="45"/>
      <c r="DT19" s="45"/>
      <c r="DU19" s="45"/>
      <c r="DV19" s="45"/>
      <c r="DW19" s="45"/>
      <c r="DX19" s="45"/>
      <c r="DY19" s="45"/>
    </row>
    <row r="20" spans="1:129" ht="12.75" outlineLevel="2">
      <c r="A20" s="1167" t="s">
        <v>734</v>
      </c>
      <c r="B20" s="951"/>
      <c r="C20" s="1222">
        <f>+C10-6.332</f>
        <v>42.085000000000001</v>
      </c>
      <c r="D20" s="1241">
        <f t="shared" ref="D20:D26" si="21">(1-C20/C10)*100</f>
        <v>13.078051097754917</v>
      </c>
      <c r="E20" s="951"/>
      <c r="F20" s="951"/>
      <c r="G20" s="1222">
        <f>+G10-13.61</f>
        <v>40.786000000000001</v>
      </c>
      <c r="H20" s="1242">
        <f t="shared" ref="H20:H26" si="22">(1-G20/G10)*100</f>
        <v>25.020222075152589</v>
      </c>
      <c r="I20" s="1232"/>
      <c r="J20" s="951"/>
      <c r="K20" s="1222">
        <f>+K10-14.253</f>
        <v>46.698999999999998</v>
      </c>
      <c r="L20" s="1242">
        <f t="shared" ref="L20:L26" si="23">(1-K20/K10)*100</f>
        <v>23.383974274839215</v>
      </c>
      <c r="M20" s="1232"/>
      <c r="N20" s="951"/>
      <c r="O20" s="1222">
        <v>62.476999999999997</v>
      </c>
      <c r="P20" s="1242">
        <f t="shared" ref="P20:P26" si="24">(1-O20/O10)*100</f>
        <v>37.331233574738711</v>
      </c>
      <c r="Q20" s="951"/>
      <c r="R20" s="951"/>
      <c r="S20" s="1222">
        <v>86.376999999999995</v>
      </c>
      <c r="T20" s="1242">
        <f t="shared" ref="T20:T26" si="25">(1-S20/S10)*100</f>
        <v>40.595169321339164</v>
      </c>
      <c r="U20" s="951"/>
      <c r="V20" s="951"/>
      <c r="W20" s="765">
        <v>107.943</v>
      </c>
      <c r="X20" s="1242">
        <f>(1-W20/W10)*100</f>
        <v>39.357524480474602</v>
      </c>
      <c r="Y20" s="951"/>
      <c r="Z20" s="951"/>
      <c r="AA20" s="951"/>
      <c r="AB20" s="267">
        <v>149.678</v>
      </c>
      <c r="AC20" s="1243">
        <f>(1-AB20/AB10)*100</f>
        <v>40.497241083212742</v>
      </c>
      <c r="AD20" s="1232"/>
      <c r="AE20" s="951"/>
      <c r="AF20" s="267">
        <v>167.874</v>
      </c>
      <c r="AG20" s="1243">
        <f>(1-AF20/AF10)*100</f>
        <v>39.590417894657293</v>
      </c>
      <c r="AH20" s="1232"/>
      <c r="AI20" s="951"/>
      <c r="AJ20" s="267">
        <v>185.87</v>
      </c>
      <c r="AK20" s="1243">
        <f>(1-AJ20/AJ10)*100</f>
        <v>36.314920269446105</v>
      </c>
      <c r="AL20" s="1232">
        <f>AK20-AG20</f>
        <v>-3.2754976252111874</v>
      </c>
      <c r="AM20" s="951"/>
      <c r="AN20" s="267">
        <v>183.511</v>
      </c>
      <c r="AO20" s="1243">
        <f>(1-AN20/AN10)*100</f>
        <v>44.763868404418631</v>
      </c>
      <c r="AP20" s="1232">
        <f>AO20-AK20</f>
        <v>8.4489481349725253</v>
      </c>
      <c r="AQ20" s="951"/>
      <c r="AR20" s="267">
        <v>234.31700000000001</v>
      </c>
      <c r="AS20" s="1243">
        <f>(1-AR20/AR10)*100</f>
        <v>48.668388549696914</v>
      </c>
      <c r="AT20" s="1232">
        <f>AS20-AO20</f>
        <v>3.9045201452782834</v>
      </c>
      <c r="AU20" s="951"/>
      <c r="AV20" s="267">
        <v>268.05900000000003</v>
      </c>
      <c r="AW20" s="1243">
        <f>(1-AV20/AV10)*100</f>
        <v>48.689771604891007</v>
      </c>
      <c r="AX20" s="1232">
        <f>AW20-AS20</f>
        <v>2.1383055194093004E-2</v>
      </c>
      <c r="AY20" s="951"/>
      <c r="AZ20" s="267">
        <v>313.92700000000002</v>
      </c>
      <c r="BA20" s="1243">
        <f>(1-AZ20/AZ10)*100</f>
        <v>48.737071063022341</v>
      </c>
      <c r="BB20" s="1159">
        <f>BA20-AW20</f>
        <v>4.7299458131334404E-2</v>
      </c>
      <c r="BC20" s="951"/>
      <c r="BD20" s="267">
        <v>376.63499999999999</v>
      </c>
      <c r="BE20" s="1243">
        <f>(1-BD20/BD10)*100</f>
        <v>41.178537627556999</v>
      </c>
      <c r="BF20" s="1159">
        <f>BE20-BA20</f>
        <v>-7.5585334354653426</v>
      </c>
      <c r="BG20" s="1159"/>
      <c r="BH20" s="267">
        <f>391.061-12.985</f>
        <v>378.07599999999996</v>
      </c>
      <c r="BI20" s="1243">
        <f>(1-BH20/BH10)*100</f>
        <v>37.163171724457733</v>
      </c>
      <c r="BJ20" s="1159">
        <f>BI20-BE20</f>
        <v>-4.0153659030992657</v>
      </c>
      <c r="BK20" s="1159"/>
      <c r="BL20" s="267">
        <f>390.766-4.769</f>
        <v>385.99700000000001</v>
      </c>
      <c r="BM20" s="1243">
        <f>(1-BL20/BL10)*100</f>
        <v>40.166635664682538</v>
      </c>
      <c r="BN20" s="1159">
        <f>BM20-BI20</f>
        <v>3.0034639402248047</v>
      </c>
      <c r="BO20" s="1159"/>
      <c r="BP20" s="267">
        <f>377.801-8.536</f>
        <v>369.26499999999999</v>
      </c>
      <c r="BQ20" s="1243">
        <f>(1-BP20/BP10)*100</f>
        <v>38.770552692493922</v>
      </c>
      <c r="BR20" s="1159">
        <f>BQ20-BM20</f>
        <v>-1.3960829721886157</v>
      </c>
      <c r="BS20" s="1159"/>
      <c r="BT20" s="577">
        <v>433.78199999999998</v>
      </c>
      <c r="BU20" s="1243">
        <f>(1-BT20/BT10)*100</f>
        <v>38.791440605620195</v>
      </c>
      <c r="BV20" s="1159">
        <f>BU20-BQ20</f>
        <v>2.0887913126273361E-2</v>
      </c>
      <c r="BW20" s="1159"/>
      <c r="BX20" s="577">
        <v>413.44299999999998</v>
      </c>
      <c r="BY20" s="1243">
        <f>(1-BX20/BX10)*100</f>
        <v>39.152760137576401</v>
      </c>
      <c r="BZ20" s="1244">
        <f>BY20-BU20</f>
        <v>0.36131953195620525</v>
      </c>
      <c r="CA20" s="1245"/>
      <c r="CB20" s="577">
        <v>420.28399999999999</v>
      </c>
      <c r="CC20" s="1243">
        <f>(1-CB20/CB10)*100</f>
        <v>34.953546428035274</v>
      </c>
      <c r="CD20" s="1244">
        <f>CC20-BY20</f>
        <v>-4.1992137095411266</v>
      </c>
      <c r="CE20" s="1245"/>
      <c r="CF20" s="577">
        <v>437.30799999999999</v>
      </c>
      <c r="CG20" s="1243">
        <f>(1-CF20/CF10)*100</f>
        <v>37.48456084172004</v>
      </c>
      <c r="CH20" s="1244">
        <f>CG20-CC20</f>
        <v>2.5310144136847654</v>
      </c>
      <c r="CI20" s="1245"/>
      <c r="CJ20" s="577">
        <v>455.964</v>
      </c>
      <c r="CK20" s="1243">
        <f>(1-CJ20/CJ10)*100</f>
        <v>39.157423914087772</v>
      </c>
      <c r="CL20" s="1244">
        <f>CK20-CG20</f>
        <v>1.6728630723677327</v>
      </c>
      <c r="CM20" s="1245"/>
      <c r="CN20" s="577">
        <v>484.01400000000001</v>
      </c>
      <c r="CO20" s="1243">
        <f>(1-CN20/CN10)*100</f>
        <v>36.467428685438861</v>
      </c>
      <c r="CP20" s="1244">
        <f t="shared" ref="CP20:CP26" si="26">CO20-CK20</f>
        <v>-2.6899952286489111</v>
      </c>
      <c r="CQ20" s="1244"/>
      <c r="CR20" s="1201">
        <f>CR10*(1-CS20/100)</f>
        <v>509.22461413083579</v>
      </c>
      <c r="CS20" s="1246">
        <v>37</v>
      </c>
      <c r="CT20" s="1244">
        <f>CS20-CO20</f>
        <v>0.53257131456113882</v>
      </c>
      <c r="CU20" s="1203"/>
      <c r="CV20" s="1203"/>
      <c r="CW20" s="1159"/>
      <c r="CX20" s="1159"/>
      <c r="CY20" s="1159"/>
      <c r="CZ20" s="1158"/>
      <c r="DA20" s="1158"/>
      <c r="DB20" s="1232"/>
      <c r="DC20" s="1159"/>
      <c r="DD20" s="951"/>
      <c r="DE20" s="1159"/>
      <c r="DF20" s="1232"/>
      <c r="DG20" s="1232"/>
      <c r="DH20" s="164">
        <v>39.94</v>
      </c>
      <c r="DI20" s="951"/>
      <c r="DJ20" s="164">
        <v>35</v>
      </c>
      <c r="DK20" s="951">
        <f>+DJ20-DH20</f>
        <v>-4.9399999999999977</v>
      </c>
      <c r="DL20" s="1226">
        <f>+DH20*DI$10+DJ20*DK$10</f>
        <v>39.508288638757357</v>
      </c>
      <c r="DM20" s="951"/>
      <c r="DN20" s="164">
        <v>39.4</v>
      </c>
      <c r="DO20" s="951"/>
      <c r="DP20" s="164">
        <v>30</v>
      </c>
      <c r="DQ20" s="951">
        <f>+DP20-DN20</f>
        <v>-9.3999999999999986</v>
      </c>
      <c r="DR20" s="1226">
        <f>+DN20*DO$10+DP20*DQ$10</f>
        <v>39.4</v>
      </c>
      <c r="DS20" s="951"/>
      <c r="DT20" s="951"/>
      <c r="DU20" s="951"/>
      <c r="DV20" s="951"/>
      <c r="DW20" s="951"/>
      <c r="DX20" s="951"/>
      <c r="DY20" s="951"/>
    </row>
    <row r="21" spans="1:129" ht="12.75" outlineLevel="2">
      <c r="A21" s="1167" t="s">
        <v>735</v>
      </c>
      <c r="B21" s="951"/>
      <c r="C21" s="1226">
        <f>+C11-18.103</f>
        <v>47.234000000000002</v>
      </c>
      <c r="D21" s="1241">
        <f t="shared" si="21"/>
        <v>27.707118478044602</v>
      </c>
      <c r="E21" s="951"/>
      <c r="F21" s="951"/>
      <c r="G21" s="1226">
        <f>+G11-21.239</f>
        <v>49.018000000000001</v>
      </c>
      <c r="H21" s="1242">
        <f t="shared" si="22"/>
        <v>30.230439671491816</v>
      </c>
      <c r="I21" s="951"/>
      <c r="J21" s="951"/>
      <c r="K21" s="1226">
        <f>+K11-25.053</f>
        <v>61.106000000000009</v>
      </c>
      <c r="L21" s="1242">
        <f t="shared" si="23"/>
        <v>29.07763553430285</v>
      </c>
      <c r="M21" s="951"/>
      <c r="N21" s="951"/>
      <c r="O21" s="1226">
        <v>76.668000000000006</v>
      </c>
      <c r="P21" s="1242">
        <f t="shared" si="24"/>
        <v>39.022198185014034</v>
      </c>
      <c r="Q21" s="951"/>
      <c r="R21" s="951"/>
      <c r="S21" s="1226">
        <v>105.99299999999999</v>
      </c>
      <c r="T21" s="1242">
        <f t="shared" si="25"/>
        <v>40.647433671926628</v>
      </c>
      <c r="U21" s="951"/>
      <c r="V21" s="951"/>
      <c r="W21" s="164">
        <v>145.387</v>
      </c>
      <c r="X21" s="1243">
        <f>(1-W21/W11)*100</f>
        <v>30.429185986974648</v>
      </c>
      <c r="Y21" s="1232"/>
      <c r="Z21" s="951" t="s">
        <v>251</v>
      </c>
      <c r="AA21" s="951"/>
      <c r="AB21" s="164">
        <v>184.40299999999999</v>
      </c>
      <c r="AC21" s="1243">
        <f>(1-AB21/AB11)*100</f>
        <v>36.932953021970505</v>
      </c>
      <c r="AD21" s="1232"/>
      <c r="AE21" s="951"/>
      <c r="AF21" s="164">
        <v>209.46899999999999</v>
      </c>
      <c r="AG21" s="1243">
        <f>(1-AF21/AF11)*100</f>
        <v>34.376879699248121</v>
      </c>
      <c r="AH21" s="1232"/>
      <c r="AI21" s="951"/>
      <c r="AJ21" s="164">
        <v>225.86600000000001</v>
      </c>
      <c r="AK21" s="1243">
        <f>(1-AJ21/AJ11)*100</f>
        <v>32.988384684992056</v>
      </c>
      <c r="AL21" s="1232">
        <f>AK21-AG21</f>
        <v>-1.3884950142560655</v>
      </c>
      <c r="AM21" s="951"/>
      <c r="AN21" s="164">
        <v>232.548</v>
      </c>
      <c r="AO21" s="1243">
        <f>(1-AN21/AN11)*100</f>
        <v>41.186943920364591</v>
      </c>
      <c r="AP21" s="1232">
        <f>AO21-AK21</f>
        <v>8.1985592353725352</v>
      </c>
      <c r="AQ21" s="951"/>
      <c r="AR21" s="164">
        <v>287.88799999999998</v>
      </c>
      <c r="AS21" s="1243">
        <f>(1-AR21/AR11)*100</f>
        <v>44.19347585041136</v>
      </c>
      <c r="AT21" s="1232">
        <f>AS21-AO21</f>
        <v>3.0065319300467692</v>
      </c>
      <c r="AU21" s="951"/>
      <c r="AV21" s="598">
        <v>327.065</v>
      </c>
      <c r="AW21" s="1243">
        <f>(1-AV21/AV11)*100</f>
        <v>45.699670942313631</v>
      </c>
      <c r="AX21" s="1232">
        <f>AW21-AS21</f>
        <v>1.5061950919022706</v>
      </c>
      <c r="AY21" s="951"/>
      <c r="AZ21" s="598">
        <v>386.74200000000002</v>
      </c>
      <c r="BA21" s="1243">
        <f>(1-AZ21/AZ11)*100</f>
        <v>45.001699400872312</v>
      </c>
      <c r="BB21" s="1159">
        <f>BA21-AW21</f>
        <v>-0.69797154144131923</v>
      </c>
      <c r="BC21" s="951"/>
      <c r="BD21" s="598">
        <v>399.43099999999998</v>
      </c>
      <c r="BE21" s="1243">
        <f>(1-BD21/BD11)*100</f>
        <v>42.011860949601868</v>
      </c>
      <c r="BF21" s="1159">
        <f>BE21-BA21</f>
        <v>-2.9898384512704439</v>
      </c>
      <c r="BG21" s="1159"/>
      <c r="BH21" s="598">
        <f>408.763-15.863</f>
        <v>392.9</v>
      </c>
      <c r="BI21" s="1243">
        <f>(1-BH21/BH11)*100</f>
        <v>39.254604992594288</v>
      </c>
      <c r="BJ21" s="1159">
        <f>BI21-BE21</f>
        <v>-2.7572559570075796</v>
      </c>
      <c r="BK21" s="1159"/>
      <c r="BL21" s="598">
        <f>411.794-4.363</f>
        <v>407.43099999999998</v>
      </c>
      <c r="BM21" s="1243">
        <f>(1-BL21/BL11)*100</f>
        <v>37.196662458515803</v>
      </c>
      <c r="BN21" s="1159">
        <f>BM21-BI21</f>
        <v>-2.0579425340784852</v>
      </c>
      <c r="BO21" s="1159"/>
      <c r="BP21" s="598">
        <f>443.642-10.7</f>
        <v>432.94200000000001</v>
      </c>
      <c r="BQ21" s="1243">
        <f>(1-BP21/BP11)*100</f>
        <v>35.296807747489233</v>
      </c>
      <c r="BR21" s="1159">
        <f>BQ21-BM21</f>
        <v>-1.8998547110265704</v>
      </c>
      <c r="BS21" s="1159"/>
      <c r="BT21" s="598">
        <v>463.11599999999999</v>
      </c>
      <c r="BU21" s="1243">
        <f>(1-BT21/BT11)*100</f>
        <v>37.389682024659308</v>
      </c>
      <c r="BV21" s="1159">
        <f>BU21-BQ21</f>
        <v>2.0928742771700755</v>
      </c>
      <c r="BW21" s="1159"/>
      <c r="BX21" s="1210">
        <v>481.81799999999998</v>
      </c>
      <c r="BY21" s="1243">
        <f>(1-BX21/BX11)*100</f>
        <v>33.753693389228566</v>
      </c>
      <c r="BZ21" s="1244">
        <f>BY21-BU21</f>
        <v>-3.635988635430742</v>
      </c>
      <c r="CA21" s="1159"/>
      <c r="CB21" s="1210">
        <v>473.048</v>
      </c>
      <c r="CC21" s="1243">
        <f>(1-CB21/CB11)*100</f>
        <v>33.429309240847459</v>
      </c>
      <c r="CD21" s="1244">
        <f>CC21-BY21</f>
        <v>-0.32438414838110674</v>
      </c>
      <c r="CE21" s="1159"/>
      <c r="CF21" s="1210">
        <v>512.38900000000001</v>
      </c>
      <c r="CG21" s="1243">
        <f>(1-CF21/CF11)*100</f>
        <v>35.744794514363676</v>
      </c>
      <c r="CH21" s="1244">
        <f>CG21-CC21</f>
        <v>2.3154852735162166</v>
      </c>
      <c r="CI21" s="1159"/>
      <c r="CJ21" s="1210">
        <v>515.49900000000002</v>
      </c>
      <c r="CK21" s="1243">
        <f>(1-CJ21/CJ11)*100</f>
        <v>37.332511542753778</v>
      </c>
      <c r="CL21" s="1244">
        <f>CK21-CG21</f>
        <v>1.5877170283901023</v>
      </c>
      <c r="CM21" s="1159"/>
      <c r="CN21" s="1210">
        <f>551.908-1.68</f>
        <v>550.22800000000007</v>
      </c>
      <c r="CO21" s="1243">
        <f>(1-CN21/CN11)*100</f>
        <v>34.85010484786698</v>
      </c>
      <c r="CP21" s="1244">
        <f t="shared" si="26"/>
        <v>-2.482406694886798</v>
      </c>
      <c r="CQ21" s="1244"/>
      <c r="CR21" s="1211">
        <f>CR11*(1-CS21/100)</f>
        <v>584.21834962983462</v>
      </c>
      <c r="CS21" s="1246">
        <v>35.9</v>
      </c>
      <c r="CT21" s="1244">
        <f>CS21-CO21</f>
        <v>1.0498951521330184</v>
      </c>
      <c r="CU21" s="1203"/>
      <c r="CV21" s="1203"/>
      <c r="CW21" s="1159"/>
      <c r="CX21" s="1159"/>
      <c r="CY21" s="1159"/>
      <c r="CZ21" s="1158"/>
      <c r="DA21" s="1158"/>
      <c r="DB21" s="1232"/>
      <c r="DC21" s="1159"/>
      <c r="DD21" s="951"/>
      <c r="DE21" s="1159"/>
      <c r="DF21" s="1232"/>
      <c r="DG21" s="1232"/>
      <c r="DH21" s="164">
        <v>38.6</v>
      </c>
      <c r="DI21" s="951"/>
      <c r="DJ21" s="164">
        <v>35.200000000000003</v>
      </c>
      <c r="DK21" s="951">
        <f>+DJ21-DH21</f>
        <v>-3.3999999999999986</v>
      </c>
      <c r="DL21" s="1226">
        <f>+DH21*DI$11+DJ21*DK$11</f>
        <v>38.337691916536464</v>
      </c>
      <c r="DM21" s="951"/>
      <c r="DN21" s="164">
        <v>35.65</v>
      </c>
      <c r="DO21" s="951"/>
      <c r="DP21" s="164">
        <v>28</v>
      </c>
      <c r="DQ21" s="951">
        <f>+DP21-DN21</f>
        <v>-7.6499999999999986</v>
      </c>
      <c r="DR21" s="1226">
        <f>+DN21*DO$11+DP21*DQ$11</f>
        <v>35.65</v>
      </c>
      <c r="DS21" s="951"/>
      <c r="DT21" s="951"/>
      <c r="DU21" s="951"/>
      <c r="DV21" s="951"/>
      <c r="DW21" s="951"/>
      <c r="DX21" s="951"/>
      <c r="DY21" s="951"/>
    </row>
    <row r="22" spans="1:129" ht="12.75" outlineLevel="2">
      <c r="A22" s="1167" t="s">
        <v>736</v>
      </c>
      <c r="B22" s="951"/>
      <c r="C22" s="1247">
        <f>+C12-23.796</f>
        <v>62.089000000000006</v>
      </c>
      <c r="D22" s="1241">
        <f t="shared" si="21"/>
        <v>27.706817255632533</v>
      </c>
      <c r="E22" s="951"/>
      <c r="F22" s="951"/>
      <c r="G22" s="1247">
        <f>+G12-25.85</f>
        <v>52.996000000000002</v>
      </c>
      <c r="H22" s="1242">
        <f t="shared" si="22"/>
        <v>32.785429825228931</v>
      </c>
      <c r="I22" s="951"/>
      <c r="J22" s="951"/>
      <c r="K22" s="1247">
        <f>+K12-38.654</f>
        <v>66.24799999999999</v>
      </c>
      <c r="L22" s="1242">
        <f t="shared" si="23"/>
        <v>36.847724542906725</v>
      </c>
      <c r="M22" s="951"/>
      <c r="N22" s="951"/>
      <c r="O22" s="1247">
        <v>88.647999999999996</v>
      </c>
      <c r="P22" s="1242">
        <f t="shared" si="24"/>
        <v>40.531837818981955</v>
      </c>
      <c r="Q22" s="951"/>
      <c r="R22" s="951"/>
      <c r="S22" s="1247">
        <v>126.849</v>
      </c>
      <c r="T22" s="1242">
        <f t="shared" si="25"/>
        <v>43.038622677856964</v>
      </c>
      <c r="U22" s="951"/>
      <c r="V22" s="951"/>
      <c r="W22" s="164">
        <v>162.68799999999999</v>
      </c>
      <c r="X22" s="1242">
        <f>(1-W22/W12)*100</f>
        <v>42.465704979718289</v>
      </c>
      <c r="Y22" s="951"/>
      <c r="Z22" s="951" t="s">
        <v>240</v>
      </c>
      <c r="AA22" s="951"/>
      <c r="AB22" s="164">
        <v>214.12</v>
      </c>
      <c r="AC22" s="1242">
        <f>(1-AB22/AB12)*100</f>
        <v>41.120665238588892</v>
      </c>
      <c r="AD22" s="1232"/>
      <c r="AE22" s="951"/>
      <c r="AF22" s="164">
        <v>228.16399999999999</v>
      </c>
      <c r="AG22" s="1243">
        <f>(1-AF22/AF12)*100</f>
        <v>39.074057261264542</v>
      </c>
      <c r="AH22" s="1232"/>
      <c r="AI22" s="951"/>
      <c r="AJ22" s="164">
        <v>231.53100000000001</v>
      </c>
      <c r="AK22" s="1243">
        <f>(1-AJ22/AJ12)*100</f>
        <v>38.06019261637239</v>
      </c>
      <c r="AL22" s="1232">
        <f>AK22-AG22</f>
        <v>-1.013864644892152</v>
      </c>
      <c r="AM22" s="951"/>
      <c r="AN22" s="164">
        <v>245.727</v>
      </c>
      <c r="AO22" s="1243">
        <f>(1-AN22/AN12)*100</f>
        <v>48.762575977146902</v>
      </c>
      <c r="AP22" s="1232">
        <f>AO22-AK22</f>
        <v>10.702383360774512</v>
      </c>
      <c r="AQ22" s="951"/>
      <c r="AR22" s="164">
        <v>311.18</v>
      </c>
      <c r="AS22" s="1243">
        <f>(1-AR22/AR12)*100</f>
        <v>46.398827312861833</v>
      </c>
      <c r="AT22" s="1232">
        <f>AS22-AO22</f>
        <v>-2.3637486642850689</v>
      </c>
      <c r="AU22" s="951"/>
      <c r="AV22" s="598">
        <v>351.96600000000001</v>
      </c>
      <c r="AW22" s="1243">
        <f>(1-AV22/AV12)*100</f>
        <v>49.451234399459985</v>
      </c>
      <c r="AX22" s="1232">
        <f>AW22-AS22</f>
        <v>3.0524070865981514</v>
      </c>
      <c r="AY22" s="951"/>
      <c r="AZ22" s="598">
        <v>391.52600000000001</v>
      </c>
      <c r="BA22" s="1243">
        <f>(1-AZ22/AZ12)*100</f>
        <v>47.406853177476314</v>
      </c>
      <c r="BB22" s="1159">
        <f>BA22-AW22</f>
        <v>-2.0443812219836701</v>
      </c>
      <c r="BC22" s="951"/>
      <c r="BD22" s="598">
        <v>444.62400000000002</v>
      </c>
      <c r="BE22" s="1243">
        <f>(1-BD22/BD12)*100</f>
        <v>41.034115082038511</v>
      </c>
      <c r="BF22" s="1159">
        <f>BE22-BA22</f>
        <v>-6.3727380954378035</v>
      </c>
      <c r="BG22" s="1159"/>
      <c r="BH22" s="598">
        <f>448.834-16.998</f>
        <v>431.83600000000001</v>
      </c>
      <c r="BI22" s="1243">
        <f>(1-BH22/BH12)*100</f>
        <v>41.327507333450178</v>
      </c>
      <c r="BJ22" s="1159">
        <f>BI22-BE22</f>
        <v>0.29339225141166736</v>
      </c>
      <c r="BK22" s="1159"/>
      <c r="BL22" s="598">
        <f>439.198-9.769</f>
        <v>429.42899999999997</v>
      </c>
      <c r="BM22" s="1243">
        <f>(1-BL22/BL12)*100</f>
        <v>42.346838083960634</v>
      </c>
      <c r="BN22" s="1159">
        <f>BM22-BI22</f>
        <v>1.0193307505104556</v>
      </c>
      <c r="BO22" s="1159"/>
      <c r="BP22" s="598">
        <f>522.859-15.695</f>
        <v>507.16400000000004</v>
      </c>
      <c r="BQ22" s="1243">
        <f>(1-BP22/BP12)*100</f>
        <v>38.106878166115251</v>
      </c>
      <c r="BR22" s="1159">
        <f>BQ22-BM22</f>
        <v>-4.2399599178453826</v>
      </c>
      <c r="BS22" s="1159"/>
      <c r="BT22" s="598">
        <v>531.28399999999999</v>
      </c>
      <c r="BU22" s="1243">
        <f>(1-BT22/BT12)*100</f>
        <v>41.641127712346794</v>
      </c>
      <c r="BV22" s="1159">
        <f>BU22-BQ22</f>
        <v>3.5342495462315426</v>
      </c>
      <c r="BW22" s="1159"/>
      <c r="BX22" s="1210">
        <v>558.42999999999995</v>
      </c>
      <c r="BY22" s="1243">
        <f>(1-BX22/BX12)*100</f>
        <v>34.862155242299998</v>
      </c>
      <c r="BZ22" s="1244">
        <f>BY22-BU22</f>
        <v>-6.7789724700467957</v>
      </c>
      <c r="CA22" s="1159"/>
      <c r="CB22" s="1210">
        <v>538.81799999999998</v>
      </c>
      <c r="CC22" s="1243">
        <f>(1-CB22/CB12)*100</f>
        <v>36.927975277715994</v>
      </c>
      <c r="CD22" s="1244">
        <f>CC22-BY22</f>
        <v>2.0658200354159959</v>
      </c>
      <c r="CE22" s="1159"/>
      <c r="CF22" s="1210">
        <v>551.54</v>
      </c>
      <c r="CG22" s="1243">
        <f>(1-CF22/CF12)*100</f>
        <v>39.989467636920729</v>
      </c>
      <c r="CH22" s="1244">
        <f>CG22-CC22</f>
        <v>3.0614923592047347</v>
      </c>
      <c r="CI22" s="1159"/>
      <c r="CJ22" s="1210">
        <v>562.79300000000001</v>
      </c>
      <c r="CK22" s="1243">
        <f>(1-CJ22/CJ12)*100</f>
        <v>40.167168292032073</v>
      </c>
      <c r="CL22" s="1244">
        <f>CK22-CG22</f>
        <v>0.17770065511134447</v>
      </c>
      <c r="CM22" s="1159"/>
      <c r="CN22" s="1210">
        <f>585.52</f>
        <v>585.52</v>
      </c>
      <c r="CO22" s="1243">
        <f>(1-CN22/CN12)*100</f>
        <v>39.035830713855106</v>
      </c>
      <c r="CP22" s="1244">
        <f t="shared" si="26"/>
        <v>-1.1313375781769679</v>
      </c>
      <c r="CQ22" s="1244"/>
      <c r="CR22" s="1211">
        <f>CR12*(1-CS22/100)</f>
        <v>590.62980102029735</v>
      </c>
      <c r="CS22" s="1246">
        <v>38.5</v>
      </c>
      <c r="CT22" s="1244">
        <f>CS22-CO22</f>
        <v>-0.5358307138551055</v>
      </c>
      <c r="CU22" s="1203"/>
      <c r="CV22" s="1249"/>
      <c r="CW22" s="1159"/>
      <c r="CX22" s="1159"/>
      <c r="CY22" s="1159"/>
      <c r="CZ22" s="1158"/>
      <c r="DA22" s="1158"/>
      <c r="DB22" s="1232"/>
      <c r="DC22" s="1159"/>
      <c r="DD22" s="951"/>
      <c r="DE22" s="1159"/>
      <c r="DF22" s="1232"/>
      <c r="DG22" s="1232"/>
      <c r="DH22" s="164">
        <v>42.5</v>
      </c>
      <c r="DI22" s="951"/>
      <c r="DJ22" s="164">
        <v>29</v>
      </c>
      <c r="DK22" s="951">
        <f>+DJ22-DH22</f>
        <v>-13.5</v>
      </c>
      <c r="DL22" s="1226">
        <f>+DH22*DI$12+DJ22*DK$12</f>
        <v>41.408008328409103</v>
      </c>
      <c r="DM22" s="951"/>
      <c r="DN22" s="164">
        <v>38.799999999999997</v>
      </c>
      <c r="DO22" s="951"/>
      <c r="DP22" s="164">
        <v>38</v>
      </c>
      <c r="DQ22" s="951">
        <f>+DP22-DN22</f>
        <v>-0.79999999999999716</v>
      </c>
      <c r="DR22" s="1226">
        <f>+DN22*DO$12+DP22*DQ$12</f>
        <v>38.799999999999997</v>
      </c>
      <c r="DS22" s="951"/>
      <c r="DT22" s="951"/>
      <c r="DU22" s="951"/>
      <c r="DV22" s="951"/>
      <c r="DW22" s="951"/>
      <c r="DX22" s="951"/>
      <c r="DY22" s="951"/>
    </row>
    <row r="23" spans="1:129" ht="12.75" outlineLevel="2">
      <c r="A23" s="1167" t="s">
        <v>737</v>
      </c>
      <c r="B23" s="951"/>
      <c r="C23" s="1248">
        <f>+C13-42.677</f>
        <v>98.007000000000005</v>
      </c>
      <c r="D23" s="1241">
        <f t="shared" si="21"/>
        <v>30.335361519433622</v>
      </c>
      <c r="E23" s="951"/>
      <c r="F23" s="951"/>
      <c r="G23" s="1248">
        <f>+G13-38.057</f>
        <v>84.847999999999999</v>
      </c>
      <c r="H23" s="1242">
        <f t="shared" si="22"/>
        <v>30.964566128310487</v>
      </c>
      <c r="I23" s="951"/>
      <c r="J23" s="951"/>
      <c r="K23" s="1248">
        <f>+K13-59.007</f>
        <v>94.692999999999984</v>
      </c>
      <c r="L23" s="1242">
        <f t="shared" si="23"/>
        <v>38.391021470396879</v>
      </c>
      <c r="M23" s="951"/>
      <c r="N23" s="951"/>
      <c r="O23" s="1248">
        <f>+O13-87.811</f>
        <v>125.29599999999999</v>
      </c>
      <c r="P23" s="1242">
        <f t="shared" si="24"/>
        <v>41.205122309450182</v>
      </c>
      <c r="Q23" s="951"/>
      <c r="R23" s="951"/>
      <c r="S23" s="256">
        <v>156.37700000000001</v>
      </c>
      <c r="T23" s="1242">
        <f t="shared" si="25"/>
        <v>45.212577734956639</v>
      </c>
      <c r="U23" s="951"/>
      <c r="V23" s="951"/>
      <c r="W23" s="256">
        <v>241.23400000000001</v>
      </c>
      <c r="X23" s="1243">
        <f>(1-W23/W13)*100</f>
        <v>43.069472829652554</v>
      </c>
      <c r="Y23" s="951"/>
      <c r="Z23" s="951" t="s">
        <v>241</v>
      </c>
      <c r="AA23" s="951"/>
      <c r="AB23" s="256">
        <v>276.33</v>
      </c>
      <c r="AC23" s="1242">
        <f>(1-AB23/AB13)*100</f>
        <v>40.484600473831577</v>
      </c>
      <c r="AD23" s="1232"/>
      <c r="AE23" s="951"/>
      <c r="AF23" s="256">
        <v>315.13600000000002</v>
      </c>
      <c r="AG23" s="1243">
        <f>(1-AF23/AF13)*100</f>
        <v>35.889851369330728</v>
      </c>
      <c r="AH23" s="1232"/>
      <c r="AI23" s="951"/>
      <c r="AJ23" s="256">
        <v>299.8</v>
      </c>
      <c r="AK23" s="1243">
        <f>(1-AJ23/AJ13)*100</f>
        <v>38.88866239960862</v>
      </c>
      <c r="AL23" s="1232">
        <f>AK23-AG23</f>
        <v>2.9988110302778921</v>
      </c>
      <c r="AM23" s="951"/>
      <c r="AN23" s="256">
        <v>341.64699999999999</v>
      </c>
      <c r="AO23" s="1243">
        <f>(1-AN23/AN13)*100</f>
        <v>49.312339026503501</v>
      </c>
      <c r="AP23" s="1232">
        <f>AO23-AK23</f>
        <v>10.423676626894881</v>
      </c>
      <c r="AQ23" s="951"/>
      <c r="AR23" s="256">
        <v>412.61599999999999</v>
      </c>
      <c r="AS23" s="1243">
        <f>(1-AR23/AR13)*100</f>
        <v>46.348706879737868</v>
      </c>
      <c r="AT23" s="1232">
        <f>AS23-AO23</f>
        <v>-2.963632146765633</v>
      </c>
      <c r="AU23" s="951"/>
      <c r="AV23" s="1217">
        <v>506.89</v>
      </c>
      <c r="AW23" s="1243">
        <f>(1-AV23/AV13)*100</f>
        <v>47.923954528876635</v>
      </c>
      <c r="AX23" s="1232">
        <f>AW23-AS23</f>
        <v>1.5752476491387668</v>
      </c>
      <c r="AY23" s="951"/>
      <c r="AZ23" s="1217">
        <v>540.08600000000001</v>
      </c>
      <c r="BA23" s="1243">
        <f>(1-AZ23/AZ13)*100</f>
        <v>45.741866845623015</v>
      </c>
      <c r="BB23" s="1159">
        <f>BA23-AW23</f>
        <v>-2.18208768325362</v>
      </c>
      <c r="BC23" s="951"/>
      <c r="BD23" s="1217">
        <v>594.07600000000002</v>
      </c>
      <c r="BE23" s="1243">
        <f>(1-BD23/BD13)*100</f>
        <v>34.407919506510332</v>
      </c>
      <c r="BF23" s="1159">
        <f>BE23-BA23</f>
        <v>-11.333947339112683</v>
      </c>
      <c r="BG23" s="1159"/>
      <c r="BH23" s="1217">
        <f>583.813-19.786</f>
        <v>564.02700000000004</v>
      </c>
      <c r="BI23" s="1243">
        <f>(1-BH23/BH13)*100</f>
        <v>40.987841356963564</v>
      </c>
      <c r="BJ23" s="1159">
        <f>BI23-BE23</f>
        <v>6.579921850453232</v>
      </c>
      <c r="BK23" s="1159"/>
      <c r="BL23" s="1217">
        <f>554.842-14.5556</f>
        <v>540.28639999999996</v>
      </c>
      <c r="BM23" s="1243">
        <f>(1-BL23/BL13)*100</f>
        <v>40.404154496439382</v>
      </c>
      <c r="BN23" s="1159">
        <f>BM23-BI23</f>
        <v>-0.58368686052418184</v>
      </c>
      <c r="BO23" s="1159"/>
      <c r="BP23" s="1217">
        <f>687.175-21.075</f>
        <v>666.09999999999991</v>
      </c>
      <c r="BQ23" s="1243">
        <f>(1-BP23/BP13)*100</f>
        <v>35.232127820528532</v>
      </c>
      <c r="BR23" s="1159">
        <f>BQ23-BM23</f>
        <v>-5.1720266759108497</v>
      </c>
      <c r="BS23" s="1159"/>
      <c r="BT23" s="1217">
        <v>656.40499999999997</v>
      </c>
      <c r="BU23" s="1243">
        <f>(1-BT23/BT13)*100</f>
        <v>41.237792656212378</v>
      </c>
      <c r="BV23" s="1159">
        <f>BU23-BQ23</f>
        <v>6.0056648356838451</v>
      </c>
      <c r="BW23" s="1159"/>
      <c r="BX23" s="1217">
        <f>735.687-26.199</f>
        <v>709.48800000000006</v>
      </c>
      <c r="BY23" s="1243">
        <f>(1-BX23/BX13)*100</f>
        <v>31.891789149924122</v>
      </c>
      <c r="BZ23" s="1244">
        <f>BY23-BU23</f>
        <v>-9.3460035062882554</v>
      </c>
      <c r="CA23" s="1159"/>
      <c r="CB23" s="1217">
        <v>696.04300000000001</v>
      </c>
      <c r="CC23" s="1243">
        <f>(1-CB23/CB13)*100</f>
        <v>35.061710887593733</v>
      </c>
      <c r="CD23" s="1244">
        <f>CC23-BY23</f>
        <v>3.1699217376696112</v>
      </c>
      <c r="CE23" s="1159"/>
      <c r="CF23" s="1217">
        <v>717.87699999999995</v>
      </c>
      <c r="CG23" s="1243">
        <f>(1-CF23/CF13)*100</f>
        <v>35.082399794543093</v>
      </c>
      <c r="CH23" s="1244">
        <f>CG23-CC23</f>
        <v>2.0688906949359875E-2</v>
      </c>
      <c r="CI23" s="1159"/>
      <c r="CJ23" s="1217">
        <v>708.74400000000003</v>
      </c>
      <c r="CK23" s="1243">
        <f>(1-CJ23/CJ13)*100</f>
        <v>35.40700991391175</v>
      </c>
      <c r="CL23" s="1244">
        <f>CK23-CG23</f>
        <v>0.32461011936865702</v>
      </c>
      <c r="CM23" s="1159"/>
      <c r="CN23" s="1217">
        <v>803.60299999999995</v>
      </c>
      <c r="CO23" s="1243">
        <f>(1-CN23/CN13)*100</f>
        <v>34.598522205574412</v>
      </c>
      <c r="CP23" s="1244">
        <f t="shared" si="26"/>
        <v>-0.80848770833733852</v>
      </c>
      <c r="CQ23" s="1244"/>
      <c r="CR23" s="1218">
        <f>CR13*(1-CS23/100)</f>
        <v>768.55715101962073</v>
      </c>
      <c r="CS23" s="1246">
        <v>34.1</v>
      </c>
      <c r="CT23" s="1244">
        <f>CS23-CO23</f>
        <v>-0.49852220557441029</v>
      </c>
      <c r="CU23" s="1203"/>
      <c r="CV23" s="1158"/>
      <c r="CW23" s="1159"/>
      <c r="CX23" s="1159"/>
      <c r="CY23" s="1159"/>
      <c r="CZ23" s="1158"/>
      <c r="DA23" s="1158"/>
      <c r="DB23" s="1232"/>
      <c r="DC23" s="1159"/>
      <c r="DD23" s="951"/>
      <c r="DE23" s="1159"/>
      <c r="DF23" s="1232"/>
      <c r="DG23" s="1232"/>
      <c r="DH23" s="1250">
        <v>41</v>
      </c>
      <c r="DI23" s="1171"/>
      <c r="DJ23" s="1250">
        <v>29</v>
      </c>
      <c r="DK23" s="951">
        <f>+DJ23-DH23</f>
        <v>-12</v>
      </c>
      <c r="DL23" s="1251">
        <f>+DH23*DI$13+DJ23*DK$13</f>
        <v>40.255581720773272</v>
      </c>
      <c r="DM23" s="951"/>
      <c r="DN23" s="1250">
        <v>38</v>
      </c>
      <c r="DO23" s="1171"/>
      <c r="DP23" s="1250">
        <v>35.9</v>
      </c>
      <c r="DQ23" s="951">
        <f>+DP23-DN23</f>
        <v>-2.1000000000000014</v>
      </c>
      <c r="DR23" s="1251">
        <f>+DN23*DO$13+DP23*DQ$13</f>
        <v>38</v>
      </c>
      <c r="DS23" s="951"/>
      <c r="DT23" s="951"/>
      <c r="DU23" s="951"/>
      <c r="DV23" s="951"/>
      <c r="DW23" s="951"/>
      <c r="DX23" s="951"/>
      <c r="DY23" s="951"/>
    </row>
    <row r="24" spans="1:129" ht="12.75" outlineLevel="2">
      <c r="A24" s="1167" t="s">
        <v>762</v>
      </c>
      <c r="B24" s="951"/>
      <c r="C24" s="1222">
        <f>SUM(C20:C23)</f>
        <v>249.41500000000002</v>
      </c>
      <c r="D24" s="1241">
        <f t="shared" si="21"/>
        <v>26.712270401941673</v>
      </c>
      <c r="E24" s="951"/>
      <c r="F24" s="951"/>
      <c r="G24" s="1222">
        <f>SUM(G20:G23)</f>
        <v>227.64800000000002</v>
      </c>
      <c r="H24" s="1242">
        <f t="shared" si="22"/>
        <v>30.255756669648648</v>
      </c>
      <c r="I24" s="951"/>
      <c r="J24" s="951"/>
      <c r="K24" s="1222">
        <f>SUM(K20:K23)</f>
        <v>268.74599999999998</v>
      </c>
      <c r="L24" s="1242">
        <f t="shared" si="23"/>
        <v>33.75957881556667</v>
      </c>
      <c r="M24" s="951"/>
      <c r="N24" s="951"/>
      <c r="O24" s="1222">
        <f>SUM(O20:O23)</f>
        <v>353.089</v>
      </c>
      <c r="P24" s="1242">
        <f t="shared" si="24"/>
        <v>39.90997277059224</v>
      </c>
      <c r="Q24" s="1167"/>
      <c r="R24" s="951"/>
      <c r="S24" s="1222">
        <f>S20+S21+S22+S23</f>
        <v>475.596</v>
      </c>
      <c r="T24" s="1242">
        <f t="shared" si="25"/>
        <v>42.844163710305452</v>
      </c>
      <c r="U24" s="1167"/>
      <c r="V24" s="951"/>
      <c r="W24" s="1222">
        <f>SUM(W20:W23)</f>
        <v>657.25199999999995</v>
      </c>
      <c r="X24" s="1242">
        <f>(1-W24/W14)*100</f>
        <v>39.893385960564324</v>
      </c>
      <c r="Y24" s="1167"/>
      <c r="Z24" s="1167"/>
      <c r="AA24" s="951"/>
      <c r="AB24" s="1222">
        <f>SUM(AB20:AB23)</f>
        <v>824.53099999999995</v>
      </c>
      <c r="AC24" s="1242">
        <f>(1-AB24/AB14)*100</f>
        <v>39.898563961341182</v>
      </c>
      <c r="AD24" s="1167"/>
      <c r="AE24" s="951"/>
      <c r="AF24" s="1222">
        <f>SUM(AF20:AF23)</f>
        <v>920.64300000000003</v>
      </c>
      <c r="AG24" s="1243">
        <f>(1-AF24/AF14)*100</f>
        <v>37.077629565434911</v>
      </c>
      <c r="AH24" s="1167"/>
      <c r="AI24" s="951"/>
      <c r="AJ24" s="1222">
        <f>SUM(AJ20:AJ23)</f>
        <v>943.06700000000001</v>
      </c>
      <c r="AK24" s="1243">
        <f>(1-AJ24/AJ14)*100</f>
        <v>36.846486255543951</v>
      </c>
      <c r="AL24" s="1167"/>
      <c r="AM24" s="951"/>
      <c r="AN24" s="1222">
        <f>SUM(AN20:AN23)</f>
        <v>1003.433</v>
      </c>
      <c r="AO24" s="1243">
        <f>(1-AN24/AN14)*100</f>
        <v>46.661113594696268</v>
      </c>
      <c r="AP24" s="1167"/>
      <c r="AQ24" s="951"/>
      <c r="AR24" s="1222">
        <f>SUM(AR20:AR23)</f>
        <v>1246.001</v>
      </c>
      <c r="AS24" s="1243">
        <f>(1-AR24/AR14)*100</f>
        <v>46.33844136984154</v>
      </c>
      <c r="AT24" s="1232">
        <f>AS24-AO24</f>
        <v>-0.32267222485472757</v>
      </c>
      <c r="AU24" s="951"/>
      <c r="AV24" s="1201">
        <f>SUM(AV20:AV23)</f>
        <v>1453.98</v>
      </c>
      <c r="AW24" s="1243">
        <f>(1-AV24/AV14)*100</f>
        <v>47.968246595255017</v>
      </c>
      <c r="AX24" s="1159">
        <f>AW24-AS24</f>
        <v>1.6298052254134774</v>
      </c>
      <c r="AY24" s="951"/>
      <c r="AZ24" s="1201">
        <f>SUM(AZ20:AZ23)</f>
        <v>1632.2810000000002</v>
      </c>
      <c r="BA24" s="1243">
        <f>(1-AZ24/AZ14)*100</f>
        <v>46.577507045678502</v>
      </c>
      <c r="BB24" s="1159">
        <f>BA24-AW24</f>
        <v>-1.3907395495765158</v>
      </c>
      <c r="BC24" s="951"/>
      <c r="BD24" s="1201">
        <f>SUM(BD20:BD23)</f>
        <v>1814.7660000000001</v>
      </c>
      <c r="BE24" s="1243">
        <f>(1-BD24/BD14)*100</f>
        <v>39.282456958592313</v>
      </c>
      <c r="BF24" s="1159">
        <f>BE24-BA24</f>
        <v>-7.2950500870861887</v>
      </c>
      <c r="BG24" s="1159"/>
      <c r="BH24" s="1201">
        <f>SUM(BH20:BH23)</f>
        <v>1766.8389999999999</v>
      </c>
      <c r="BI24" s="1243">
        <f>(1-BH24/BH14)*100</f>
        <v>39.908933502342812</v>
      </c>
      <c r="BJ24" s="1159">
        <f>BI24-BE24</f>
        <v>0.6264765437504991</v>
      </c>
      <c r="BK24" s="1159"/>
      <c r="BL24" s="1201">
        <f>SUM(BL20:BL23)</f>
        <v>1763.1433999999999</v>
      </c>
      <c r="BM24" s="1243">
        <f>(1-BL24/BL14)*100</f>
        <v>40.136930303052942</v>
      </c>
      <c r="BN24" s="1159">
        <f>BM24-BI24</f>
        <v>0.22799680071013029</v>
      </c>
      <c r="BO24" s="1159"/>
      <c r="BP24" s="1201">
        <f>SUM(BP20:BP23)</f>
        <v>1975.471</v>
      </c>
      <c r="BQ24" s="1243">
        <f>(1-BP24/BP14)*100</f>
        <v>36.684940858603909</v>
      </c>
      <c r="BR24" s="1159">
        <f>BQ24-BM24</f>
        <v>-3.4519894444490333</v>
      </c>
      <c r="BS24" s="1159"/>
      <c r="BT24" s="1201">
        <f>SUM(BT20:BT23)</f>
        <v>2084.5869999999995</v>
      </c>
      <c r="BU24" s="1243">
        <f>(1-BT24/BT14)*100</f>
        <v>40.025726436661245</v>
      </c>
      <c r="BV24" s="1159">
        <f>BU24-BQ24</f>
        <v>3.3407855780573357</v>
      </c>
      <c r="BW24" s="1159"/>
      <c r="BX24" s="1201">
        <f>SUM(BX20:BX23)</f>
        <v>2163.1790000000001</v>
      </c>
      <c r="BY24" s="1243">
        <f>(1-BX24/BX14)*100</f>
        <v>34.564169299915712</v>
      </c>
      <c r="BZ24" s="1244">
        <f>BY24-BU24</f>
        <v>-5.4615571367455331</v>
      </c>
      <c r="CA24" s="1159"/>
      <c r="CB24" s="1201">
        <f>SUM(CB20:CB23)</f>
        <v>2128.1930000000002</v>
      </c>
      <c r="CC24" s="1243">
        <f>(1-CB24/CB14)*100</f>
        <v>35.172731639752683</v>
      </c>
      <c r="CD24" s="1244">
        <f>CC24-BY24</f>
        <v>0.60856233983697194</v>
      </c>
      <c r="CE24" s="1159"/>
      <c r="CF24" s="1201">
        <f>SUM(CF20:CF23)</f>
        <v>2219.114</v>
      </c>
      <c r="CG24" s="1243">
        <f>(1-CF24/CF14)*100</f>
        <v>36.99006885021727</v>
      </c>
      <c r="CH24" s="1244">
        <f>CG24-CC24</f>
        <v>1.8173372104645864</v>
      </c>
      <c r="CI24" s="1159"/>
      <c r="CJ24" s="1201">
        <f>SUM(CJ20:CJ23)</f>
        <v>2243</v>
      </c>
      <c r="CK24" s="1243">
        <f>(1-CJ24/CJ14)*100</f>
        <v>37.864712392291679</v>
      </c>
      <c r="CL24" s="1244">
        <f>CK24-CG24</f>
        <v>0.8746435420744092</v>
      </c>
      <c r="CM24" s="1159"/>
      <c r="CN24" s="1201">
        <f>SUM(CN20:CN23)</f>
        <v>2423.3650000000002</v>
      </c>
      <c r="CO24" s="1243">
        <f>(1-CN24/CN14)*100</f>
        <v>36.152451200076719</v>
      </c>
      <c r="CP24" s="1244">
        <f t="shared" si="26"/>
        <v>-1.7122611922149602</v>
      </c>
      <c r="CQ24" s="1244"/>
      <c r="CR24" s="1201">
        <f>SUM(CR20:CR23)</f>
        <v>2452.6299158005886</v>
      </c>
      <c r="CS24" s="1243">
        <f>(1-CR24/CR14)*100</f>
        <v>36.234565097907989</v>
      </c>
      <c r="CT24" s="1244">
        <f>CS24-CO24</f>
        <v>8.2113897831270322E-2</v>
      </c>
      <c r="CU24" s="1305"/>
      <c r="CV24" s="1243"/>
      <c r="CW24" s="1166"/>
      <c r="CX24" s="1158"/>
      <c r="CY24" s="1159"/>
      <c r="CZ24" s="1158"/>
      <c r="DA24" s="1158"/>
      <c r="DB24" s="1232"/>
      <c r="DC24" s="1159"/>
      <c r="DD24" s="951"/>
      <c r="DE24" s="1159"/>
      <c r="DF24" s="1232"/>
      <c r="DG24" s="1232"/>
      <c r="DH24" s="164">
        <v>41.6</v>
      </c>
      <c r="DI24" s="951"/>
      <c r="DJ24" s="245">
        <f>+(DJ10*DJ20+DJ11*DJ21+DJ12*DJ22+DJ13*DJ23)/DJ14</f>
        <v>31.520754716981134</v>
      </c>
      <c r="DK24" s="951"/>
      <c r="DL24" s="1226">
        <f>SUM(DL20:DL23)</f>
        <v>159.50957060447621</v>
      </c>
      <c r="DM24" s="951"/>
      <c r="DN24" s="245">
        <f>+(DN10*DN20+DN11*DN21+DN12*DN22+DN13*DN23)/DN14</f>
        <v>37.955739788088685</v>
      </c>
      <c r="DO24" s="951"/>
      <c r="DP24" s="245" t="s">
        <v>69</v>
      </c>
      <c r="DQ24" s="951"/>
      <c r="DR24" s="1226"/>
      <c r="DS24" s="951"/>
      <c r="DT24" s="951"/>
      <c r="DU24" s="951"/>
      <c r="DV24" s="951"/>
      <c r="DW24" s="951"/>
      <c r="DX24" s="951"/>
      <c r="DY24" s="951"/>
    </row>
    <row r="25" spans="1:129" ht="11.25" hidden="1" customHeight="1" outlineLevel="3">
      <c r="A25" s="1167" t="s">
        <v>769</v>
      </c>
      <c r="B25" s="951"/>
      <c r="C25" s="1226">
        <f>C20+C21</f>
        <v>89.319000000000003</v>
      </c>
      <c r="D25" s="1241">
        <f t="shared" si="21"/>
        <v>21.480563320850255</v>
      </c>
      <c r="E25" s="1241"/>
      <c r="F25" s="951"/>
      <c r="G25" s="1226">
        <f>G20+G21</f>
        <v>89.804000000000002</v>
      </c>
      <c r="H25" s="1242">
        <f t="shared" si="22"/>
        <v>27.956808099283613</v>
      </c>
      <c r="I25" s="951"/>
      <c r="J25" s="951"/>
      <c r="K25" s="1226">
        <f>K20+K21</f>
        <v>107.80500000000001</v>
      </c>
      <c r="L25" s="1242">
        <f t="shared" si="23"/>
        <v>26.718600240634615</v>
      </c>
      <c r="M25" s="951"/>
      <c r="N25" s="951"/>
      <c r="O25" s="1226">
        <f>O20+O21</f>
        <v>139.14500000000001</v>
      </c>
      <c r="P25" s="1242">
        <f t="shared" si="24"/>
        <v>38.27437063324831</v>
      </c>
      <c r="Q25" s="951"/>
      <c r="R25" s="951"/>
      <c r="S25" s="1226">
        <f>S20+S21</f>
        <v>192.37</v>
      </c>
      <c r="T25" s="1242">
        <f t="shared" si="25"/>
        <v>40.623977579278112</v>
      </c>
      <c r="U25" s="951"/>
      <c r="V25" s="951"/>
      <c r="W25" s="1252">
        <f>W20+W21</f>
        <v>253.32999999999998</v>
      </c>
      <c r="X25" s="1242">
        <f>(1-W25/(W5+W15))*100</f>
        <v>34.535991896138263</v>
      </c>
      <c r="Y25" s="951"/>
      <c r="Z25" s="951"/>
      <c r="AA25" s="951"/>
      <c r="AB25" s="1252">
        <f>AB20+AB21</f>
        <v>334.08100000000002</v>
      </c>
      <c r="AC25" s="1242">
        <f>(1-AB25/(AB5+AB15))*100</f>
        <v>38.581277346766186</v>
      </c>
      <c r="AD25" s="951"/>
      <c r="AE25" s="951"/>
      <c r="AF25" s="1252">
        <f>AF20+AF21</f>
        <v>377.34299999999996</v>
      </c>
      <c r="AG25" s="1242">
        <f>(1-AF25/(AF5+AF15))*100</f>
        <v>36.803312046867077</v>
      </c>
      <c r="AH25" s="951"/>
      <c r="AI25" s="951"/>
      <c r="AJ25" s="1252">
        <f>AJ20+AJ21</f>
        <v>411.73599999999999</v>
      </c>
      <c r="AK25" s="1242">
        <f>(1-AJ25/(AJ5+AJ15))*100</f>
        <v>34.532121294996287</v>
      </c>
      <c r="AL25" s="951"/>
      <c r="AM25" s="951"/>
      <c r="AN25" s="1252">
        <f>AN20+AN21</f>
        <v>416.05899999999997</v>
      </c>
      <c r="AO25" s="1242">
        <f>(1-AN25/(AN5+AN15))*100</f>
        <v>42.820134353629314</v>
      </c>
      <c r="AP25" s="951"/>
      <c r="AQ25" s="951"/>
      <c r="AR25" s="1252">
        <f>AR20+AR21</f>
        <v>522.20499999999993</v>
      </c>
      <c r="AS25" s="1242">
        <f>(1-AR25/(AR5+AR15))*100</f>
        <v>46.294267981014983</v>
      </c>
      <c r="AT25" s="951"/>
      <c r="AU25" s="951"/>
      <c r="AV25" s="1253">
        <f>AV20+AV21</f>
        <v>595.12400000000002</v>
      </c>
      <c r="AW25" s="1243">
        <f>(1-AV25/(AV5+AV15))*100</f>
        <v>47.088518911690905</v>
      </c>
      <c r="AX25" s="1158"/>
      <c r="AY25" s="951"/>
      <c r="AZ25" s="1253">
        <f>AZ20+AZ21</f>
        <v>700.6690000000001</v>
      </c>
      <c r="BA25" s="1243">
        <f>(1-AZ25/(AZ5+AZ15))*100</f>
        <v>46.740474697375653</v>
      </c>
      <c r="BB25" s="1158"/>
      <c r="BC25" s="951"/>
      <c r="BD25" s="1253">
        <f>BD20+BD21</f>
        <v>776.06600000000003</v>
      </c>
      <c r="BE25" s="1243">
        <f>(1-BD25/(BD5+BD15))*100</f>
        <v>41.610407511152147</v>
      </c>
      <c r="BF25" s="1158"/>
      <c r="BG25" s="1158"/>
      <c r="BH25" s="1253">
        <f>BH20+BH21</f>
        <v>770.97599999999989</v>
      </c>
      <c r="BI25" s="1243">
        <f>(1-BH25/(BH5+BH15))*100</f>
        <v>38.246679754613019</v>
      </c>
      <c r="BJ25" s="1158"/>
      <c r="BK25" s="1158"/>
      <c r="BL25" s="1253">
        <f>BL20+BL21</f>
        <v>793.428</v>
      </c>
      <c r="BM25" s="1243">
        <f>(1-BL25/(BL5+BL15))*100</f>
        <v>38.677493177396947</v>
      </c>
      <c r="BN25" s="1158"/>
      <c r="BO25" s="1158"/>
      <c r="BP25" s="1253">
        <f>BP20+BP21</f>
        <v>802.20699999999999</v>
      </c>
      <c r="BQ25" s="1243">
        <f>(1-BP25/(BP5+BP15))*100</f>
        <v>36.943524780616954</v>
      </c>
      <c r="BR25" s="1158"/>
      <c r="BS25" s="1158"/>
      <c r="BT25" s="1253">
        <f>BT20+BT21</f>
        <v>896.89799999999991</v>
      </c>
      <c r="BU25" s="1243">
        <f>(1-BT25/(BT5+BT15))*100</f>
        <v>38.075567446276004</v>
      </c>
      <c r="BV25" s="1158"/>
      <c r="BW25" s="1158"/>
      <c r="BX25" s="1253">
        <f>BX20+BX21</f>
        <v>895.26099999999997</v>
      </c>
      <c r="BY25" s="1243">
        <f>(1-BX25/(BX5+BX15))*100</f>
        <v>36.361432765373657</v>
      </c>
      <c r="BZ25" s="1158"/>
      <c r="CA25" s="1158"/>
      <c r="CB25" s="1253">
        <f>CB20+CB21</f>
        <v>893.33199999999999</v>
      </c>
      <c r="CC25" s="1243">
        <f>(1-CB25/(CB5+CB15))*100</f>
        <v>34.155215062164459</v>
      </c>
      <c r="CD25" s="1158"/>
      <c r="CE25" s="1158"/>
      <c r="CF25" s="1253">
        <f>CF20+CF21</f>
        <v>949.697</v>
      </c>
      <c r="CG25" s="1243">
        <f>(1-CF25/(CF5+CF15))*100</f>
        <v>36.557782902278504</v>
      </c>
      <c r="CH25" s="1158"/>
      <c r="CI25" s="1158"/>
      <c r="CJ25" s="1253">
        <f>CJ20+CJ21</f>
        <v>971.46299999999997</v>
      </c>
      <c r="CK25" s="1243">
        <f>(1-CJ25/(CJ5+CJ15))*100</f>
        <v>38.202492350557584</v>
      </c>
      <c r="CL25" s="1158"/>
      <c r="CM25" s="1158"/>
      <c r="CN25" s="1253">
        <f>CN20+CN21</f>
        <v>1034.2420000000002</v>
      </c>
      <c r="CO25" s="1243">
        <f>(1-CN25/(CN5+CN15))*100</f>
        <v>35.617124825618632</v>
      </c>
      <c r="CP25" s="1244">
        <f t="shared" si="26"/>
        <v>-2.5853675249389525</v>
      </c>
      <c r="CQ25" s="1158"/>
      <c r="CR25" s="1253">
        <f>CR20+CR21</f>
        <v>1093.4429637606704</v>
      </c>
      <c r="CS25" s="1243">
        <f>(1-CR25/(CR5+CR15))*100</f>
        <v>36.417018729832137</v>
      </c>
      <c r="CT25" s="1158"/>
      <c r="CU25" s="1305"/>
      <c r="CV25" s="1243"/>
      <c r="CW25" s="1158"/>
      <c r="CX25" s="1158"/>
      <c r="CY25" s="1158"/>
      <c r="CZ25" s="1158"/>
      <c r="DA25" s="1158"/>
      <c r="DB25" s="951"/>
      <c r="DC25" s="1254"/>
      <c r="DD25" s="951"/>
      <c r="DE25" s="951"/>
      <c r="DF25" s="951"/>
      <c r="DG25" s="951"/>
      <c r="DH25" s="951"/>
      <c r="DI25" s="951"/>
      <c r="DJ25" s="1206"/>
      <c r="DK25" s="951"/>
      <c r="DL25" s="951"/>
      <c r="DM25" s="951"/>
      <c r="DN25" s="951"/>
      <c r="DO25" s="951"/>
      <c r="DP25" s="1206"/>
      <c r="DQ25" s="951"/>
      <c r="DR25" s="951"/>
      <c r="DS25" s="951"/>
      <c r="DT25" s="951"/>
      <c r="DU25" s="951"/>
      <c r="DV25" s="951"/>
      <c r="DW25" s="951"/>
      <c r="DX25" s="951"/>
      <c r="DY25" s="951"/>
    </row>
    <row r="26" spans="1:129" ht="11.25" hidden="1" customHeight="1" outlineLevel="3">
      <c r="A26" s="1167" t="s">
        <v>770</v>
      </c>
      <c r="B26" s="951"/>
      <c r="C26" s="1226">
        <f>C20+C21+C22</f>
        <v>151.40800000000002</v>
      </c>
      <c r="D26" s="1241">
        <f t="shared" si="21"/>
        <v>24.159107188475193</v>
      </c>
      <c r="E26" s="1241"/>
      <c r="F26" s="951"/>
      <c r="G26" s="1226">
        <f>G20+G21+G22</f>
        <v>142.80000000000001</v>
      </c>
      <c r="H26" s="1242">
        <f t="shared" si="22"/>
        <v>29.827665000810821</v>
      </c>
      <c r="I26" s="951"/>
      <c r="J26" s="951"/>
      <c r="K26" s="1226">
        <f>K20+K21+K22</f>
        <v>174.053</v>
      </c>
      <c r="L26" s="1242">
        <f t="shared" si="23"/>
        <v>30.934912087868483</v>
      </c>
      <c r="M26" s="951"/>
      <c r="N26" s="951"/>
      <c r="O26" s="1226">
        <f>O20+O21+O22</f>
        <v>227.79300000000001</v>
      </c>
      <c r="P26" s="1242">
        <f t="shared" si="24"/>
        <v>39.172961844413656</v>
      </c>
      <c r="Q26" s="951"/>
      <c r="R26" s="951"/>
      <c r="S26" s="1226">
        <f>S20+S21+S22</f>
        <v>319.21899999999999</v>
      </c>
      <c r="T26" s="1242">
        <f t="shared" si="25"/>
        <v>41.607597877364952</v>
      </c>
      <c r="U26" s="951"/>
      <c r="V26" s="951"/>
      <c r="W26" s="1252">
        <f>W20+W21+W22</f>
        <v>416.01799999999997</v>
      </c>
      <c r="X26" s="1242">
        <f>(1-W26/(W6+W16))*100</f>
        <v>37.883934583862768</v>
      </c>
      <c r="Y26" s="951"/>
      <c r="Z26" s="951"/>
      <c r="AA26" s="951"/>
      <c r="AB26" s="1252">
        <f>AB20+AB21+AB22</f>
        <v>548.20100000000002</v>
      </c>
      <c r="AC26" s="1242">
        <f>(1-AB26/(AB6+AB16))*100</f>
        <v>39.598765534118044</v>
      </c>
      <c r="AD26" s="951"/>
      <c r="AE26" s="951"/>
      <c r="AF26" s="1252">
        <f>AF20+AF21+AF22</f>
        <v>605.50699999999995</v>
      </c>
      <c r="AG26" s="1242">
        <f>(1-AF26/(AF6+AF16))*100</f>
        <v>37.678560952338799</v>
      </c>
      <c r="AH26" s="951"/>
      <c r="AI26" s="951"/>
      <c r="AJ26" s="1252">
        <f>AJ20+AJ21+AJ22</f>
        <v>643.26700000000005</v>
      </c>
      <c r="AK26" s="1242">
        <f>(1-AJ26/(AJ6+AJ16))*100</f>
        <v>35.84734614989533</v>
      </c>
      <c r="AL26" s="951"/>
      <c r="AM26" s="951"/>
      <c r="AN26" s="1252">
        <f>AN20+AN21+AN22</f>
        <v>661.78599999999994</v>
      </c>
      <c r="AO26" s="1242">
        <f>(1-AN26/(AN6+AN16))*100</f>
        <v>45.180858122441961</v>
      </c>
      <c r="AP26" s="951"/>
      <c r="AQ26" s="951"/>
      <c r="AR26" s="1252">
        <f>AR20+AR21+AR22</f>
        <v>833.38499999999999</v>
      </c>
      <c r="AS26" s="1242">
        <f>(1-AR26/(AR6+AR16))*100</f>
        <v>46.333357374498682</v>
      </c>
      <c r="AT26" s="951"/>
      <c r="AU26" s="951"/>
      <c r="AV26" s="1253">
        <f>AV20+AV21+AV22</f>
        <v>947.09</v>
      </c>
      <c r="AW26" s="1243">
        <f>(1-AV26/(AV6+AV16))*100</f>
        <v>47.991921117776393</v>
      </c>
      <c r="AX26" s="1158"/>
      <c r="AY26" s="951"/>
      <c r="AZ26" s="1253">
        <f>AZ20+AZ21+AZ22</f>
        <v>1092.1950000000002</v>
      </c>
      <c r="BA26" s="1243">
        <f>(1-AZ26/(AZ6+AZ16))*100</f>
        <v>46.981288513012984</v>
      </c>
      <c r="BB26" s="1158"/>
      <c r="BC26" s="951"/>
      <c r="BD26" s="1253">
        <f>BD20+BD21+BD22</f>
        <v>1220.69</v>
      </c>
      <c r="BE26" s="1243">
        <f>(1-BD26/(BD6+BD16))*100</f>
        <v>41.401807740478027</v>
      </c>
      <c r="BF26" s="1158"/>
      <c r="BG26" s="1158"/>
      <c r="BH26" s="1253">
        <f>BH20+BH21+BH22</f>
        <v>1202.8119999999999</v>
      </c>
      <c r="BI26" s="1243">
        <f>(1-BH26/(BH6+BH16))*100</f>
        <v>39.389303437460946</v>
      </c>
      <c r="BJ26" s="1158"/>
      <c r="BK26" s="1158"/>
      <c r="BL26" s="1253">
        <f>BL20+BL21+BL22</f>
        <v>1222.857</v>
      </c>
      <c r="BM26" s="1243">
        <f>(1-BL26/(BL6+BL16))*100</f>
        <v>40.018099680680429</v>
      </c>
      <c r="BN26" s="1158"/>
      <c r="BO26" s="1158"/>
      <c r="BP26" s="1253">
        <f>BP20+BP21+BP22</f>
        <v>1309.3710000000001</v>
      </c>
      <c r="BQ26" s="1243">
        <f>(1-BP26/(BP6+BP16))*100</f>
        <v>37.399282757934863</v>
      </c>
      <c r="BR26" s="1158"/>
      <c r="BS26" s="1158"/>
      <c r="BT26" s="1253">
        <f>BT20+BT21+BT22</f>
        <v>1428.1819999999998</v>
      </c>
      <c r="BU26" s="1243">
        <f>(1-BT26/(BT6+BT16))*100</f>
        <v>39.451717838566125</v>
      </c>
      <c r="BV26" s="1158"/>
      <c r="BW26" s="1158"/>
      <c r="BX26" s="1253">
        <f>BX20+BX21+BX22</f>
        <v>1453.6909999999998</v>
      </c>
      <c r="BY26" s="1243">
        <f>(1-BX26/(BX6+BX16))*100</f>
        <v>35.793727736689497</v>
      </c>
      <c r="BZ26" s="1158"/>
      <c r="CA26" s="1158"/>
      <c r="CB26" s="1253">
        <f>CB20+CB21+CB22</f>
        <v>1432.15</v>
      </c>
      <c r="CC26" s="1243">
        <f>(1-CB26/(CB6+CB16))*100</f>
        <v>35.226552161135118</v>
      </c>
      <c r="CD26" s="1158"/>
      <c r="CE26" s="1158"/>
      <c r="CF26" s="1253">
        <f>CF20+CF21+CF22</f>
        <v>1501.2370000000001</v>
      </c>
      <c r="CG26" s="1243">
        <f>(1-CF26/(CF16))*100</f>
        <v>37.863221330949251</v>
      </c>
      <c r="CH26" s="1158"/>
      <c r="CI26" s="1158"/>
      <c r="CJ26" s="1253">
        <f>CJ20+CJ21+CJ22</f>
        <v>1534.2559999999999</v>
      </c>
      <c r="CK26" s="1243">
        <f>(1-CJ26/(CJ16))*100</f>
        <v>38.937976668965732</v>
      </c>
      <c r="CL26" s="1158"/>
      <c r="CM26" s="1158"/>
      <c r="CN26" s="1253">
        <f>CN20+CN21+CN22</f>
        <v>1619.7620000000002</v>
      </c>
      <c r="CO26" s="1243">
        <f>(1-CN26/(CN16))*100</f>
        <v>36.896306956529187</v>
      </c>
      <c r="CP26" s="1244">
        <f t="shared" si="26"/>
        <v>-2.0416697124365442</v>
      </c>
      <c r="CQ26" s="1158"/>
      <c r="CR26" s="1253">
        <f>CR20+CR21+CR22</f>
        <v>1684.0727647809676</v>
      </c>
      <c r="CS26" s="1243">
        <f>(1-CR26/(CR6+CR16))*100</f>
        <v>37.163428361138109</v>
      </c>
      <c r="CT26" s="1158"/>
      <c r="CU26" s="1305"/>
      <c r="CV26" s="1243"/>
      <c r="CW26" s="1158"/>
      <c r="CX26" s="1158"/>
      <c r="CY26" s="1158"/>
      <c r="CZ26" s="1158"/>
      <c r="DA26" s="1158"/>
      <c r="DB26" s="951"/>
      <c r="DC26" s="1254"/>
      <c r="DD26" s="951"/>
      <c r="DE26" s="951"/>
      <c r="DF26" s="951"/>
      <c r="DG26" s="951"/>
      <c r="DH26" s="951"/>
      <c r="DI26" s="951"/>
      <c r="DJ26" s="951"/>
      <c r="DK26" s="951"/>
      <c r="DL26" s="951"/>
      <c r="DM26" s="951"/>
      <c r="DN26" s="951"/>
      <c r="DO26" s="951"/>
      <c r="DP26" s="951"/>
      <c r="DQ26" s="951"/>
      <c r="DR26" s="951"/>
      <c r="DS26" s="951"/>
      <c r="DT26" s="951"/>
      <c r="DU26" s="951"/>
      <c r="DV26" s="951"/>
      <c r="DW26" s="951"/>
      <c r="DX26" s="951"/>
      <c r="DY26" s="951"/>
    </row>
    <row r="27" spans="1:129" ht="12.75" outlineLevel="2" collapsed="1">
      <c r="A27" s="951"/>
      <c r="B27" s="951"/>
      <c r="C27" s="951"/>
      <c r="D27" s="951"/>
      <c r="E27" s="951"/>
      <c r="F27" s="951"/>
      <c r="G27" s="951"/>
      <c r="H27" s="951"/>
      <c r="I27" s="951"/>
      <c r="J27" s="951"/>
      <c r="K27" s="951"/>
      <c r="L27" s="951"/>
      <c r="M27" s="951"/>
      <c r="N27" s="951"/>
      <c r="O27" s="951"/>
      <c r="P27" s="951"/>
      <c r="Q27" s="951"/>
      <c r="R27" s="951"/>
      <c r="S27" s="951"/>
      <c r="T27" s="951"/>
      <c r="U27" s="951"/>
      <c r="V27" s="951"/>
      <c r="W27" s="951"/>
      <c r="X27" s="951"/>
      <c r="Y27" s="951"/>
      <c r="Z27" s="951"/>
      <c r="AA27" s="951"/>
      <c r="AB27" s="951"/>
      <c r="AC27" s="1255"/>
      <c r="AD27" s="951"/>
      <c r="AE27" s="951"/>
      <c r="AF27" s="951"/>
      <c r="AG27" s="1255"/>
      <c r="AH27" s="951"/>
      <c r="AI27" s="951"/>
      <c r="AJ27" s="951"/>
      <c r="AK27" s="1255"/>
      <c r="AL27" s="951"/>
      <c r="AM27" s="951"/>
      <c r="AN27" s="951"/>
      <c r="AO27" s="1255"/>
      <c r="AP27" s="951"/>
      <c r="AQ27" s="951"/>
      <c r="AR27" s="951"/>
      <c r="AS27" s="1255"/>
      <c r="AT27" s="951"/>
      <c r="AU27" s="951"/>
      <c r="AV27" s="1256"/>
      <c r="AW27" s="1257"/>
      <c r="AX27" s="1158"/>
      <c r="AY27" s="951"/>
      <c r="AZ27" s="1158"/>
      <c r="BA27" s="1257"/>
      <c r="BB27" s="1158"/>
      <c r="BC27" s="951"/>
      <c r="BD27" s="1158"/>
      <c r="BE27" s="1246"/>
      <c r="BF27" s="1158"/>
      <c r="BG27" s="1158"/>
      <c r="BH27" s="1158"/>
      <c r="BI27" s="1257"/>
      <c r="BJ27" s="1158"/>
      <c r="BK27" s="1158"/>
      <c r="BL27" s="1158"/>
      <c r="BM27" s="1243"/>
      <c r="BN27" s="1158"/>
      <c r="BO27" s="1158"/>
      <c r="BP27" s="1158"/>
      <c r="BQ27" s="1258"/>
      <c r="BR27" s="1158"/>
      <c r="BS27" s="1158"/>
      <c r="BT27" s="1158"/>
      <c r="BU27" s="1258"/>
      <c r="BV27" s="1158"/>
      <c r="BW27" s="1158"/>
      <c r="BX27" s="1230"/>
      <c r="BY27" s="1158"/>
      <c r="BZ27" s="1158"/>
      <c r="CA27" s="1158"/>
      <c r="CB27" s="1230"/>
      <c r="CC27" s="1158"/>
      <c r="CD27" s="1158"/>
      <c r="CE27" s="1158"/>
      <c r="CF27" s="1230"/>
      <c r="CG27" s="1158"/>
      <c r="CH27" s="1158"/>
      <c r="CI27" s="1158"/>
      <c r="CJ27" s="1230"/>
      <c r="CK27" s="1158"/>
      <c r="CL27" s="1158"/>
      <c r="CM27" s="1158"/>
      <c r="CN27" s="1230"/>
      <c r="CO27" s="1158"/>
      <c r="CP27" s="1158"/>
      <c r="CQ27" s="1158"/>
      <c r="CR27" s="1230"/>
      <c r="CS27" s="1158"/>
      <c r="CT27" s="1158"/>
      <c r="CU27" s="1305"/>
      <c r="CV27" s="1243"/>
      <c r="CW27" s="1260"/>
      <c r="CX27" s="1260"/>
      <c r="CY27" s="1158"/>
      <c r="CZ27" s="1158"/>
      <c r="DA27" s="1158"/>
      <c r="DB27" s="951"/>
      <c r="DC27" s="1254"/>
      <c r="DD27" s="951"/>
      <c r="DE27" s="951"/>
      <c r="DF27" s="951"/>
      <c r="DG27" s="951"/>
      <c r="DH27" s="951"/>
      <c r="DI27" s="951"/>
      <c r="DJ27" s="951"/>
      <c r="DK27" s="951"/>
      <c r="DL27" s="951"/>
      <c r="DM27" s="951"/>
      <c r="DN27" s="951"/>
      <c r="DO27" s="951"/>
      <c r="DP27" s="951"/>
      <c r="DQ27" s="951"/>
      <c r="DR27" s="951"/>
      <c r="DS27" s="951"/>
      <c r="DT27" s="951"/>
      <c r="DU27" s="951"/>
      <c r="DV27" s="951"/>
      <c r="DW27" s="951"/>
      <c r="DX27" s="951"/>
      <c r="DY27" s="951"/>
    </row>
    <row r="28" spans="1:129" ht="12.75" outlineLevel="2">
      <c r="A28" s="1259"/>
      <c r="B28" s="1181"/>
      <c r="C28" s="1181"/>
      <c r="D28" s="1181"/>
      <c r="E28" s="1181"/>
      <c r="F28" s="1181"/>
      <c r="G28" s="1182"/>
      <c r="H28" s="1182"/>
      <c r="I28" s="1182"/>
      <c r="J28" s="1182"/>
      <c r="K28" s="1182"/>
      <c r="L28" s="1182"/>
      <c r="M28" s="1182"/>
      <c r="N28" s="1182"/>
      <c r="O28" s="1182"/>
      <c r="P28" s="1182"/>
      <c r="Q28" s="1182"/>
      <c r="R28" s="1182"/>
      <c r="S28" s="1259"/>
      <c r="T28" s="1182"/>
      <c r="U28" s="1182"/>
      <c r="V28" s="1182"/>
      <c r="W28" s="1259"/>
      <c r="X28" s="1182"/>
      <c r="Y28" s="1182"/>
      <c r="Z28" s="1182"/>
      <c r="AA28" s="1183"/>
      <c r="AB28" s="1182"/>
      <c r="AC28" s="1183"/>
      <c r="AD28" s="1183"/>
      <c r="AE28" s="1183"/>
      <c r="AF28" s="1181"/>
      <c r="AG28" s="1181"/>
      <c r="AH28" s="1181"/>
      <c r="AI28" s="1181"/>
      <c r="AJ28" s="1181"/>
      <c r="AK28" s="1181"/>
      <c r="AL28" s="1181"/>
      <c r="AM28" s="1181"/>
      <c r="AN28" s="1181"/>
      <c r="AO28" s="1181"/>
      <c r="AP28" s="1181"/>
      <c r="AQ28" s="1181"/>
      <c r="AR28" s="1181"/>
      <c r="AS28" s="1259"/>
      <c r="AT28" s="1181"/>
      <c r="AU28" s="1181"/>
      <c r="AW28" s="1185"/>
      <c r="AX28" s="1185"/>
      <c r="AY28" s="1183"/>
      <c r="AZ28" s="1186"/>
      <c r="BA28" s="1185"/>
      <c r="BB28" s="1185"/>
      <c r="BC28" s="1183"/>
      <c r="BD28" s="1186"/>
      <c r="BE28" s="1185"/>
      <c r="BF28" s="1185"/>
      <c r="BG28" s="1185"/>
      <c r="BH28" s="1186"/>
      <c r="BI28" s="1185"/>
      <c r="BJ28" s="1185"/>
      <c r="BK28" s="1185"/>
      <c r="BL28" s="1186"/>
      <c r="BM28" s="1185"/>
      <c r="BN28" s="1185"/>
      <c r="BO28" s="1185"/>
      <c r="BP28" s="1182" t="s">
        <v>771</v>
      </c>
      <c r="BQ28" s="1185"/>
      <c r="BR28" s="1185"/>
      <c r="BS28" s="1185"/>
      <c r="BT28" s="1186"/>
      <c r="BU28" s="1185"/>
      <c r="BV28" s="1185"/>
      <c r="BW28" s="1185"/>
      <c r="BX28" s="1185"/>
      <c r="BY28" s="1185"/>
      <c r="BZ28" s="1185"/>
      <c r="CA28" s="1187"/>
      <c r="CB28" s="1185"/>
      <c r="CC28" s="1185"/>
      <c r="CD28" s="1185"/>
      <c r="CE28" s="1187"/>
      <c r="CF28" s="1185"/>
      <c r="CG28" s="1182" t="s">
        <v>771</v>
      </c>
      <c r="CH28" s="1185"/>
      <c r="CI28" s="1187"/>
      <c r="CJ28" s="1185"/>
      <c r="CK28" s="1185"/>
      <c r="CL28" s="1185"/>
      <c r="CM28" s="1187"/>
      <c r="CN28" s="1185"/>
      <c r="CO28" s="1185"/>
      <c r="CP28" s="1185"/>
      <c r="CQ28" s="1185"/>
      <c r="CR28" s="1185"/>
      <c r="CS28" s="1185"/>
      <c r="CT28" s="1185"/>
      <c r="CU28" s="1305"/>
      <c r="CV28" s="1243"/>
      <c r="CW28" s="2195"/>
      <c r="CX28" s="1265"/>
      <c r="CY28" s="1260"/>
      <c r="CZ28" s="1181"/>
      <c r="DA28" s="1181"/>
      <c r="DB28" s="1183"/>
      <c r="DC28" s="1261"/>
      <c r="DD28" s="1183"/>
      <c r="DE28" s="1183"/>
      <c r="DF28" s="1183"/>
      <c r="DG28" s="1183"/>
      <c r="DH28" s="1235" t="s">
        <v>33</v>
      </c>
      <c r="DI28" s="1259"/>
      <c r="DJ28" s="1259"/>
      <c r="DK28" s="1259"/>
      <c r="DL28" s="1259"/>
      <c r="DM28" s="1259"/>
      <c r="DN28" s="1235" t="s">
        <v>33</v>
      </c>
      <c r="DO28" s="1259"/>
      <c r="DP28" s="1259"/>
      <c r="DQ28" s="1259"/>
      <c r="DR28" s="1259"/>
      <c r="DS28" s="1259"/>
      <c r="DT28" s="1259"/>
      <c r="DU28" s="1259"/>
      <c r="DV28" s="1259"/>
      <c r="DW28" s="1259"/>
      <c r="DX28" s="1259"/>
      <c r="DY28" s="1259"/>
    </row>
    <row r="29" spans="1:129" ht="12.75" outlineLevel="2">
      <c r="A29" s="45"/>
      <c r="B29" s="1183"/>
      <c r="C29" s="1183"/>
      <c r="D29" s="1183"/>
      <c r="E29" s="1183"/>
      <c r="F29" s="1183"/>
      <c r="G29" s="1183"/>
      <c r="H29" s="1183"/>
      <c r="I29" s="1183"/>
      <c r="J29" s="1183"/>
      <c r="K29" s="1183"/>
      <c r="L29" s="1183"/>
      <c r="M29" s="1183"/>
      <c r="N29" s="45"/>
      <c r="O29" s="1262"/>
      <c r="P29" s="1262"/>
      <c r="Q29" s="1262"/>
      <c r="R29" s="45"/>
      <c r="S29" s="1262"/>
      <c r="T29" s="1242"/>
      <c r="U29" s="1262"/>
      <c r="V29" s="45"/>
      <c r="W29" s="1262"/>
      <c r="X29" s="1263"/>
      <c r="Y29" s="1262"/>
      <c r="Z29" s="1262"/>
      <c r="AA29" s="45"/>
      <c r="AB29" s="1262"/>
      <c r="AC29" s="1262"/>
      <c r="AD29" s="1262"/>
      <c r="AE29" s="45"/>
      <c r="AF29" s="1262"/>
      <c r="AG29" s="1262"/>
      <c r="AH29" s="1262"/>
      <c r="AI29" s="45"/>
      <c r="AJ29" s="1262"/>
      <c r="AK29" s="1263"/>
      <c r="AL29" s="1263"/>
      <c r="AM29" s="45"/>
      <c r="AN29" s="1262"/>
      <c r="AO29" s="1263"/>
      <c r="AP29" s="1263"/>
      <c r="AQ29" s="45"/>
      <c r="AR29" s="1262"/>
      <c r="AS29" s="1263"/>
      <c r="AT29" s="1263"/>
      <c r="AU29" s="45"/>
      <c r="AV29" s="1264"/>
      <c r="AW29" s="1265"/>
      <c r="AX29" s="1263"/>
      <c r="AY29" s="45"/>
      <c r="AZ29" s="1264"/>
      <c r="BA29" s="1265"/>
      <c r="BB29" s="1263"/>
      <c r="BC29" s="45"/>
      <c r="BD29" s="1264"/>
      <c r="BE29" s="1265"/>
      <c r="BF29" s="1263"/>
      <c r="BG29" s="1265"/>
      <c r="BH29" s="1266"/>
      <c r="BI29" s="1265"/>
      <c r="BJ29" s="1263"/>
      <c r="BK29" s="1265"/>
      <c r="BL29" s="1266"/>
      <c r="BM29" s="1265"/>
      <c r="BN29" s="1263"/>
      <c r="BO29" s="1265"/>
      <c r="BP29" s="1266"/>
      <c r="BQ29" s="1265"/>
      <c r="BR29" s="1263"/>
      <c r="BS29" s="1265"/>
      <c r="BT29" s="1266"/>
      <c r="BU29" s="1265"/>
      <c r="BV29" s="1263"/>
      <c r="BW29" s="1263"/>
      <c r="BX29" s="1263"/>
      <c r="BY29" s="1263"/>
      <c r="BZ29" s="1263"/>
      <c r="CA29" s="1263"/>
      <c r="CB29" s="1263"/>
      <c r="CC29" s="1263"/>
      <c r="CD29" s="1263"/>
      <c r="CE29" s="1263"/>
      <c r="CF29" s="1263"/>
      <c r="CG29" s="1263"/>
      <c r="CH29" s="1263"/>
      <c r="CI29" s="1263"/>
      <c r="CJ29" s="1263"/>
      <c r="CK29" s="1263"/>
      <c r="CL29" s="1263"/>
      <c r="CM29" s="1263"/>
      <c r="CN29" s="1263"/>
      <c r="CO29" s="1263"/>
      <c r="CP29" s="1263"/>
      <c r="CQ29" s="1263"/>
      <c r="CR29" s="1265"/>
      <c r="CS29" s="1265"/>
      <c r="CT29" s="1265"/>
      <c r="CU29" s="1305"/>
      <c r="CV29" s="1272"/>
      <c r="CW29" s="1271"/>
      <c r="CX29" s="1271"/>
      <c r="CY29" s="1265"/>
      <c r="CZ29" s="1265"/>
      <c r="DA29" s="1265"/>
      <c r="DB29" s="1263"/>
      <c r="DC29" s="1268"/>
      <c r="DD29" s="1263"/>
      <c r="DE29" s="1263"/>
      <c r="DF29" s="1263"/>
      <c r="DG29" s="1263"/>
      <c r="DH29" s="156" t="s">
        <v>443</v>
      </c>
      <c r="DI29" s="45"/>
      <c r="DJ29" s="156" t="s">
        <v>444</v>
      </c>
      <c r="DK29" s="951" t="s">
        <v>447</v>
      </c>
      <c r="DL29" s="156" t="s">
        <v>695</v>
      </c>
      <c r="DM29" s="45"/>
      <c r="DN29" s="156" t="s">
        <v>443</v>
      </c>
      <c r="DO29" s="45"/>
      <c r="DP29" s="156" t="s">
        <v>444</v>
      </c>
      <c r="DQ29" s="951" t="s">
        <v>447</v>
      </c>
      <c r="DR29" s="156" t="s">
        <v>695</v>
      </c>
      <c r="DS29" s="45"/>
      <c r="DT29" s="45"/>
      <c r="DU29" s="45"/>
      <c r="DV29" s="45"/>
      <c r="DW29" s="45"/>
      <c r="DX29" s="45"/>
      <c r="DY29" s="45"/>
    </row>
    <row r="30" spans="1:129" ht="12.75" outlineLevel="2">
      <c r="A30" s="1167" t="s">
        <v>734</v>
      </c>
      <c r="B30" s="951"/>
      <c r="C30" s="1222">
        <f>+C10-C20+11.806-C50-C80</f>
        <v>16.241249999999997</v>
      </c>
      <c r="D30" s="1241">
        <f t="shared" ref="D30:D36" si="27">C30/C10*100</f>
        <v>33.54451948695705</v>
      </c>
      <c r="E30" s="1269"/>
      <c r="F30" s="951"/>
      <c r="G30" s="1222">
        <f>+G10-G20+4.929-G50-G80</f>
        <v>17.291</v>
      </c>
      <c r="H30" s="1242">
        <f t="shared" ref="H30:H36" si="28">G30/G10*100</f>
        <v>31.787263769394809</v>
      </c>
      <c r="I30" s="1270">
        <f>(G30/(C30)-1)*100</f>
        <v>6.4634803355653192</v>
      </c>
      <c r="J30" s="951"/>
      <c r="K30" s="1222">
        <v>18.91</v>
      </c>
      <c r="L30" s="1242">
        <f t="shared" ref="L30:L36" si="29">K30/K10*100</f>
        <v>31.02441265257908</v>
      </c>
      <c r="M30" s="1270">
        <f>(K30/(G30)-1)*100</f>
        <v>9.3632525591348159</v>
      </c>
      <c r="N30" s="951"/>
      <c r="O30" s="1222">
        <v>26.222999999999999</v>
      </c>
      <c r="P30" s="1242">
        <f t="shared" ref="P30:P36" si="30">O30/O10*100</f>
        <v>26.303488675346561</v>
      </c>
      <c r="Q30" s="1270">
        <f>(O30/(K30)-1)*100</f>
        <v>38.672659968270736</v>
      </c>
      <c r="R30" s="951"/>
      <c r="S30" s="1222">
        <v>37.107999999999997</v>
      </c>
      <c r="T30" s="1242">
        <f t="shared" ref="T30:T36" si="31">S30/S10*100</f>
        <v>25.520618414899175</v>
      </c>
      <c r="U30" s="1270">
        <f>(S30/(O30)-1)*100</f>
        <v>41.509362010448839</v>
      </c>
      <c r="V30" s="951"/>
      <c r="W30" s="267">
        <v>46.707000000000001</v>
      </c>
      <c r="X30" s="1242">
        <f t="shared" ref="X30:X36" si="32">W30/W10*100</f>
        <v>26.240035056376719</v>
      </c>
      <c r="Y30" s="1270">
        <f t="shared" ref="Y30:Y36" si="33">(W30/S30-1)*100</f>
        <v>25.867737415112657</v>
      </c>
      <c r="Z30" s="1270"/>
      <c r="AA30" s="951"/>
      <c r="AB30" s="267">
        <v>69.614999999999995</v>
      </c>
      <c r="AC30" s="1242">
        <f t="shared" ref="AC30:AC36" si="34">AB30/AB10*100</f>
        <v>27.674638637556249</v>
      </c>
      <c r="AD30" s="1270">
        <f t="shared" ref="AD30:AD36" si="35">(AB30/W30-1)*100</f>
        <v>49.046181514548138</v>
      </c>
      <c r="AE30" s="951"/>
      <c r="AF30" s="267">
        <v>78.138999999999996</v>
      </c>
      <c r="AG30" s="1243">
        <f t="shared" ref="AG30:AG36" si="36">AF30/AF10*100</f>
        <v>28.118376497428866</v>
      </c>
      <c r="AH30" s="1270">
        <f t="shared" ref="AH30:AH36" si="37">(AF30/AB30-1)*100</f>
        <v>12.244487538605187</v>
      </c>
      <c r="AI30" s="951"/>
      <c r="AJ30" s="267">
        <v>82.855999999999995</v>
      </c>
      <c r="AK30" s="1243">
        <f t="shared" ref="AK30:AK36" si="38">AJ30/AJ10*100</f>
        <v>28.389148147386738</v>
      </c>
      <c r="AL30" s="1270">
        <f t="shared" ref="AL30:AL36" si="39">(AJ30/AF30-1)*100</f>
        <v>6.0366782272616826</v>
      </c>
      <c r="AM30" s="951"/>
      <c r="AN30" s="267">
        <v>89.85</v>
      </c>
      <c r="AO30" s="1243">
        <f t="shared" ref="AO30:AO36" si="40">AN30/AN10*100</f>
        <v>27.044517352436564</v>
      </c>
      <c r="AP30" s="1270">
        <f t="shared" ref="AP30:AP36" si="41">(AN30/AJ30-1)*100</f>
        <v>8.4411509124263873</v>
      </c>
      <c r="AQ30" s="951"/>
      <c r="AR30" s="267">
        <f>240.863-AR31</f>
        <v>117.089</v>
      </c>
      <c r="AS30" s="1243">
        <f t="shared" ref="AS30:AS36" si="42">AR30/AR10*100</f>
        <v>25.650580423548174</v>
      </c>
      <c r="AT30" s="1270">
        <f t="shared" ref="AT30:AT36" si="43">(AR30/AN30-1)*100</f>
        <v>30.316082359488039</v>
      </c>
      <c r="AU30" s="1232"/>
      <c r="AV30" s="267">
        <v>134.66900000000001</v>
      </c>
      <c r="AW30" s="1243">
        <f t="shared" ref="AW30:AW36" si="44">AV30/AV10*100</f>
        <v>25.777523409924431</v>
      </c>
      <c r="AX30" s="1271">
        <f t="shared" ref="AX30:AX36" si="45">(AV30/AR30-1)*100</f>
        <v>15.014219952343954</v>
      </c>
      <c r="AY30" s="1232"/>
      <c r="AZ30" s="267">
        <v>156.989</v>
      </c>
      <c r="BA30" s="1243">
        <f t="shared" ref="BA30:BA36" si="46">AZ30/AZ10*100</f>
        <v>25.635628508816339</v>
      </c>
      <c r="BB30" s="1271">
        <f t="shared" ref="BB30:BB36" si="47">(AZ30/AV30-1)*100</f>
        <v>16.573970252990655</v>
      </c>
      <c r="BC30" s="1232"/>
      <c r="BD30" s="267">
        <v>169.63800000000001</v>
      </c>
      <c r="BE30" s="1243">
        <f t="shared" ref="BE30:BE36" si="48">BD30/BD10*100</f>
        <v>26.493435909930003</v>
      </c>
      <c r="BF30" s="1271">
        <f t="shared" ref="BF30:BF36" si="49">(BD30/AZ30-1)*100</f>
        <v>8.057252418959294</v>
      </c>
      <c r="BG30" s="1271"/>
      <c r="BH30" s="577">
        <f>158.692-6.904</f>
        <v>151.78800000000001</v>
      </c>
      <c r="BI30" s="1243">
        <f t="shared" ref="BI30:BI36" si="50">BH30/BH10*100</f>
        <v>25.227405310805267</v>
      </c>
      <c r="BJ30" s="1271">
        <f t="shared" ref="BJ30:BJ36" si="51">(BH30/BD30-1)*100</f>
        <v>-10.522406536271356</v>
      </c>
      <c r="BK30" s="1271"/>
      <c r="BL30" s="577">
        <f>168.645-1.578</f>
        <v>167.06700000000001</v>
      </c>
      <c r="BM30" s="1243">
        <f t="shared" ref="BM30:BM36" si="52">BL30/BL10*100</f>
        <v>25.897042410714288</v>
      </c>
      <c r="BN30" s="1271">
        <f t="shared" ref="BN30:BN36" si="53">(BL30/BH30-1)*100</f>
        <v>10.066013123567075</v>
      </c>
      <c r="BO30" s="1271"/>
      <c r="BP30" s="577">
        <f>158.491-3.239</f>
        <v>155.25200000000001</v>
      </c>
      <c r="BQ30" s="1243">
        <f t="shared" ref="BQ30:BQ36" si="54">BP30/BP10*100</f>
        <v>25.743014240139019</v>
      </c>
      <c r="BR30" s="1271">
        <f t="shared" ref="BR30:BR36" si="55">(BP30/BL30-1)*100</f>
        <v>-7.0720130247146296</v>
      </c>
      <c r="BS30" s="1271"/>
      <c r="BT30" s="577">
        <v>178.53899999999999</v>
      </c>
      <c r="BU30" s="1243">
        <f t="shared" ref="BU30:BU36" si="56">BT30/BT10*100</f>
        <v>25.19264281531547</v>
      </c>
      <c r="BV30" s="1271">
        <f t="shared" ref="BV30:BV36" si="57">(BT30/BP30-1)*100</f>
        <v>14.999484708731604</v>
      </c>
      <c r="BW30" s="1271"/>
      <c r="BX30" s="577">
        <v>180.74100000000001</v>
      </c>
      <c r="BY30" s="1243">
        <f t="shared" ref="BY30:BY36" si="58">BX30/BX10*100</f>
        <v>26.600017366297905</v>
      </c>
      <c r="BZ30" s="1271">
        <f t="shared" ref="BZ30:BZ36" si="59">(BX30/BT30-1)*100</f>
        <v>1.2333439752659325</v>
      </c>
      <c r="CA30" s="951"/>
      <c r="CB30" s="577">
        <v>185.05799999999999</v>
      </c>
      <c r="CC30" s="1243">
        <f t="shared" ref="CC30:CC36" si="60">CB30/CB10*100</f>
        <v>28.641029887220661</v>
      </c>
      <c r="CD30" s="1271">
        <f t="shared" ref="CD30:CD37" si="61">(CB30/BX30-1)*100</f>
        <v>2.3885006722326407</v>
      </c>
      <c r="CE30" s="951"/>
      <c r="CF30" s="577">
        <v>185.09100000000001</v>
      </c>
      <c r="CG30" s="1243">
        <f t="shared" ref="CG30:CG36" si="62">CF30/CF10*100</f>
        <v>26.459715233302838</v>
      </c>
      <c r="CH30" s="1271">
        <f t="shared" ref="CH30:CH37" si="63">(CF30/CB30-1)*100</f>
        <v>1.7832247187365979E-2</v>
      </c>
      <c r="CI30" s="951"/>
      <c r="CJ30" s="577">
        <v>195.99299999999999</v>
      </c>
      <c r="CK30" s="1243">
        <f t="shared" ref="CK30:CK36" si="64">CJ30/CJ10*100</f>
        <v>26.152764285790532</v>
      </c>
      <c r="CL30" s="1271">
        <f t="shared" ref="CL30:CL37" si="65">(CJ30/CF30-1)*100</f>
        <v>5.8900756924971986</v>
      </c>
      <c r="CM30" s="951"/>
      <c r="CN30" s="577">
        <v>194.97900000000001</v>
      </c>
      <c r="CO30" s="1243">
        <f>CN30/CN10*100</f>
        <v>25.593303545644996</v>
      </c>
      <c r="CP30" s="1271">
        <f>(CN30/CJ30-1)*100</f>
        <v>-0.51736541611179243</v>
      </c>
      <c r="CQ30" s="1271"/>
      <c r="CR30" s="2136">
        <f>CR10*(CS30/100)</f>
        <v>202.88155261403139</v>
      </c>
      <c r="CS30" s="1246">
        <v>25.1</v>
      </c>
      <c r="CT30" s="1271">
        <f>(CR30/CN30-1)*100</f>
        <v>4.0530275640101587</v>
      </c>
      <c r="CU30" s="1805"/>
      <c r="CV30" s="1317"/>
      <c r="CW30" s="1271"/>
      <c r="CX30" s="1271"/>
      <c r="CY30" s="1271"/>
      <c r="CZ30" s="1271"/>
      <c r="DA30" s="1271"/>
      <c r="DB30" s="1273"/>
      <c r="DC30" s="1274"/>
      <c r="DD30" s="1270"/>
      <c r="DE30" s="1270"/>
      <c r="DF30" s="1270"/>
      <c r="DG30" s="1270"/>
      <c r="DH30" s="598">
        <v>26.21</v>
      </c>
      <c r="DI30" s="951"/>
      <c r="DJ30" s="164">
        <v>43</v>
      </c>
      <c r="DK30" s="951">
        <f>+DJ30-DH30</f>
        <v>16.79</v>
      </c>
      <c r="DL30" s="1226">
        <f>+DH30*DI$10+DJ30*DK$10</f>
        <v>27.677294282442094</v>
      </c>
      <c r="DM30" s="951"/>
      <c r="DN30" s="598">
        <v>27.74</v>
      </c>
      <c r="DO30" s="951"/>
      <c r="DP30" s="164">
        <v>28</v>
      </c>
      <c r="DQ30" s="951">
        <f>+DP30-DN30</f>
        <v>0.26000000000000156</v>
      </c>
      <c r="DR30" s="1226">
        <f>+DN30*DO$10+DP30*DQ$10</f>
        <v>27.74</v>
      </c>
      <c r="DS30" s="951"/>
      <c r="DT30" s="951"/>
      <c r="DU30" s="951"/>
      <c r="DV30" s="951"/>
      <c r="DW30" s="951"/>
      <c r="DX30" s="951"/>
      <c r="DY30" s="951"/>
    </row>
    <row r="31" spans="1:129" ht="12.75" outlineLevel="2">
      <c r="A31" s="1167" t="s">
        <v>735</v>
      </c>
      <c r="B31" s="951"/>
      <c r="C31" s="1226">
        <f>+C11-C21+2.399-C51-C81</f>
        <v>18.605250000000002</v>
      </c>
      <c r="D31" s="1241">
        <f t="shared" si="27"/>
        <v>28.475825336333166</v>
      </c>
      <c r="E31" s="1269"/>
      <c r="F31" s="951"/>
      <c r="G31" s="1226">
        <f>+G11-G21-0.569-G51-G81</f>
        <v>19.413000000000004</v>
      </c>
      <c r="H31" s="1242">
        <f t="shared" si="28"/>
        <v>27.631410393270421</v>
      </c>
      <c r="I31" s="1270">
        <f>(G31/(C31)-1)*100</f>
        <v>4.3415165074374373</v>
      </c>
      <c r="J31" s="951"/>
      <c r="K31" s="1226">
        <v>21.472999999999999</v>
      </c>
      <c r="L31" s="1242">
        <f t="shared" si="29"/>
        <v>24.922526955976736</v>
      </c>
      <c r="M31" s="1270">
        <f>(K31/(G31)-1)*100</f>
        <v>10.611445938288755</v>
      </c>
      <c r="N31" s="951"/>
      <c r="O31" s="1226">
        <v>31.782</v>
      </c>
      <c r="P31" s="1242">
        <f t="shared" si="30"/>
        <v>25.277775568475558</v>
      </c>
      <c r="Q31" s="1270">
        <f>(O31/(K31)-1)*100</f>
        <v>48.00912774181532</v>
      </c>
      <c r="R31" s="951"/>
      <c r="S31" s="1226">
        <v>42.692999999999998</v>
      </c>
      <c r="T31" s="1242">
        <f t="shared" si="31"/>
        <v>23.906664725448255</v>
      </c>
      <c r="U31" s="1270">
        <f>(S31/O31-1)*100</f>
        <v>34.330753256560321</v>
      </c>
      <c r="V31" s="951"/>
      <c r="W31" s="164">
        <v>55.015999999999998</v>
      </c>
      <c r="X31" s="1242">
        <f t="shared" si="32"/>
        <v>26.326342133344816</v>
      </c>
      <c r="Y31" s="1270">
        <f t="shared" si="33"/>
        <v>28.864216616307115</v>
      </c>
      <c r="Z31" s="1270"/>
      <c r="AA31" s="951"/>
      <c r="AB31" s="164">
        <v>75.284000000000006</v>
      </c>
      <c r="AC31" s="1242">
        <f t="shared" si="34"/>
        <v>25.747626474048541</v>
      </c>
      <c r="AD31" s="1270">
        <f t="shared" si="35"/>
        <v>36.840191944161703</v>
      </c>
      <c r="AE31" s="951"/>
      <c r="AF31" s="164">
        <v>81.153999999999996</v>
      </c>
      <c r="AG31" s="1243">
        <f t="shared" si="36"/>
        <v>25.42418546365915</v>
      </c>
      <c r="AH31" s="1270">
        <f t="shared" si="37"/>
        <v>7.7971414908878156</v>
      </c>
      <c r="AI31" s="951"/>
      <c r="AJ31" s="164">
        <v>84.825999999999993</v>
      </c>
      <c r="AK31" s="1243">
        <f t="shared" si="38"/>
        <v>25.166812538013083</v>
      </c>
      <c r="AL31" s="1270">
        <f t="shared" si="39"/>
        <v>4.5247307588042407</v>
      </c>
      <c r="AM31" s="951"/>
      <c r="AN31" s="169">
        <v>94.950999999999993</v>
      </c>
      <c r="AO31" s="1243">
        <f t="shared" si="40"/>
        <v>24.01378849879363</v>
      </c>
      <c r="AP31" s="1270">
        <f t="shared" si="41"/>
        <v>11.936198806969568</v>
      </c>
      <c r="AQ31" s="951"/>
      <c r="AR31" s="169">
        <v>123.774</v>
      </c>
      <c r="AS31" s="1243">
        <f t="shared" si="42"/>
        <v>23.993347135313684</v>
      </c>
      <c r="AT31" s="1270">
        <f t="shared" si="43"/>
        <v>30.355657128413615</v>
      </c>
      <c r="AU31" s="1232"/>
      <c r="AV31" s="1210">
        <v>142.77199999999999</v>
      </c>
      <c r="AW31" s="1243">
        <f t="shared" si="44"/>
        <v>23.703442986024179</v>
      </c>
      <c r="AX31" s="1271">
        <f t="shared" si="45"/>
        <v>15.348942427327227</v>
      </c>
      <c r="AY31" s="1232"/>
      <c r="AZ31" s="1210">
        <v>166.386</v>
      </c>
      <c r="BA31" s="1243">
        <f t="shared" si="46"/>
        <v>23.661632932255767</v>
      </c>
      <c r="BB31" s="1271">
        <f t="shared" si="47"/>
        <v>16.539657635951023</v>
      </c>
      <c r="BC31" s="1232"/>
      <c r="BD31" s="1210">
        <v>167.898</v>
      </c>
      <c r="BE31" s="1243">
        <f t="shared" si="48"/>
        <v>24.374904727684498</v>
      </c>
      <c r="BF31" s="1271">
        <f t="shared" si="49"/>
        <v>0.90873030182827552</v>
      </c>
      <c r="BG31" s="1271"/>
      <c r="BH31" s="1210">
        <f>167.175-6.317</f>
        <v>160.858</v>
      </c>
      <c r="BI31" s="1243">
        <f t="shared" si="50"/>
        <v>24.869897556887931</v>
      </c>
      <c r="BJ31" s="1271">
        <f t="shared" si="51"/>
        <v>-4.1930219538052871</v>
      </c>
      <c r="BK31" s="1271"/>
      <c r="BL31" s="1210">
        <f>165.493-1.752</f>
        <v>163.74099999999999</v>
      </c>
      <c r="BM31" s="1243">
        <f t="shared" si="52"/>
        <v>25.239810648625564</v>
      </c>
      <c r="BN31" s="1271">
        <f t="shared" si="53"/>
        <v>1.792263984383724</v>
      </c>
      <c r="BO31" s="1271"/>
      <c r="BP31" s="1210">
        <f>167.099-3.986</f>
        <v>163.113</v>
      </c>
      <c r="BQ31" s="1243">
        <f t="shared" si="54"/>
        <v>24.377241750358682</v>
      </c>
      <c r="BR31" s="1271">
        <f t="shared" si="55"/>
        <v>-0.38353253003217125</v>
      </c>
      <c r="BS31" s="1271"/>
      <c r="BT31" s="1210">
        <f>182.125-4.367</f>
        <v>177.75800000000001</v>
      </c>
      <c r="BU31" s="1243">
        <f t="shared" si="56"/>
        <v>24.031743456629897</v>
      </c>
      <c r="BV31" s="1271">
        <f t="shared" si="57"/>
        <v>8.9784382605923483</v>
      </c>
      <c r="BW31" s="1271"/>
      <c r="BX31" s="1210">
        <v>186.33600000000001</v>
      </c>
      <c r="BY31" s="1243">
        <f t="shared" si="58"/>
        <v>25.61978130461026</v>
      </c>
      <c r="BZ31" s="1271">
        <f>(BX31/BT31-1)*100</f>
        <v>4.8256618548813579</v>
      </c>
      <c r="CA31" s="1275"/>
      <c r="CB31" s="1210">
        <v>190.078</v>
      </c>
      <c r="CC31" s="1243">
        <f t="shared" si="60"/>
        <v>26.749132769017514</v>
      </c>
      <c r="CD31" s="1271">
        <f>(CB31/BX31-1)*100</f>
        <v>2.0082002404258947</v>
      </c>
      <c r="CE31" s="1275"/>
      <c r="CF31" s="1210">
        <v>195.791</v>
      </c>
      <c r="CG31" s="1243">
        <f t="shared" si="62"/>
        <v>24.552812291517228</v>
      </c>
      <c r="CH31" s="1271">
        <f>(CF31/CB31-1)*100</f>
        <v>3.005608223992251</v>
      </c>
      <c r="CI31" s="1275"/>
      <c r="CJ31" s="1210">
        <v>199.536</v>
      </c>
      <c r="CK31" s="1243">
        <f t="shared" si="64"/>
        <v>24.256923828766073</v>
      </c>
      <c r="CL31" s="1271">
        <f t="shared" si="65"/>
        <v>1.912753905950737</v>
      </c>
      <c r="CM31" s="1275"/>
      <c r="CN31" s="1210">
        <v>203.71700000000001</v>
      </c>
      <c r="CO31" s="1243">
        <f>CN31/CN11*100</f>
        <v>24.121166481362419</v>
      </c>
      <c r="CP31" s="1271">
        <f t="shared" ref="CP31:CP37" si="66">(CN31/CJ31-1)*100</f>
        <v>2.0953612380723241</v>
      </c>
      <c r="CQ31" s="1271"/>
      <c r="CR31" s="1211">
        <f>CR11*(CS31/100)</f>
        <v>210.53734596644588</v>
      </c>
      <c r="CS31" s="1246">
        <v>23.1</v>
      </c>
      <c r="CT31" s="1271">
        <f t="shared" ref="CT31:CT37" si="67">(CR31/CN31-1)*100</f>
        <v>3.3479513081607681</v>
      </c>
      <c r="CU31" s="1805"/>
      <c r="CV31" s="1317"/>
      <c r="CW31" s="1271"/>
      <c r="CX31" s="1271"/>
      <c r="CY31" s="1271"/>
      <c r="CZ31" s="1271"/>
      <c r="DA31" s="1271"/>
      <c r="DB31" s="1273"/>
      <c r="DC31" s="2147"/>
      <c r="DD31" s="1277"/>
      <c r="DE31" s="1277"/>
      <c r="DF31" s="1270"/>
      <c r="DG31" s="1270"/>
      <c r="DH31" s="164">
        <v>26.14</v>
      </c>
      <c r="DI31" s="951"/>
      <c r="DJ31" s="164">
        <v>29.04</v>
      </c>
      <c r="DK31" s="951">
        <f>+DJ31-DH31</f>
        <v>2.8999999999999986</v>
      </c>
      <c r="DL31" s="1226">
        <f>+DH31*DI$11+DJ31*DK$11</f>
        <v>26.363733365307134</v>
      </c>
      <c r="DM31" s="951"/>
      <c r="DN31" s="164">
        <v>26.1</v>
      </c>
      <c r="DO31" s="951"/>
      <c r="DP31" s="164">
        <v>27</v>
      </c>
      <c r="DQ31" s="951">
        <f>+DP31-DN31</f>
        <v>0.89999999999999858</v>
      </c>
      <c r="DR31" s="1226">
        <f>+DN31*DO$11+DP31*DQ$11</f>
        <v>26.1</v>
      </c>
      <c r="DS31" s="951"/>
      <c r="DT31" s="951"/>
      <c r="DU31" s="951"/>
      <c r="DV31" s="951"/>
      <c r="DW31" s="951"/>
      <c r="DX31" s="951"/>
      <c r="DY31" s="951"/>
    </row>
    <row r="32" spans="1:129" ht="12.75" outlineLevel="2">
      <c r="A32" s="1167" t="s">
        <v>736</v>
      </c>
      <c r="B32" s="951"/>
      <c r="C32" s="1247">
        <f>+C12-C22+2.367-C52-C82-C102</f>
        <v>21.18525</v>
      </c>
      <c r="D32" s="1241">
        <f t="shared" si="27"/>
        <v>24.666996565174358</v>
      </c>
      <c r="E32" s="1269"/>
      <c r="F32" s="951"/>
      <c r="G32" s="1247">
        <f>+G12-G22-3.535-G52-G82</f>
        <v>21.073999999999998</v>
      </c>
      <c r="H32" s="1242">
        <f t="shared" si="28"/>
        <v>26.728052152296875</v>
      </c>
      <c r="I32" s="1270">
        <f>(G32/(C32)-1)*100</f>
        <v>-0.52512951227859928</v>
      </c>
      <c r="J32" s="951"/>
      <c r="K32" s="1247">
        <v>26.725999999999999</v>
      </c>
      <c r="L32" s="1242">
        <f t="shared" si="29"/>
        <v>25.477111971173095</v>
      </c>
      <c r="M32" s="1270">
        <f>(K32/(G32)-1)*100</f>
        <v>26.819777925405731</v>
      </c>
      <c r="N32" s="951"/>
      <c r="O32" s="1247">
        <v>36.186</v>
      </c>
      <c r="P32" s="1242">
        <f t="shared" si="30"/>
        <v>24.27482759545979</v>
      </c>
      <c r="Q32" s="1270">
        <f>(O32/(K32)-1)*100</f>
        <v>35.396243358527293</v>
      </c>
      <c r="R32" s="951"/>
      <c r="S32" s="1247">
        <v>53.707999999999998</v>
      </c>
      <c r="T32" s="1242">
        <f t="shared" si="31"/>
        <v>24.117507061290656</v>
      </c>
      <c r="U32" s="1270">
        <f>(S32/O32-1)*100</f>
        <v>48.422041673575421</v>
      </c>
      <c r="V32" s="951"/>
      <c r="W32" s="169">
        <v>67.644000000000005</v>
      </c>
      <c r="X32" s="1242">
        <f t="shared" si="32"/>
        <v>23.922169135719518</v>
      </c>
      <c r="Y32" s="1270">
        <f t="shared" si="33"/>
        <v>25.947717286065398</v>
      </c>
      <c r="Z32" s="1270"/>
      <c r="AA32" s="951"/>
      <c r="AB32" s="169">
        <v>88.61</v>
      </c>
      <c r="AC32" s="1242">
        <f t="shared" si="34"/>
        <v>24.366233201983174</v>
      </c>
      <c r="AD32" s="1270">
        <f t="shared" si="35"/>
        <v>30.994618887114878</v>
      </c>
      <c r="AE32" s="951"/>
      <c r="AF32" s="169">
        <v>89.844999999999999</v>
      </c>
      <c r="AG32" s="1243">
        <f t="shared" si="36"/>
        <v>23.991038574716818</v>
      </c>
      <c r="AH32" s="1270">
        <f t="shared" si="37"/>
        <v>1.3937478839860074</v>
      </c>
      <c r="AI32" s="951"/>
      <c r="AJ32" s="169">
        <v>98.731999999999999</v>
      </c>
      <c r="AK32" s="1243">
        <f t="shared" si="38"/>
        <v>26.413055109684326</v>
      </c>
      <c r="AL32" s="1270">
        <f t="shared" si="39"/>
        <v>9.8914797707162272</v>
      </c>
      <c r="AM32" s="951"/>
      <c r="AN32" s="169">
        <v>119.642</v>
      </c>
      <c r="AO32" s="1243">
        <f t="shared" si="40"/>
        <v>24.94698541447293</v>
      </c>
      <c r="AP32" s="1270">
        <f>(AN32/AJ32-1)*100</f>
        <v>21.178543937122708</v>
      </c>
      <c r="AQ32" s="951"/>
      <c r="AR32" s="169">
        <v>137.78299999999999</v>
      </c>
      <c r="AS32" s="1243">
        <f t="shared" si="42"/>
        <v>23.733306691792393</v>
      </c>
      <c r="AT32" s="1270">
        <f t="shared" si="43"/>
        <v>15.162735494224421</v>
      </c>
      <c r="AU32" s="951"/>
      <c r="AV32" s="1210">
        <v>170.43100000000001</v>
      </c>
      <c r="AW32" s="1243">
        <f t="shared" si="44"/>
        <v>24.477013887891541</v>
      </c>
      <c r="AX32" s="1271">
        <f t="shared" si="45"/>
        <v>23.695230906570487</v>
      </c>
      <c r="AY32" s="951"/>
      <c r="AZ32" s="1210">
        <v>174.161</v>
      </c>
      <c r="BA32" s="1243">
        <f t="shared" si="46"/>
        <v>23.394806586938156</v>
      </c>
      <c r="BB32" s="1271">
        <f t="shared" si="47"/>
        <v>2.1885689809952424</v>
      </c>
      <c r="BC32" s="951"/>
      <c r="BD32" s="1210">
        <v>181.715</v>
      </c>
      <c r="BE32" s="1243">
        <f t="shared" si="48"/>
        <v>24.098982011468951</v>
      </c>
      <c r="BF32" s="1271">
        <f t="shared" si="49"/>
        <v>4.3373660004248915</v>
      </c>
      <c r="BG32" s="1271"/>
      <c r="BH32" s="1210">
        <f>193.269-8.321</f>
        <v>184.94800000000001</v>
      </c>
      <c r="BI32" s="1243">
        <f t="shared" si="50"/>
        <v>25.128428787069762</v>
      </c>
      <c r="BJ32" s="1271">
        <f t="shared" si="51"/>
        <v>1.7791596731145054</v>
      </c>
      <c r="BK32" s="1271"/>
      <c r="BL32" s="1210">
        <f>185.05-3.509</f>
        <v>181.54100000000003</v>
      </c>
      <c r="BM32" s="1243">
        <f t="shared" si="52"/>
        <v>24.372859465475557</v>
      </c>
      <c r="BN32" s="1271">
        <f t="shared" si="53"/>
        <v>-1.8421394121590828</v>
      </c>
      <c r="BO32" s="1271"/>
      <c r="BP32" s="1210">
        <f>190.583-4.896</f>
        <v>185.68700000000001</v>
      </c>
      <c r="BQ32" s="1243">
        <f t="shared" si="54"/>
        <v>22.660812111996428</v>
      </c>
      <c r="BR32" s="1271">
        <f t="shared" si="55"/>
        <v>2.2837816250874443</v>
      </c>
      <c r="BS32" s="1271"/>
      <c r="BT32" s="1210">
        <v>219.12799999999999</v>
      </c>
      <c r="BU32" s="1243">
        <f t="shared" si="56"/>
        <v>24.070107450344583</v>
      </c>
      <c r="BV32" s="1271">
        <f t="shared" si="57"/>
        <v>18.00933829508795</v>
      </c>
      <c r="BW32" s="1271"/>
      <c r="BX32" s="1210">
        <v>205.72499999999999</v>
      </c>
      <c r="BY32" s="1243">
        <f t="shared" si="58"/>
        <v>23.996710622240627</v>
      </c>
      <c r="BZ32" s="1271">
        <f t="shared" si="59"/>
        <v>-6.1165163739914536</v>
      </c>
      <c r="CA32" s="951"/>
      <c r="CB32" s="1210">
        <v>204.64099999999999</v>
      </c>
      <c r="CC32" s="1243">
        <f t="shared" si="60"/>
        <v>23.954511933886618</v>
      </c>
      <c r="CD32" s="1271">
        <f>(CB32/BX32-1)*100</f>
        <v>-0.5269170008506463</v>
      </c>
      <c r="CE32" s="951"/>
      <c r="CF32" s="1210">
        <v>220.798</v>
      </c>
      <c r="CG32" s="1243">
        <f t="shared" si="62"/>
        <v>24.024015528707217</v>
      </c>
      <c r="CH32" s="1271">
        <f>(CF32/CB32-1)*100</f>
        <v>7.8952898001866778</v>
      </c>
      <c r="CI32" s="951"/>
      <c r="CJ32" s="1210">
        <v>219.91200000000001</v>
      </c>
      <c r="CK32" s="1243">
        <f t="shared" si="64"/>
        <v>23.379746525920972</v>
      </c>
      <c r="CL32" s="1271">
        <f t="shared" si="65"/>
        <v>-0.40127175064991194</v>
      </c>
      <c r="CM32" s="951"/>
      <c r="CN32" s="1210">
        <v>217.14599999999999</v>
      </c>
      <c r="CO32" s="1243">
        <f>CN32/CN12*100</f>
        <v>22.609177318980084</v>
      </c>
      <c r="CP32" s="1271">
        <f t="shared" si="66"/>
        <v>-1.2577758376077774</v>
      </c>
      <c r="CQ32" s="1271"/>
      <c r="CR32" s="1211">
        <f>CR12*(CS32/100)</f>
        <v>225.68781014596726</v>
      </c>
      <c r="CS32" s="1246">
        <v>23.5</v>
      </c>
      <c r="CT32" s="1271">
        <f t="shared" si="67"/>
        <v>3.9336714219775137</v>
      </c>
      <c r="CU32" s="1805"/>
      <c r="CV32" s="1317"/>
      <c r="CW32" s="1806"/>
      <c r="CX32" s="1271"/>
      <c r="CY32" s="1271"/>
      <c r="CZ32" s="1271"/>
      <c r="DA32" s="1271"/>
      <c r="DB32" s="1278"/>
      <c r="DC32" s="1276"/>
      <c r="DD32" s="1277"/>
      <c r="DE32" s="1277"/>
      <c r="DF32" s="1270"/>
      <c r="DG32" s="1270"/>
      <c r="DH32" s="164">
        <v>24.25</v>
      </c>
      <c r="DI32" s="951"/>
      <c r="DJ32" s="164">
        <v>24.04</v>
      </c>
      <c r="DK32" s="951">
        <f>+DJ32-DH32</f>
        <v>-0.21000000000000085</v>
      </c>
      <c r="DL32" s="1226">
        <f>+DH32*DI$12+DJ32*DK$12</f>
        <v>24.233013462886365</v>
      </c>
      <c r="DM32" s="951"/>
      <c r="DN32" s="164">
        <v>24.2</v>
      </c>
      <c r="DO32" s="951"/>
      <c r="DP32" s="164">
        <v>24.04</v>
      </c>
      <c r="DQ32" s="951">
        <f>+DP32-DN32</f>
        <v>-0.16000000000000014</v>
      </c>
      <c r="DR32" s="1226">
        <f>+DN32*DO$12+DP32*DQ$12</f>
        <v>24.2</v>
      </c>
      <c r="DS32" s="951"/>
      <c r="DT32" s="951"/>
      <c r="DU32" s="951"/>
      <c r="DV32" s="951"/>
      <c r="DW32" s="951"/>
      <c r="DX32" s="951"/>
      <c r="DY32" s="951"/>
    </row>
    <row r="33" spans="1:129" ht="12.75" outlineLevel="2">
      <c r="A33" s="1167" t="s">
        <v>737</v>
      </c>
      <c r="B33" s="951"/>
      <c r="C33" s="1248">
        <f>+C13-C23-14.133-C53-C83</f>
        <v>26.647249999999993</v>
      </c>
      <c r="D33" s="1241">
        <f t="shared" si="27"/>
        <v>18.941208666230697</v>
      </c>
      <c r="E33" s="1269"/>
      <c r="F33" s="951"/>
      <c r="G33" s="1248">
        <f>+G13-G23-10.657-G53-G83</f>
        <v>26.032</v>
      </c>
      <c r="H33" s="1242">
        <f t="shared" si="28"/>
        <v>21.180586631951506</v>
      </c>
      <c r="I33" s="1270">
        <f>(G33/(C33)-1)*100</f>
        <v>-2.3088686449820983</v>
      </c>
      <c r="J33" s="951"/>
      <c r="K33" s="1248">
        <f>98.529-67.109</f>
        <v>31.42</v>
      </c>
      <c r="L33" s="1242">
        <f t="shared" si="29"/>
        <v>20.442420299284322</v>
      </c>
      <c r="M33" s="1270">
        <f>(K33/(G33)-1)*100</f>
        <v>20.697602950215121</v>
      </c>
      <c r="N33" s="951"/>
      <c r="O33" s="1248">
        <f>138.847-94.191</f>
        <v>44.656000000000006</v>
      </c>
      <c r="P33" s="1242">
        <f t="shared" si="30"/>
        <v>20.954731660621192</v>
      </c>
      <c r="Q33" s="1270">
        <f>(O33/(K33)-1)*100</f>
        <v>42.126034373010832</v>
      </c>
      <c r="R33" s="951"/>
      <c r="S33" s="256">
        <v>61.286000000000001</v>
      </c>
      <c r="T33" s="1242">
        <f t="shared" si="31"/>
        <v>21.471840238241217</v>
      </c>
      <c r="U33" s="1270">
        <f>(S33/O33-1)*100</f>
        <v>37.240236474381931</v>
      </c>
      <c r="V33" s="951"/>
      <c r="W33" s="256">
        <v>97.106999999999999</v>
      </c>
      <c r="X33" s="1243">
        <f t="shared" si="32"/>
        <v>22.916971496268886</v>
      </c>
      <c r="Y33" s="1270">
        <f t="shared" si="33"/>
        <v>58.4489116600855</v>
      </c>
      <c r="Z33" s="1270"/>
      <c r="AA33" s="951"/>
      <c r="AB33" s="256">
        <v>105.511</v>
      </c>
      <c r="AC33" s="1242">
        <f t="shared" si="34"/>
        <v>22.724746930863667</v>
      </c>
      <c r="AD33" s="1270">
        <f t="shared" si="35"/>
        <v>8.6543709516306642</v>
      </c>
      <c r="AE33" s="951"/>
      <c r="AF33" s="256">
        <v>101.614</v>
      </c>
      <c r="AG33" s="1243">
        <f t="shared" si="36"/>
        <v>20.671991276645091</v>
      </c>
      <c r="AH33" s="1270">
        <f t="shared" si="37"/>
        <v>-3.6934537631147402</v>
      </c>
      <c r="AI33" s="951"/>
      <c r="AJ33" s="256">
        <v>105.782</v>
      </c>
      <c r="AK33" s="1243">
        <f t="shared" si="38"/>
        <v>21.562640140242163</v>
      </c>
      <c r="AL33" s="1270">
        <f t="shared" si="39"/>
        <v>4.1017969964768586</v>
      </c>
      <c r="AM33" s="951"/>
      <c r="AN33" s="256">
        <v>142.386</v>
      </c>
      <c r="AO33" s="1243">
        <f t="shared" si="40"/>
        <v>21.124767070608762</v>
      </c>
      <c r="AP33" s="1270">
        <f t="shared" si="41"/>
        <v>34.60324062694977</v>
      </c>
      <c r="AQ33" s="951"/>
      <c r="AR33" s="256">
        <v>164.202</v>
      </c>
      <c r="AS33" s="1243">
        <f t="shared" si="42"/>
        <v>21.3507223009609</v>
      </c>
      <c r="AT33" s="1270">
        <f t="shared" si="43"/>
        <v>15.32173106906578</v>
      </c>
      <c r="AU33" s="951"/>
      <c r="AV33" s="1217">
        <v>217.73500000000001</v>
      </c>
      <c r="AW33" s="1243">
        <f t="shared" si="44"/>
        <v>22.369306478042667</v>
      </c>
      <c r="AX33" s="1271">
        <f t="shared" si="45"/>
        <v>32.601917150826431</v>
      </c>
      <c r="AY33" s="951"/>
      <c r="AZ33" s="1217">
        <v>217.64400000000001</v>
      </c>
      <c r="BA33" s="1243">
        <f t="shared" si="46"/>
        <v>21.864956936953046</v>
      </c>
      <c r="BB33" s="1271">
        <f t="shared" si="47"/>
        <v>-4.1793923806465738E-2</v>
      </c>
      <c r="BC33" s="951"/>
      <c r="BD33" s="1217">
        <f>221.49-6.7</f>
        <v>214.79000000000002</v>
      </c>
      <c r="BE33" s="1243">
        <f t="shared" si="48"/>
        <v>23.715017891981237</v>
      </c>
      <c r="BF33" s="1271">
        <f t="shared" si="49"/>
        <v>-1.3113157265993935</v>
      </c>
      <c r="BG33" s="1218"/>
      <c r="BH33" s="1217">
        <f>237.12-9.436</f>
        <v>227.684</v>
      </c>
      <c r="BI33" s="1243">
        <f t="shared" si="50"/>
        <v>23.821775071904547</v>
      </c>
      <c r="BJ33" s="1271">
        <f t="shared" si="51"/>
        <v>6.0030727687508723</v>
      </c>
      <c r="BK33" s="1271"/>
      <c r="BL33" s="1217">
        <f>194.009-3.434</f>
        <v>190.57499999999999</v>
      </c>
      <c r="BM33" s="1243">
        <f t="shared" si="52"/>
        <v>21.021218111063067</v>
      </c>
      <c r="BN33" s="1271">
        <f t="shared" si="53"/>
        <v>-16.298466295391869</v>
      </c>
      <c r="BO33" s="1271"/>
      <c r="BP33" s="1217">
        <f>219.655-5.536-5.584</f>
        <v>208.535</v>
      </c>
      <c r="BQ33" s="1243">
        <f t="shared" si="54"/>
        <v>20.276787606884977</v>
      </c>
      <c r="BR33" s="1271">
        <f t="shared" si="55"/>
        <v>9.4241112422930762</v>
      </c>
      <c r="BS33" s="1271"/>
      <c r="BT33" s="1217">
        <v>253.13</v>
      </c>
      <c r="BU33" s="1243">
        <f t="shared" si="56"/>
        <v>22.660518346040874</v>
      </c>
      <c r="BV33" s="1271">
        <f t="shared" si="57"/>
        <v>21.384899417363989</v>
      </c>
      <c r="BW33" s="1271"/>
      <c r="BX33" s="1217">
        <f>222.191-6.328</f>
        <v>215.863</v>
      </c>
      <c r="BY33" s="1243">
        <f t="shared" si="58"/>
        <v>20.722045642392725</v>
      </c>
      <c r="BZ33" s="1271">
        <f t="shared" si="59"/>
        <v>-14.722474617785331</v>
      </c>
      <c r="CA33" s="951"/>
      <c r="CB33" s="1217">
        <v>226.721</v>
      </c>
      <c r="CC33" s="1243">
        <f t="shared" si="60"/>
        <v>21.152247556334682</v>
      </c>
      <c r="CD33" s="1271">
        <f t="shared" si="61"/>
        <v>5.0300422026933855</v>
      </c>
      <c r="CE33" s="951"/>
      <c r="CF33" s="1217">
        <f>233.02</f>
        <v>233.02</v>
      </c>
      <c r="CG33" s="1243">
        <f t="shared" si="62"/>
        <v>21.071993112852994</v>
      </c>
      <c r="CH33" s="1271">
        <f t="shared" si="63"/>
        <v>2.7783046122767718</v>
      </c>
      <c r="CI33" s="951"/>
      <c r="CJ33" s="1217">
        <v>242.059</v>
      </c>
      <c r="CK33" s="1243">
        <f t="shared" si="64"/>
        <v>22.060595345073025</v>
      </c>
      <c r="CL33" s="1271">
        <f>(CJ33/CF33-1)*100</f>
        <v>3.8790661745772947</v>
      </c>
      <c r="CM33" s="951"/>
      <c r="CN33" s="1217">
        <v>263.84300000000002</v>
      </c>
      <c r="CO33" s="1243">
        <f>CN33/CN13*100</f>
        <v>21.472943861228284</v>
      </c>
      <c r="CP33" s="1271">
        <f t="shared" si="66"/>
        <v>8.9994588096290684</v>
      </c>
      <c r="CQ33" s="1271"/>
      <c r="CR33" s="1218">
        <f>CR13*(CS33/100)</f>
        <v>256.5744661977489</v>
      </c>
      <c r="CS33" s="1246">
        <v>22</v>
      </c>
      <c r="CT33" s="1271">
        <f t="shared" si="67"/>
        <v>-2.75487081417779</v>
      </c>
      <c r="CU33" s="1805"/>
      <c r="CV33" s="1317"/>
      <c r="CW33" s="1271"/>
      <c r="CX33" s="1271"/>
      <c r="CY33" s="1271"/>
      <c r="CZ33" s="1271"/>
      <c r="DA33" s="1271"/>
      <c r="DB33" s="1278"/>
      <c r="DC33" s="1276"/>
      <c r="DD33" s="1277"/>
      <c r="DE33" s="1277"/>
      <c r="DF33" s="1270"/>
      <c r="DG33" s="1270"/>
      <c r="DH33" s="1279">
        <v>22.9</v>
      </c>
      <c r="DI33" s="951"/>
      <c r="DJ33" s="1250">
        <v>22.95</v>
      </c>
      <c r="DK33" s="951">
        <f>+DJ33-DH33</f>
        <v>5.0000000000000711E-2</v>
      </c>
      <c r="DL33" s="1251">
        <f>+DH33*DI$13+DJ33*DK$13</f>
        <v>22.90310174283011</v>
      </c>
      <c r="DM33" s="951"/>
      <c r="DN33" s="1279">
        <v>22.6</v>
      </c>
      <c r="DO33" s="951"/>
      <c r="DP33" s="1250">
        <v>22.95</v>
      </c>
      <c r="DQ33" s="951">
        <f>+DP33-DN33</f>
        <v>0.34999999999999787</v>
      </c>
      <c r="DR33" s="1251">
        <f>+DN33*DO$13+DP33*DQ$13</f>
        <v>22.6</v>
      </c>
      <c r="DS33" s="951"/>
      <c r="DT33" s="951"/>
      <c r="DU33" s="951"/>
      <c r="DV33" s="951"/>
      <c r="DW33" s="951"/>
      <c r="DX33" s="951"/>
      <c r="DY33" s="951"/>
    </row>
    <row r="34" spans="1:129" ht="12.75" outlineLevel="2">
      <c r="A34" s="1167" t="s">
        <v>762</v>
      </c>
      <c r="B34" s="951"/>
      <c r="C34" s="1222">
        <f>SUM(C30:C33)</f>
        <v>82.679000000000002</v>
      </c>
      <c r="D34" s="1241">
        <f t="shared" si="27"/>
        <v>24.29427338146408</v>
      </c>
      <c r="E34" s="1269"/>
      <c r="F34" s="951"/>
      <c r="G34" s="1222">
        <f>SUM(G30:G33)</f>
        <v>83.81</v>
      </c>
      <c r="H34" s="1242">
        <f t="shared" si="28"/>
        <v>25.676768667050649</v>
      </c>
      <c r="I34" s="1270">
        <f>(G34/(C34)-1)*100</f>
        <v>1.3679410733076214</v>
      </c>
      <c r="J34" s="951"/>
      <c r="K34" s="1222">
        <f>SUM(K30:K33)</f>
        <v>98.528999999999996</v>
      </c>
      <c r="L34" s="1242">
        <f t="shared" si="29"/>
        <v>24.285393862163648</v>
      </c>
      <c r="M34" s="1270">
        <f>(K34/(G34)-1)*100</f>
        <v>17.562343395776161</v>
      </c>
      <c r="N34" s="951"/>
      <c r="O34" s="1222">
        <f>SUM(O30:O33)</f>
        <v>138.84700000000001</v>
      </c>
      <c r="P34" s="1242">
        <f t="shared" si="30"/>
        <v>23.629509870660314</v>
      </c>
      <c r="Q34" s="1270">
        <f>(O34/(K34)-1)*100</f>
        <v>40.919932202701759</v>
      </c>
      <c r="R34" s="951"/>
      <c r="S34" s="1222">
        <f>S30+S31+S32+S33</f>
        <v>194.79499999999999</v>
      </c>
      <c r="T34" s="1242">
        <f t="shared" si="31"/>
        <v>23.409934335131183</v>
      </c>
      <c r="U34" s="1270">
        <f>(S34/(O34)-1)*100</f>
        <v>40.294712885406227</v>
      </c>
      <c r="V34" s="951"/>
      <c r="W34" s="1222">
        <f>SUM(W30:W33)</f>
        <v>266.47400000000005</v>
      </c>
      <c r="X34" s="1242">
        <f t="shared" si="32"/>
        <v>24.369419750026758</v>
      </c>
      <c r="Y34" s="1270">
        <f t="shared" si="33"/>
        <v>36.79714571729258</v>
      </c>
      <c r="Z34" s="1270"/>
      <c r="AA34" s="951"/>
      <c r="AB34" s="1222">
        <f>SUM(AB30:AB33)</f>
        <v>339.02</v>
      </c>
      <c r="AC34" s="1242">
        <f t="shared" si="34"/>
        <v>24.711731694534361</v>
      </c>
      <c r="AD34" s="1270">
        <f t="shared" si="35"/>
        <v>27.224419643192178</v>
      </c>
      <c r="AE34" s="951"/>
      <c r="AF34" s="1222">
        <f>SUM(AF30:AF33)</f>
        <v>350.75200000000001</v>
      </c>
      <c r="AG34" s="1242">
        <f t="shared" si="36"/>
        <v>23.972535797985291</v>
      </c>
      <c r="AH34" s="1270">
        <f t="shared" si="37"/>
        <v>3.4605627986549647</v>
      </c>
      <c r="AI34" s="951"/>
      <c r="AJ34" s="1222">
        <f>SUM(AJ30:AJ33)</f>
        <v>372.19599999999997</v>
      </c>
      <c r="AK34" s="1242">
        <f t="shared" si="38"/>
        <v>24.924512470091269</v>
      </c>
      <c r="AL34" s="1270">
        <f t="shared" si="39"/>
        <v>6.1137213757868736</v>
      </c>
      <c r="AM34" s="951"/>
      <c r="AN34" s="1222">
        <f>SUM(AN30:AN33)</f>
        <v>446.82899999999995</v>
      </c>
      <c r="AO34" s="1242">
        <f t="shared" si="40"/>
        <v>23.751821271171529</v>
      </c>
      <c r="AP34" s="1270">
        <f t="shared" si="41"/>
        <v>20.05206933981021</v>
      </c>
      <c r="AQ34" s="951"/>
      <c r="AR34" s="1222">
        <f>SUM(AR30:AR33)</f>
        <v>542.84799999999996</v>
      </c>
      <c r="AS34" s="1242">
        <f t="shared" si="42"/>
        <v>23.37884943853517</v>
      </c>
      <c r="AT34" s="1270">
        <f t="shared" si="43"/>
        <v>21.488981243383943</v>
      </c>
      <c r="AU34" s="951"/>
      <c r="AV34" s="1201">
        <f>SUM(AV30:AV33)</f>
        <v>665.60700000000008</v>
      </c>
      <c r="AW34" s="1243">
        <f t="shared" si="44"/>
        <v>23.819240490565274</v>
      </c>
      <c r="AX34" s="1271">
        <f t="shared" si="45"/>
        <v>22.613880865361978</v>
      </c>
      <c r="AY34" s="951"/>
      <c r="AZ34" s="1201">
        <f>SUM(AZ30:AZ33)</f>
        <v>715.18000000000006</v>
      </c>
      <c r="BA34" s="1243">
        <f t="shared" si="46"/>
        <v>23.406936986383865</v>
      </c>
      <c r="BB34" s="1271">
        <f t="shared" si="47"/>
        <v>7.4477882594383704</v>
      </c>
      <c r="BC34" s="951"/>
      <c r="BD34" s="1201">
        <f>SUM(BD30:BD33)</f>
        <v>734.04099999999994</v>
      </c>
      <c r="BE34" s="1243">
        <f t="shared" si="48"/>
        <v>24.559180639078498</v>
      </c>
      <c r="BF34" s="1271">
        <f t="shared" si="49"/>
        <v>2.6372381778013709</v>
      </c>
      <c r="BG34" s="1271"/>
      <c r="BH34" s="1201">
        <f>SUM(BH30:BH33)</f>
        <v>725.27800000000002</v>
      </c>
      <c r="BI34" s="1243">
        <f t="shared" si="50"/>
        <v>24.667062775548771</v>
      </c>
      <c r="BJ34" s="1271">
        <f t="shared" si="51"/>
        <v>-1.1938025260169294</v>
      </c>
      <c r="BK34" s="1271"/>
      <c r="BL34" s="1201">
        <f>SUM(BL30:BL33)</f>
        <v>702.92399999999998</v>
      </c>
      <c r="BM34" s="1243">
        <f t="shared" si="52"/>
        <v>23.866004548272603</v>
      </c>
      <c r="BN34" s="1271">
        <f t="shared" si="53"/>
        <v>-3.0821285079652316</v>
      </c>
      <c r="BO34" s="1271"/>
      <c r="BP34" s="1201">
        <f>SUM(BP30:BP33)</f>
        <v>712.58699999999999</v>
      </c>
      <c r="BQ34" s="1243">
        <f t="shared" si="54"/>
        <v>22.838851113678722</v>
      </c>
      <c r="BR34" s="1271">
        <f t="shared" si="55"/>
        <v>1.3746863103265783</v>
      </c>
      <c r="BS34" s="1271"/>
      <c r="BT34" s="1201">
        <f>SUM(BT30:BT33)</f>
        <v>828.55499999999995</v>
      </c>
      <c r="BU34" s="1243">
        <f t="shared" si="56"/>
        <v>23.837807792273555</v>
      </c>
      <c r="BV34" s="1271">
        <f t="shared" si="57"/>
        <v>16.27422335798996</v>
      </c>
      <c r="BW34" s="1271"/>
      <c r="BX34" s="1201">
        <f>SUM(BX30:BX33)</f>
        <v>788.66499999999996</v>
      </c>
      <c r="BY34" s="1243">
        <f t="shared" si="58"/>
        <v>23.856994460043282</v>
      </c>
      <c r="BZ34" s="1271">
        <f t="shared" si="59"/>
        <v>-4.8144058028736776</v>
      </c>
      <c r="CA34" s="1271"/>
      <c r="CB34" s="1201">
        <f>SUM(CB30:CB33)</f>
        <v>806.49799999999993</v>
      </c>
      <c r="CC34" s="1243">
        <f t="shared" si="60"/>
        <v>24.566880108149366</v>
      </c>
      <c r="CD34" s="1271">
        <f t="shared" si="61"/>
        <v>2.2611628511471915</v>
      </c>
      <c r="CE34" s="1271"/>
      <c r="CF34" s="1201">
        <f>SUM(CF30:CF33)</f>
        <v>834.7</v>
      </c>
      <c r="CG34" s="1243">
        <f t="shared" si="62"/>
        <v>23.700625353507593</v>
      </c>
      <c r="CH34" s="1271">
        <f t="shared" si="63"/>
        <v>3.4968468613685522</v>
      </c>
      <c r="CI34" s="1271"/>
      <c r="CJ34" s="1201">
        <f>SUM(CJ30:CJ33)</f>
        <v>857.5</v>
      </c>
      <c r="CK34" s="1243">
        <f t="shared" si="64"/>
        <v>23.754350924480555</v>
      </c>
      <c r="CL34" s="1271">
        <f t="shared" si="65"/>
        <v>2.7315203066970106</v>
      </c>
      <c r="CM34" s="1271"/>
      <c r="CN34" s="1201">
        <f>SUM(CN30:CN33)</f>
        <v>879.68499999999995</v>
      </c>
      <c r="CO34" s="1243">
        <f>CN34/CN14*100</f>
        <v>23.17675255937942</v>
      </c>
      <c r="CP34" s="1271">
        <f t="shared" si="66"/>
        <v>2.5871720116618091</v>
      </c>
      <c r="CQ34" s="1271"/>
      <c r="CR34" s="1201">
        <f>SUM(CR30:CR33)</f>
        <v>895.68117492419356</v>
      </c>
      <c r="CS34" s="1243">
        <f>CR34/CR14*100</f>
        <v>23.286635820885735</v>
      </c>
      <c r="CT34" s="1271">
        <f t="shared" si="67"/>
        <v>1.8183980543255318</v>
      </c>
      <c r="CU34" s="2124"/>
      <c r="CV34" s="1271"/>
      <c r="CW34" s="1271"/>
      <c r="CX34" s="1271"/>
      <c r="CY34" s="1271"/>
      <c r="CZ34" s="1271"/>
      <c r="DA34" s="1271"/>
      <c r="DB34" s="1270"/>
      <c r="DC34" s="1280"/>
      <c r="DD34" s="1281"/>
      <c r="DE34" s="1282"/>
      <c r="DF34" s="1270"/>
      <c r="DG34" s="1270"/>
      <c r="DH34" s="164">
        <v>24.2</v>
      </c>
      <c r="DI34" s="951"/>
      <c r="DJ34" s="245">
        <f>+(DJ30*DJ10+DJ31*DJ11+DJ32*DJ12+DJ33*DJ13)/DJ14</f>
        <v>28.61210526315789</v>
      </c>
      <c r="DK34" s="951"/>
      <c r="DL34" s="1226"/>
      <c r="DM34" s="951"/>
      <c r="DN34" s="245">
        <f>+(DN30*DN10+DN31*DN11+DN32*DN12+DN33*DN13)/DN14</f>
        <v>24.762132138001302</v>
      </c>
      <c r="DO34" s="951"/>
      <c r="DP34" s="245" t="s">
        <v>69</v>
      </c>
      <c r="DQ34" s="951"/>
      <c r="DR34" s="1226"/>
      <c r="DS34" s="951"/>
      <c r="DT34" s="951"/>
      <c r="DU34" s="951"/>
      <c r="DV34" s="951"/>
      <c r="DW34" s="951"/>
      <c r="DX34" s="951"/>
      <c r="DY34" s="951"/>
    </row>
    <row r="35" spans="1:129" ht="12.75" hidden="1" customHeight="1" outlineLevel="3">
      <c r="A35" s="1167" t="s">
        <v>769</v>
      </c>
      <c r="B35" s="951"/>
      <c r="C35" s="1226">
        <f>C30+C31</f>
        <v>34.846499999999999</v>
      </c>
      <c r="D35" s="1241">
        <f t="shared" si="27"/>
        <v>30.633208502558151</v>
      </c>
      <c r="E35" s="1269"/>
      <c r="F35" s="951"/>
      <c r="G35" s="1226">
        <f>G30+G31</f>
        <v>36.704000000000008</v>
      </c>
      <c r="H35" s="1242">
        <f t="shared" si="28"/>
        <v>29.44493915108341</v>
      </c>
      <c r="I35" s="1270">
        <f>(G35/C35-1)*100</f>
        <v>5.3305209992395408</v>
      </c>
      <c r="J35" s="951"/>
      <c r="K35" s="1226">
        <f>K30+K31</f>
        <v>40.382999999999996</v>
      </c>
      <c r="L35" s="1242">
        <f t="shared" si="29"/>
        <v>27.450700491465629</v>
      </c>
      <c r="M35" s="1270">
        <f>(K35/G35-1)*100</f>
        <v>10.023430688753244</v>
      </c>
      <c r="N35" s="951"/>
      <c r="O35" s="1226">
        <f>O30+O31</f>
        <v>58.004999999999995</v>
      </c>
      <c r="P35" s="1242">
        <f t="shared" si="30"/>
        <v>25.731396251524895</v>
      </c>
      <c r="Q35" s="1270">
        <f>(O35/K35-1)*100</f>
        <v>43.637174058390912</v>
      </c>
      <c r="R35" s="951"/>
      <c r="S35" s="1226">
        <f>S30+S31</f>
        <v>79.800999999999988</v>
      </c>
      <c r="T35" s="1242">
        <f t="shared" si="31"/>
        <v>24.631002574185302</v>
      </c>
      <c r="U35" s="1270">
        <f>(S35/O35-1)*100</f>
        <v>37.576071028359607</v>
      </c>
      <c r="V35" s="951"/>
      <c r="W35" s="1226">
        <f>W30+W31</f>
        <v>101.723</v>
      </c>
      <c r="X35" s="1242">
        <f t="shared" si="32"/>
        <v>26.28664309931365</v>
      </c>
      <c r="Y35" s="1270">
        <f t="shared" si="33"/>
        <v>27.470833698825857</v>
      </c>
      <c r="Z35" s="1270"/>
      <c r="AA35" s="951"/>
      <c r="AB35" s="1226">
        <f>AB30+AB31</f>
        <v>144.899</v>
      </c>
      <c r="AC35" s="1242">
        <f t="shared" si="34"/>
        <v>26.638783689377505</v>
      </c>
      <c r="AD35" s="1270">
        <f t="shared" si="35"/>
        <v>42.444678194705233</v>
      </c>
      <c r="AE35" s="951"/>
      <c r="AF35" s="1226">
        <f>AF30+AF31</f>
        <v>159.29300000000001</v>
      </c>
      <c r="AG35" s="1242">
        <f t="shared" si="36"/>
        <v>26.678088672953798</v>
      </c>
      <c r="AH35" s="1270">
        <f t="shared" si="37"/>
        <v>9.9338159683641791</v>
      </c>
      <c r="AI35" s="951"/>
      <c r="AJ35" s="1226">
        <f>AJ30+AJ31</f>
        <v>167.68199999999999</v>
      </c>
      <c r="AK35" s="1242">
        <f t="shared" si="38"/>
        <v>26.662193339937318</v>
      </c>
      <c r="AL35" s="1270">
        <f t="shared" si="39"/>
        <v>5.2663958868248928</v>
      </c>
      <c r="AM35" s="951"/>
      <c r="AN35" s="1226">
        <f>AN30+AN31</f>
        <v>184.80099999999999</v>
      </c>
      <c r="AO35" s="1242">
        <f t="shared" si="40"/>
        <v>25.397591090001537</v>
      </c>
      <c r="AP35" s="1270">
        <f t="shared" si="41"/>
        <v>10.209205519972331</v>
      </c>
      <c r="AQ35" s="951"/>
      <c r="AR35" s="1226">
        <f>AR30+AR31</f>
        <v>240.863</v>
      </c>
      <c r="AS35" s="1242">
        <f t="shared" si="42"/>
        <v>24.771351732152684</v>
      </c>
      <c r="AT35" s="1270">
        <f t="shared" si="43"/>
        <v>30.336415928485238</v>
      </c>
      <c r="AU35" s="951"/>
      <c r="AV35" s="1166">
        <f>AV30+AV31</f>
        <v>277.44100000000003</v>
      </c>
      <c r="AW35" s="1243">
        <f t="shared" si="44"/>
        <v>24.666816032661369</v>
      </c>
      <c r="AX35" s="1271">
        <f t="shared" si="45"/>
        <v>15.186226194973917</v>
      </c>
      <c r="AY35" s="951"/>
      <c r="AZ35" s="1166">
        <f>AZ30+AZ31</f>
        <v>323.375</v>
      </c>
      <c r="BA35" s="1243">
        <f t="shared" si="46"/>
        <v>24.580506622579485</v>
      </c>
      <c r="BB35" s="1271">
        <f t="shared" si="47"/>
        <v>16.556312873728096</v>
      </c>
      <c r="BC35" s="951"/>
      <c r="BD35" s="1166">
        <f>BD30+BD31</f>
        <v>337.536</v>
      </c>
      <c r="BE35" s="1243">
        <f t="shared" si="48"/>
        <v>25.395506941826788</v>
      </c>
      <c r="BF35" s="1271">
        <f t="shared" si="49"/>
        <v>4.3791264012369435</v>
      </c>
      <c r="BG35" s="1271"/>
      <c r="BH35" s="1166">
        <f>BH30+BH31</f>
        <v>312.64600000000002</v>
      </c>
      <c r="BI35" s="1243">
        <f t="shared" si="50"/>
        <v>25.042191406009085</v>
      </c>
      <c r="BJ35" s="1271">
        <f t="shared" si="51"/>
        <v>-7.3740282518012901</v>
      </c>
      <c r="BK35" s="1271"/>
      <c r="BL35" s="1166">
        <f>BL30+BL31</f>
        <v>330.80799999999999</v>
      </c>
      <c r="BM35" s="1243">
        <f t="shared" si="52"/>
        <v>25.567506865111479</v>
      </c>
      <c r="BN35" s="1271">
        <f t="shared" si="53"/>
        <v>5.809125976343843</v>
      </c>
      <c r="BO35" s="1271"/>
      <c r="BP35" s="1166">
        <f>BP30+BP31</f>
        <v>318.36500000000001</v>
      </c>
      <c r="BQ35" s="1243">
        <f t="shared" si="54"/>
        <v>25.024681576225195</v>
      </c>
      <c r="BR35" s="1271">
        <f t="shared" si="55"/>
        <v>-3.7613963386616933</v>
      </c>
      <c r="BS35" s="1271"/>
      <c r="BT35" s="1166">
        <f>BT30+BT31</f>
        <v>356.29700000000003</v>
      </c>
      <c r="BU35" s="1243">
        <f t="shared" si="56"/>
        <v>24.599775610598083</v>
      </c>
      <c r="BV35" s="1271">
        <f t="shared" si="57"/>
        <v>11.914626293719488</v>
      </c>
      <c r="BW35" s="1271"/>
      <c r="BX35" s="1166">
        <f>BX30+BX31</f>
        <v>367.077</v>
      </c>
      <c r="BY35" s="1243">
        <f t="shared" si="58"/>
        <v>26.093233531657177</v>
      </c>
      <c r="BZ35" s="1271">
        <f t="shared" si="59"/>
        <v>3.0255657499220989</v>
      </c>
      <c r="CA35" s="1271"/>
      <c r="CB35" s="1166">
        <f>CB30+CB31</f>
        <v>375.13599999999997</v>
      </c>
      <c r="CC35" s="1243">
        <f t="shared" si="60"/>
        <v>27.650133704423297</v>
      </c>
      <c r="CD35" s="1271">
        <f t="shared" si="61"/>
        <v>2.1954521803327243</v>
      </c>
      <c r="CE35" s="1271"/>
      <c r="CF35" s="1166">
        <f>CF30+CF31</f>
        <v>380.88200000000001</v>
      </c>
      <c r="CG35" s="1243">
        <f t="shared" si="62"/>
        <v>25.443903195034167</v>
      </c>
      <c r="CH35" s="1271">
        <f t="shared" si="63"/>
        <v>1.5317111660837712</v>
      </c>
      <c r="CI35" s="1271"/>
      <c r="CJ35" s="1166">
        <f>CJ30+CJ31</f>
        <v>395.529</v>
      </c>
      <c r="CK35" s="1243">
        <f t="shared" si="64"/>
        <v>25.160717807138628</v>
      </c>
      <c r="CL35" s="1271">
        <f t="shared" si="65"/>
        <v>3.8455479649865287</v>
      </c>
      <c r="CM35" s="1271"/>
      <c r="CN35" s="1166">
        <f>CN30+CN31</f>
        <v>398.69600000000003</v>
      </c>
      <c r="CO35" s="1243">
        <f>CN35/CN15*100</f>
        <v>24.819331259536117</v>
      </c>
      <c r="CP35" s="1271">
        <f t="shared" si="66"/>
        <v>0.80069982226336212</v>
      </c>
      <c r="CQ35" s="1271"/>
      <c r="CR35" s="2150">
        <f>CR30+CR31</f>
        <v>413.41889858047728</v>
      </c>
      <c r="CS35" s="2151">
        <f>CR35/CR15*100</f>
        <v>24.040034054240255</v>
      </c>
      <c r="CT35" s="2152">
        <f t="shared" si="67"/>
        <v>3.6927630526710109</v>
      </c>
      <c r="CU35" s="1271"/>
      <c r="CV35" s="1271"/>
      <c r="CW35" s="1271"/>
      <c r="CX35" s="1271"/>
      <c r="CY35" s="1271"/>
      <c r="CZ35" s="1271"/>
      <c r="DA35" s="1271"/>
      <c r="DB35" s="1270"/>
      <c r="DC35" s="1270"/>
      <c r="DD35" s="1270"/>
      <c r="DE35" s="1270"/>
      <c r="DF35" s="1270"/>
      <c r="DG35" s="1270"/>
      <c r="DH35" s="951"/>
      <c r="DI35" s="951"/>
      <c r="DJ35" s="1226"/>
      <c r="DK35" s="951"/>
      <c r="DL35" s="951"/>
      <c r="DM35" s="951"/>
      <c r="DN35" s="951"/>
      <c r="DO35" s="951"/>
      <c r="DP35" s="1226"/>
      <c r="DQ35" s="951"/>
      <c r="DR35" s="951"/>
      <c r="DS35" s="951"/>
      <c r="DT35" s="951"/>
      <c r="DU35" s="951"/>
      <c r="DV35" s="951"/>
      <c r="DW35" s="951"/>
      <c r="DX35" s="951"/>
      <c r="DY35" s="951"/>
    </row>
    <row r="36" spans="1:129" ht="12.75" hidden="1" customHeight="1" outlineLevel="3">
      <c r="A36" s="1167" t="s">
        <v>770</v>
      </c>
      <c r="B36" s="951"/>
      <c r="C36" s="1226">
        <f>C35+C32</f>
        <v>56.031750000000002</v>
      </c>
      <c r="D36" s="1241">
        <f t="shared" si="27"/>
        <v>28.066535095848007</v>
      </c>
      <c r="E36" s="1269"/>
      <c r="F36" s="951"/>
      <c r="G36" s="1226">
        <f>G35+G32</f>
        <v>57.778000000000006</v>
      </c>
      <c r="H36" s="1242">
        <f t="shared" si="28"/>
        <v>28.392277111926838</v>
      </c>
      <c r="I36" s="1270">
        <f>(G36/C36-1)*100</f>
        <v>3.1165366064775935</v>
      </c>
      <c r="J36" s="951"/>
      <c r="K36" s="1226">
        <f>K35+K32</f>
        <v>67.108999999999995</v>
      </c>
      <c r="L36" s="1242">
        <f t="shared" si="29"/>
        <v>26.629181827921578</v>
      </c>
      <c r="M36" s="1270">
        <f>(K36/G36-1)*100</f>
        <v>16.149745577901609</v>
      </c>
      <c r="N36" s="951"/>
      <c r="O36" s="1226">
        <f>O35+O32</f>
        <v>94.191000000000003</v>
      </c>
      <c r="P36" s="1242">
        <f t="shared" si="30"/>
        <v>25.151604969919326</v>
      </c>
      <c r="Q36" s="1270">
        <f>(O36/K36-1)*100</f>
        <v>40.355242962940906</v>
      </c>
      <c r="R36" s="951"/>
      <c r="S36" s="1226">
        <f>S35+S32</f>
        <v>133.50899999999999</v>
      </c>
      <c r="T36" s="1242">
        <f t="shared" si="31"/>
        <v>24.421827068535649</v>
      </c>
      <c r="U36" s="1270">
        <f>(S36/O36-1)*100</f>
        <v>41.74284167277127</v>
      </c>
      <c r="V36" s="951"/>
      <c r="W36" s="1226">
        <f>W35+W32</f>
        <v>169.36700000000002</v>
      </c>
      <c r="X36" s="1242">
        <f t="shared" si="32"/>
        <v>25.288356877190211</v>
      </c>
      <c r="Y36" s="1270">
        <f t="shared" si="33"/>
        <v>26.858114434232917</v>
      </c>
      <c r="Z36" s="1270"/>
      <c r="AA36" s="951"/>
      <c r="AB36" s="1226">
        <f>AB35+AB32</f>
        <v>233.50900000000001</v>
      </c>
      <c r="AC36" s="1242">
        <f t="shared" si="34"/>
        <v>25.728212569648051</v>
      </c>
      <c r="AD36" s="1270">
        <f t="shared" si="35"/>
        <v>37.871604267655435</v>
      </c>
      <c r="AE36" s="951"/>
      <c r="AF36" s="1226">
        <f>AF35+AF32</f>
        <v>249.13800000000001</v>
      </c>
      <c r="AG36" s="1242">
        <f t="shared" si="36"/>
        <v>25.642376853539623</v>
      </c>
      <c r="AH36" s="1270">
        <f t="shared" si="37"/>
        <v>6.6931039060592834</v>
      </c>
      <c r="AI36" s="951"/>
      <c r="AJ36" s="1226">
        <f>AJ35+AJ32</f>
        <v>266.41399999999999</v>
      </c>
      <c r="AK36" s="1242">
        <f t="shared" si="38"/>
        <v>26.569317441780449</v>
      </c>
      <c r="AL36" s="1270">
        <f t="shared" si="39"/>
        <v>6.9343094991530796</v>
      </c>
      <c r="AM36" s="951"/>
      <c r="AN36" s="1226">
        <f>AN35+AN32</f>
        <v>304.44299999999998</v>
      </c>
      <c r="AO36" s="1242">
        <f t="shared" si="40"/>
        <v>25.218581249270009</v>
      </c>
      <c r="AP36" s="1270">
        <f t="shared" si="41"/>
        <v>14.274399993994313</v>
      </c>
      <c r="AQ36" s="951"/>
      <c r="AR36" s="1226">
        <f>AR35+AR32</f>
        <v>378.64599999999996</v>
      </c>
      <c r="AS36" s="1242">
        <f t="shared" si="42"/>
        <v>24.383279712948482</v>
      </c>
      <c r="AT36" s="1270">
        <f t="shared" si="43"/>
        <v>24.373363815229766</v>
      </c>
      <c r="AU36" s="951"/>
      <c r="AV36" s="1166">
        <f>AV35+AV32</f>
        <v>447.87200000000007</v>
      </c>
      <c r="AW36" s="1243">
        <f t="shared" si="44"/>
        <v>24.594243741502133</v>
      </c>
      <c r="AX36" s="1271">
        <f t="shared" si="45"/>
        <v>18.282511897656416</v>
      </c>
      <c r="AY36" s="951"/>
      <c r="AZ36" s="1166">
        <f>AZ35+AZ32</f>
        <v>497.536</v>
      </c>
      <c r="BA36" s="1243">
        <f t="shared" si="46"/>
        <v>24.152021972623537</v>
      </c>
      <c r="BB36" s="1271">
        <f t="shared" si="47"/>
        <v>11.088882537867949</v>
      </c>
      <c r="BC36" s="951"/>
      <c r="BD36" s="1166">
        <f>BD35+BD32</f>
        <v>519.25099999999998</v>
      </c>
      <c r="BE36" s="1243">
        <f t="shared" si="48"/>
        <v>24.926205612357801</v>
      </c>
      <c r="BF36" s="1271">
        <f t="shared" si="49"/>
        <v>4.3645082968870597</v>
      </c>
      <c r="BG36" s="1271"/>
      <c r="BH36" s="1166">
        <f>BH35+BH32</f>
        <v>497.59400000000005</v>
      </c>
      <c r="BI36" s="1243">
        <f t="shared" si="50"/>
        <v>25.074175303655156</v>
      </c>
      <c r="BJ36" s="1271">
        <f t="shared" si="51"/>
        <v>-4.1708152704568509</v>
      </c>
      <c r="BK36" s="1271"/>
      <c r="BL36" s="1166">
        <f>BL35+BL32</f>
        <v>512.34900000000005</v>
      </c>
      <c r="BM36" s="1243">
        <f t="shared" si="52"/>
        <v>25.131038745088812</v>
      </c>
      <c r="BN36" s="1271">
        <f t="shared" si="53"/>
        <v>2.9652688738208255</v>
      </c>
      <c r="BO36" s="1271"/>
      <c r="BP36" s="1166">
        <f>BP35+BP32</f>
        <v>504.05200000000002</v>
      </c>
      <c r="BQ36" s="1243">
        <f t="shared" si="54"/>
        <v>24.098606680075711</v>
      </c>
      <c r="BR36" s="1271">
        <f t="shared" si="55"/>
        <v>-1.6194039609719213</v>
      </c>
      <c r="BS36" s="1271"/>
      <c r="BT36" s="1166">
        <f>BT35+BT32</f>
        <v>575.42499999999995</v>
      </c>
      <c r="BU36" s="1243">
        <f t="shared" si="56"/>
        <v>24.395346855472965</v>
      </c>
      <c r="BV36" s="1271">
        <f t="shared" si="57"/>
        <v>14.159848587050528</v>
      </c>
      <c r="BW36" s="1271"/>
      <c r="BX36" s="1166">
        <f>BX35+BX32</f>
        <v>572.80200000000002</v>
      </c>
      <c r="BY36" s="1243">
        <f t="shared" si="58"/>
        <v>25.299380105516779</v>
      </c>
      <c r="BZ36" s="1271">
        <f t="shared" si="59"/>
        <v>-0.45583699005081746</v>
      </c>
      <c r="CA36" s="1271"/>
      <c r="CB36" s="1166">
        <f>CB35+CB32</f>
        <v>579.77699999999993</v>
      </c>
      <c r="CC36" s="1243">
        <f t="shared" si="60"/>
        <v>26.222222021208363</v>
      </c>
      <c r="CD36" s="1271">
        <f t="shared" si="61"/>
        <v>1.2176982622267296</v>
      </c>
      <c r="CE36" s="1271"/>
      <c r="CF36" s="1166">
        <f>CF35+CF32</f>
        <v>601.68000000000006</v>
      </c>
      <c r="CG36" s="1243">
        <f t="shared" si="62"/>
        <v>24.903767352919267</v>
      </c>
      <c r="CH36" s="1271">
        <f t="shared" si="63"/>
        <v>3.7778318215452078</v>
      </c>
      <c r="CI36" s="1271"/>
      <c r="CJ36" s="1166">
        <f>CJ35+CJ32</f>
        <v>615.44100000000003</v>
      </c>
      <c r="CK36" s="1243">
        <f t="shared" si="64"/>
        <v>24.494004065081096</v>
      </c>
      <c r="CL36" s="1271">
        <f t="shared" si="65"/>
        <v>2.2870961308336657</v>
      </c>
      <c r="CM36" s="1271"/>
      <c r="CN36" s="1166">
        <f>CN35+CN32</f>
        <v>615.84199999999998</v>
      </c>
      <c r="CO36" s="1243">
        <f>CN36/CN16*100</f>
        <v>23.992354760314878</v>
      </c>
      <c r="CP36" s="1271">
        <f t="shared" si="66"/>
        <v>6.5156530032917104E-2</v>
      </c>
      <c r="CQ36" s="1271"/>
      <c r="CR36" s="2150">
        <f>CR35+CR32</f>
        <v>639.10670872644459</v>
      </c>
      <c r="CS36" s="2151">
        <f>CR36/CR16*100</f>
        <v>23.846519774927678</v>
      </c>
      <c r="CT36" s="2152">
        <f t="shared" si="67"/>
        <v>3.7777073870318478</v>
      </c>
      <c r="CU36" s="1158"/>
      <c r="CV36" s="1271"/>
      <c r="CW36" s="1158"/>
      <c r="CX36" s="1158"/>
      <c r="CY36" s="1271"/>
      <c r="CZ36" s="1271"/>
      <c r="DA36" s="1271"/>
      <c r="DB36" s="1270"/>
      <c r="DC36" s="1270"/>
      <c r="DD36" s="1270"/>
      <c r="DE36" s="1270"/>
      <c r="DF36" s="1270"/>
      <c r="DG36" s="1270"/>
      <c r="DH36" s="951"/>
      <c r="DI36" s="951"/>
      <c r="DJ36" s="951"/>
      <c r="DK36" s="951"/>
      <c r="DL36" s="951"/>
      <c r="DM36" s="951"/>
      <c r="DN36" s="951"/>
      <c r="DO36" s="951"/>
      <c r="DP36" s="951"/>
      <c r="DQ36" s="951"/>
      <c r="DR36" s="951"/>
      <c r="DS36" s="951"/>
      <c r="DT36" s="951"/>
      <c r="DU36" s="951"/>
      <c r="DV36" s="951"/>
      <c r="DW36" s="951"/>
      <c r="DX36" s="951"/>
      <c r="DY36" s="951"/>
    </row>
    <row r="37" spans="1:129" ht="12.75" hidden="1" customHeight="1" outlineLevel="3" collapsed="1">
      <c r="A37" s="951" t="s">
        <v>428</v>
      </c>
      <c r="B37" s="951"/>
      <c r="C37" s="951"/>
      <c r="D37" s="951"/>
      <c r="E37" s="951"/>
      <c r="F37" s="951"/>
      <c r="G37" s="951"/>
      <c r="H37" s="951"/>
      <c r="I37" s="951"/>
      <c r="J37" s="951"/>
      <c r="K37" s="951"/>
      <c r="L37" s="951"/>
      <c r="M37" s="951"/>
      <c r="N37" s="951"/>
      <c r="O37" s="951"/>
      <c r="P37" s="951"/>
      <c r="Q37" s="951"/>
      <c r="R37" s="951"/>
      <c r="S37" s="951"/>
      <c r="T37" s="951"/>
      <c r="U37" s="951"/>
      <c r="V37" s="951"/>
      <c r="W37" s="951"/>
      <c r="X37" s="951"/>
      <c r="Y37" s="951"/>
      <c r="Z37" s="951"/>
      <c r="AA37" s="951"/>
      <c r="AB37" s="951"/>
      <c r="AC37" s="1255"/>
      <c r="AD37" s="951"/>
      <c r="AE37" s="951"/>
      <c r="AF37" s="951"/>
      <c r="AG37" s="1255"/>
      <c r="AH37" s="951"/>
      <c r="AI37" s="951"/>
      <c r="AJ37" s="951"/>
      <c r="AK37" s="1255"/>
      <c r="AL37" s="951"/>
      <c r="AM37" s="951"/>
      <c r="AN37" s="951"/>
      <c r="AO37" s="1255"/>
      <c r="AP37" s="951"/>
      <c r="AQ37" s="951"/>
      <c r="AR37" s="951"/>
      <c r="AS37" s="1255"/>
      <c r="AT37" s="951"/>
      <c r="AU37" s="951"/>
      <c r="AV37" s="1228"/>
      <c r="AW37" s="1257"/>
      <c r="AX37" s="1158"/>
      <c r="AY37" s="951"/>
      <c r="AZ37" s="1158"/>
      <c r="BA37" s="1257"/>
      <c r="BB37" s="1158"/>
      <c r="BC37" s="951"/>
      <c r="BD37" s="1158"/>
      <c r="BE37" s="1257"/>
      <c r="BF37" s="1158"/>
      <c r="BG37" s="1158"/>
      <c r="BH37" s="1158"/>
      <c r="BI37" s="1257"/>
      <c r="BJ37" s="1158"/>
      <c r="BK37" s="1158"/>
      <c r="BL37" s="1158"/>
      <c r="BM37" s="1257"/>
      <c r="BN37" s="1271"/>
      <c r="BO37" s="1158"/>
      <c r="BP37" s="1158">
        <f>SUM(BP32:BP33)</f>
        <v>394.22199999999998</v>
      </c>
      <c r="BQ37" s="1243">
        <f>BP37/BP16*100</f>
        <v>18.847660405340733</v>
      </c>
      <c r="BR37" s="1158"/>
      <c r="BS37" s="1158"/>
      <c r="BT37" s="1158">
        <f>SUM(BT32:BT33)</f>
        <v>472.25799999999998</v>
      </c>
      <c r="BU37" s="1243">
        <f>BT37/BT16*100</f>
        <v>20.02154531915011</v>
      </c>
      <c r="BV37" s="1271">
        <f>(BT37/BP37-1)*100</f>
        <v>19.79493787764255</v>
      </c>
      <c r="BW37" s="1271"/>
      <c r="BX37" s="1158">
        <f>SUM(BX32:BX33)</f>
        <v>421.58799999999997</v>
      </c>
      <c r="BY37" s="1243">
        <f>BX37/BX16*100</f>
        <v>18.620596750578045</v>
      </c>
      <c r="BZ37" s="1271">
        <f>(BX37/BT37-1)*100</f>
        <v>-10.729304744440537</v>
      </c>
      <c r="CA37" s="1158"/>
      <c r="CB37" s="1158">
        <f>SUM(CB32:CB33)</f>
        <v>431.36199999999997</v>
      </c>
      <c r="CC37" s="1243">
        <f>CB37/CB16*100</f>
        <v>19.509691028641154</v>
      </c>
      <c r="CD37" s="1271">
        <f t="shared" si="61"/>
        <v>2.3183771834113021</v>
      </c>
      <c r="CE37" s="1158"/>
      <c r="CF37" s="1158">
        <f>SUM(CF32:CF33)</f>
        <v>453.81799999999998</v>
      </c>
      <c r="CG37" s="1243">
        <f>CF37/CF16*100</f>
        <v>18.78370212167118</v>
      </c>
      <c r="CH37" s="1271">
        <f t="shared" si="63"/>
        <v>5.2058363972719013</v>
      </c>
      <c r="CI37" s="1158"/>
      <c r="CJ37" s="1158">
        <f>SUM(CJ32:CJ33)</f>
        <v>461.971</v>
      </c>
      <c r="CK37" s="1243">
        <f>CJ37/CJ16*100</f>
        <v>18.386034651493123</v>
      </c>
      <c r="CL37" s="1271">
        <f t="shared" si="65"/>
        <v>1.7965351748939096</v>
      </c>
      <c r="CM37" s="1158"/>
      <c r="CN37" s="1158">
        <f>SUM(CN32:CN33)</f>
        <v>480.98900000000003</v>
      </c>
      <c r="CO37" s="1243">
        <f>CN37/CN16*100</f>
        <v>18.738667911264731</v>
      </c>
      <c r="CP37" s="1271">
        <f t="shared" si="66"/>
        <v>4.1167086245673445</v>
      </c>
      <c r="CQ37" s="1271"/>
      <c r="CR37" s="2153">
        <f>SUM(CR32:CR33)</f>
        <v>482.26227634371617</v>
      </c>
      <c r="CS37" s="2151">
        <f>CR37/CR16*100</f>
        <v>17.994298530285814</v>
      </c>
      <c r="CT37" s="2152">
        <f t="shared" si="67"/>
        <v>0.26472047047150227</v>
      </c>
      <c r="CU37" s="1185"/>
      <c r="CV37" s="1158"/>
      <c r="CW37" s="1185"/>
      <c r="CX37" s="1185"/>
      <c r="CY37" s="1158"/>
      <c r="CZ37" s="1158"/>
      <c r="DA37" s="1158"/>
      <c r="DB37" s="951"/>
      <c r="DC37" s="951"/>
      <c r="DD37" s="951"/>
      <c r="DE37" s="951"/>
      <c r="DF37" s="951"/>
      <c r="DG37" s="951"/>
      <c r="DH37" s="951"/>
      <c r="DI37" s="951"/>
      <c r="DJ37" s="951"/>
      <c r="DK37" s="951"/>
      <c r="DL37" s="951"/>
      <c r="DM37" s="951"/>
      <c r="DN37" s="951"/>
      <c r="DO37" s="951"/>
      <c r="DP37" s="951"/>
      <c r="DQ37" s="951"/>
      <c r="DR37" s="951"/>
      <c r="DS37" s="951"/>
      <c r="DT37" s="951"/>
      <c r="DU37" s="951"/>
      <c r="DV37" s="951"/>
      <c r="DW37" s="951"/>
      <c r="DX37" s="951"/>
      <c r="DY37" s="951"/>
    </row>
    <row r="38" spans="1:129" ht="12.75" hidden="1" customHeight="1" outlineLevel="3">
      <c r="A38" s="1259"/>
      <c r="B38" s="1181"/>
      <c r="C38" s="1181"/>
      <c r="D38" s="1181"/>
      <c r="E38" s="1181"/>
      <c r="F38" s="1181"/>
      <c r="G38" s="1182"/>
      <c r="H38" s="1182"/>
      <c r="I38" s="1182"/>
      <c r="J38" s="1182"/>
      <c r="K38" s="1182"/>
      <c r="L38" s="1182"/>
      <c r="M38" s="1182"/>
      <c r="N38" s="1182"/>
      <c r="O38" s="1182"/>
      <c r="P38" s="1182"/>
      <c r="Q38" s="1182"/>
      <c r="R38" s="1182"/>
      <c r="S38" s="1259"/>
      <c r="T38" s="1182"/>
      <c r="U38" s="1182"/>
      <c r="V38" s="1182"/>
      <c r="W38" s="1259"/>
      <c r="X38" s="1182"/>
      <c r="Y38" s="1182"/>
      <c r="Z38" s="1182"/>
      <c r="AA38" s="1183"/>
      <c r="AB38" s="1182"/>
      <c r="AC38" s="1183"/>
      <c r="AD38" s="1183"/>
      <c r="AE38" s="1183"/>
      <c r="AF38" s="1182" t="s">
        <v>657</v>
      </c>
      <c r="AG38" s="1183"/>
      <c r="AH38" s="1183"/>
      <c r="AI38" s="1183"/>
      <c r="AJ38" s="1184"/>
      <c r="AK38" s="1183"/>
      <c r="AL38" s="1183"/>
      <c r="AM38" s="1183"/>
      <c r="AN38" s="1184"/>
      <c r="AO38" s="1183"/>
      <c r="AP38" s="1183"/>
      <c r="AQ38" s="1183"/>
      <c r="AR38" s="1184"/>
      <c r="AS38" s="1183"/>
      <c r="AT38" s="1183"/>
      <c r="AU38" s="1183"/>
      <c r="AV38" s="1186"/>
      <c r="AW38" s="1185"/>
      <c r="AX38" s="1185"/>
      <c r="AY38" s="1183"/>
      <c r="AZ38" s="1186"/>
      <c r="BA38" s="1185"/>
      <c r="BB38" s="1185"/>
      <c r="BC38" s="1183"/>
      <c r="BD38" s="1186"/>
      <c r="BE38" s="1185"/>
      <c r="BF38" s="1185"/>
      <c r="BG38" s="1185"/>
      <c r="BH38" s="1186"/>
      <c r="BI38" s="1185"/>
      <c r="BJ38" s="1185"/>
      <c r="BK38" s="1185"/>
      <c r="BL38" s="1186"/>
      <c r="BM38" s="1185"/>
      <c r="BN38" s="1185"/>
      <c r="BO38" s="1185"/>
      <c r="BP38" s="1186"/>
      <c r="BQ38" s="1185"/>
      <c r="BR38" s="1185"/>
      <c r="BS38" s="1185"/>
      <c r="BT38" s="1186"/>
      <c r="BU38" s="1185"/>
      <c r="BV38" s="1185"/>
      <c r="BW38" s="1185"/>
      <c r="BX38" s="1185"/>
      <c r="BY38" s="1185"/>
      <c r="BZ38" s="1185"/>
      <c r="CA38" s="1185"/>
      <c r="CB38" s="1185"/>
      <c r="CC38" s="1185"/>
      <c r="CD38" s="1185"/>
      <c r="CE38" s="1185"/>
      <c r="CF38" s="1185"/>
      <c r="CG38" s="1185"/>
      <c r="CH38" s="1185"/>
      <c r="CI38" s="1185"/>
      <c r="CJ38" s="1185"/>
      <c r="CK38" s="1185"/>
      <c r="CL38" s="1185"/>
      <c r="CM38" s="1185"/>
      <c r="CN38" s="1185"/>
      <c r="CO38" s="1185"/>
      <c r="CP38" s="1185"/>
      <c r="CQ38" s="1185"/>
      <c r="CR38" s="2154"/>
      <c r="CS38" s="2154"/>
      <c r="CT38" s="2154"/>
      <c r="CU38" s="1185"/>
      <c r="CV38" s="1185"/>
      <c r="CW38" s="1185"/>
      <c r="CX38" s="1185"/>
      <c r="CY38" s="1185"/>
      <c r="CZ38" s="1185"/>
      <c r="DA38" s="1185"/>
      <c r="DB38" s="1183"/>
      <c r="DC38" s="1183"/>
      <c r="DD38" s="1183"/>
      <c r="DE38" s="1183"/>
      <c r="DF38" s="1183"/>
      <c r="DG38" s="1183"/>
      <c r="DH38" s="1259"/>
      <c r="DI38" s="1259"/>
      <c r="DJ38" s="1259"/>
      <c r="DK38" s="1259"/>
      <c r="DL38" s="1259"/>
      <c r="DM38" s="1259"/>
      <c r="DN38" s="1259"/>
      <c r="DO38" s="1259"/>
      <c r="DP38" s="1259"/>
      <c r="DQ38" s="1259"/>
      <c r="DR38" s="1259"/>
      <c r="DS38" s="1259"/>
      <c r="DT38" s="1259"/>
      <c r="DU38" s="1259"/>
      <c r="DV38" s="1259"/>
      <c r="DW38" s="1259"/>
      <c r="DX38" s="1259"/>
      <c r="DY38" s="1259"/>
    </row>
    <row r="39" spans="1:129" ht="12.75" hidden="1" customHeight="1" outlineLevel="3">
      <c r="A39" s="45"/>
      <c r="B39" s="1183"/>
      <c r="C39" s="1183"/>
      <c r="D39" s="1183"/>
      <c r="E39" s="1183"/>
      <c r="F39" s="1183"/>
      <c r="G39" s="1183"/>
      <c r="H39" s="1183"/>
      <c r="I39" s="1183"/>
      <c r="J39" s="1183"/>
      <c r="K39" s="1183"/>
      <c r="L39" s="1183"/>
      <c r="M39" s="1183"/>
      <c r="N39" s="45"/>
      <c r="O39" s="1183"/>
      <c r="P39" s="1183"/>
      <c r="Q39" s="1183"/>
      <c r="R39" s="45"/>
      <c r="S39" s="1183"/>
      <c r="T39" s="1183"/>
      <c r="U39" s="1183"/>
      <c r="V39" s="45"/>
      <c r="W39" s="1183"/>
      <c r="X39" s="1183"/>
      <c r="Y39" s="1183"/>
      <c r="Z39" s="1183"/>
      <c r="AA39" s="45"/>
      <c r="AB39" s="1183"/>
      <c r="AC39" s="1183"/>
      <c r="AD39" s="1183"/>
      <c r="AE39" s="45"/>
      <c r="AF39" s="1183"/>
      <c r="AG39" s="1183"/>
      <c r="AH39" s="1183"/>
      <c r="AI39" s="45"/>
      <c r="AJ39" s="1183"/>
      <c r="AK39" s="1183"/>
      <c r="AL39" s="1183"/>
      <c r="AM39" s="45"/>
      <c r="AN39" s="1183"/>
      <c r="AO39" s="1183"/>
      <c r="AP39" s="1183"/>
      <c r="AQ39" s="45"/>
      <c r="AR39" s="1183"/>
      <c r="AS39" s="1183"/>
      <c r="AT39" s="1183"/>
      <c r="AU39" s="45"/>
      <c r="AV39" s="1185"/>
      <c r="AW39" s="1185"/>
      <c r="AX39" s="1185"/>
      <c r="AY39" s="45"/>
      <c r="AZ39" s="1185"/>
      <c r="BA39" s="1185"/>
      <c r="BB39" s="1185"/>
      <c r="BC39" s="45"/>
      <c r="BD39" s="1185"/>
      <c r="BE39" s="1185"/>
      <c r="BF39" s="1185"/>
      <c r="BG39" s="1185"/>
      <c r="BH39" s="1185"/>
      <c r="BI39" s="1185"/>
      <c r="BJ39" s="1185"/>
      <c r="BK39" s="1185"/>
      <c r="BL39" s="1185"/>
      <c r="BM39" s="1185"/>
      <c r="BN39" s="1185"/>
      <c r="BO39" s="1185"/>
      <c r="BP39" s="1185"/>
      <c r="BQ39" s="1185"/>
      <c r="BR39" s="1185"/>
      <c r="BS39" s="1185"/>
      <c r="BT39" s="1185"/>
      <c r="BU39" s="1185"/>
      <c r="BV39" s="1185"/>
      <c r="BW39" s="1185"/>
      <c r="BX39" s="1185"/>
      <c r="BY39" s="1185"/>
      <c r="BZ39" s="1185"/>
      <c r="CA39" s="1185"/>
      <c r="CB39" s="1185"/>
      <c r="CC39" s="1185"/>
      <c r="CD39" s="1185"/>
      <c r="CE39" s="1185"/>
      <c r="CF39" s="1185"/>
      <c r="CG39" s="1185"/>
      <c r="CH39" s="1185"/>
      <c r="CI39" s="1185"/>
      <c r="CJ39" s="1185"/>
      <c r="CK39" s="1185"/>
      <c r="CL39" s="1185"/>
      <c r="CM39" s="1185"/>
      <c r="CN39" s="1185"/>
      <c r="CO39" s="1185"/>
      <c r="CP39" s="1185"/>
      <c r="CQ39" s="1185"/>
      <c r="CR39" s="2154"/>
      <c r="CS39" s="2154"/>
      <c r="CT39" s="2154"/>
      <c r="CU39" s="1271"/>
      <c r="CV39" s="1185"/>
      <c r="CW39" s="1271"/>
      <c r="CX39" s="1271"/>
      <c r="CY39" s="1185"/>
      <c r="CZ39" s="1185"/>
      <c r="DA39" s="1185"/>
      <c r="DB39" s="1183"/>
      <c r="DC39" s="1183"/>
      <c r="DD39" s="1183"/>
      <c r="DE39" s="1183"/>
      <c r="DF39" s="1183"/>
      <c r="DG39" s="1183"/>
      <c r="DH39" s="45"/>
      <c r="DI39" s="45"/>
      <c r="DJ39" s="45"/>
      <c r="DK39" s="45"/>
      <c r="DL39" s="45"/>
      <c r="DM39" s="45"/>
      <c r="DN39" s="45"/>
      <c r="DO39" s="45"/>
      <c r="DP39" s="45"/>
      <c r="DQ39" s="45"/>
      <c r="DR39" s="45"/>
      <c r="DS39" s="45"/>
      <c r="DT39" s="45"/>
      <c r="DU39" s="45"/>
      <c r="DV39" s="45"/>
      <c r="DW39" s="45"/>
      <c r="DX39" s="45"/>
      <c r="DY39" s="45"/>
    </row>
    <row r="40" spans="1:129" ht="12.75" hidden="1" customHeight="1" outlineLevel="3">
      <c r="A40" s="1167" t="s">
        <v>734</v>
      </c>
      <c r="B40" s="951"/>
      <c r="C40" s="1283"/>
      <c r="D40" s="1284"/>
      <c r="E40" s="1012"/>
      <c r="F40" s="1012"/>
      <c r="G40" s="765"/>
      <c r="H40" s="1285"/>
      <c r="I40" s="1012"/>
      <c r="J40" s="1012"/>
      <c r="K40" s="1283"/>
      <c r="L40" s="1285"/>
      <c r="M40" s="1012"/>
      <c r="N40" s="1012"/>
      <c r="O40" s="1283"/>
      <c r="P40" s="1285"/>
      <c r="Q40" s="1012"/>
      <c r="R40" s="1012"/>
      <c r="S40" s="1283"/>
      <c r="T40" s="1285"/>
      <c r="U40" s="1012"/>
      <c r="V40" s="1286"/>
      <c r="W40" s="765"/>
      <c r="X40" s="1285"/>
      <c r="Y40" s="1012"/>
      <c r="Z40" s="1012"/>
      <c r="AA40" s="1012"/>
      <c r="AB40" s="765"/>
      <c r="AC40" s="1285"/>
      <c r="AD40" s="1226"/>
      <c r="AE40" s="951"/>
      <c r="AF40" s="765"/>
      <c r="AG40" s="1285"/>
      <c r="AH40" s="1247"/>
      <c r="AI40" s="1012"/>
      <c r="AJ40" s="1287">
        <f>AJ$44/4</f>
        <v>5.5737436588535418</v>
      </c>
      <c r="AK40" s="1242">
        <f t="shared" ref="AK40:AK46" si="68">AJ40/AJ10*100</f>
        <v>1.9097450331508958</v>
      </c>
      <c r="AL40" s="1288" t="s">
        <v>235</v>
      </c>
      <c r="AM40" s="951"/>
      <c r="AN40" s="1287">
        <f>AN$44/4</f>
        <v>3.945531018097328</v>
      </c>
      <c r="AO40" s="1242">
        <f t="shared" ref="AO40:AO46" si="69">AN40/AN10*100</f>
        <v>1.1875902290874778</v>
      </c>
      <c r="AP40" s="1270">
        <f>(AN40/AJ40-1)*100</f>
        <v>-29.212190951227189</v>
      </c>
      <c r="AQ40" s="1288" t="s">
        <v>235</v>
      </c>
      <c r="AR40" s="1287">
        <f>AR$44/4</f>
        <v>4.5</v>
      </c>
      <c r="AS40" s="1242">
        <f t="shared" ref="AS40:AS46" si="70">AR40/AR10*100</f>
        <v>0.98581089518201359</v>
      </c>
      <c r="AT40" s="1270">
        <f>(AR40/AN40-1)*100</f>
        <v>14.053088908931111</v>
      </c>
      <c r="AU40" s="1288" t="s">
        <v>235</v>
      </c>
      <c r="AV40" s="1287">
        <v>3.6</v>
      </c>
      <c r="AW40" s="1242">
        <f t="shared" ref="AW40:AW46" si="71">AV40/AV10*100</f>
        <v>0.68909017127719041</v>
      </c>
      <c r="AX40" s="1270">
        <f>(AV40/AR40-1)*100</f>
        <v>-19.999999999999996</v>
      </c>
      <c r="AY40" s="1288" t="s">
        <v>235</v>
      </c>
      <c r="AZ40" s="1289">
        <f>+AV40</f>
        <v>3.6</v>
      </c>
      <c r="BA40" s="1243">
        <f t="shared" ref="BA40:BA46" si="72">AZ40/AZ10*100</f>
        <v>0.58786451682435592</v>
      </c>
      <c r="BB40" s="1271">
        <f>(AZ40/AV40-1)*100</f>
        <v>0</v>
      </c>
      <c r="BC40" s="1288" t="s">
        <v>235</v>
      </c>
      <c r="BD40" s="1289">
        <f>+AZ40</f>
        <v>3.6</v>
      </c>
      <c r="BE40" s="1243">
        <f t="shared" ref="BE40:BE46" si="73">BD40/BD10*100</f>
        <v>0.56223469550305949</v>
      </c>
      <c r="BF40" s="1271">
        <f>(BD40/AZ40-1)*100</f>
        <v>0</v>
      </c>
      <c r="BG40" s="1271"/>
      <c r="BH40" s="1289">
        <f>+BD40</f>
        <v>3.6</v>
      </c>
      <c r="BI40" s="1243">
        <f t="shared" ref="BI40:BI46" si="74">BH40/BH10*100</f>
        <v>0.59832568529066166</v>
      </c>
      <c r="BJ40" s="1271">
        <f>(BH40/BD40-1)*100</f>
        <v>0</v>
      </c>
      <c r="BK40" s="1271"/>
      <c r="BL40" s="1289">
        <f>+BH40</f>
        <v>3.6</v>
      </c>
      <c r="BM40" s="1243">
        <f t="shared" ref="BM40:BM46" si="75">BL40/BL10*100</f>
        <v>0.5580357142857143</v>
      </c>
      <c r="BN40" s="1271">
        <f>(BL40/BH40-1)*100</f>
        <v>0</v>
      </c>
      <c r="BO40" s="1271"/>
      <c r="BP40" s="1289">
        <f>+BL40</f>
        <v>3.6</v>
      </c>
      <c r="BQ40" s="1243">
        <f t="shared" ref="BQ40:BQ46" si="76">BP40/BP10*100</f>
        <v>0.59693177069860914</v>
      </c>
      <c r="BR40" s="1271">
        <f t="shared" ref="BR40:BR46" si="77">(BP40/BL40-1)*100</f>
        <v>0</v>
      </c>
      <c r="BS40" s="1271"/>
      <c r="BT40" s="1289">
        <f>+BP40</f>
        <v>3.6</v>
      </c>
      <c r="BU40" s="1243">
        <f t="shared" ref="BU40:BU46" si="78">BT40/BT10*100</f>
        <v>0.50797592758520937</v>
      </c>
      <c r="BV40" s="1271">
        <f t="shared" ref="BV40:BV46" si="79">(BT40/BP40-1)*100</f>
        <v>0</v>
      </c>
      <c r="BW40" s="1271"/>
      <c r="BX40" s="1289">
        <f>+BT40</f>
        <v>3.6</v>
      </c>
      <c r="BY40" s="1243">
        <f t="shared" ref="BY40:BY46" si="80">BX40/BX10*100</f>
        <v>0.52981925804699792</v>
      </c>
      <c r="BZ40" s="1271">
        <f>(BX40/BT40-1)*100</f>
        <v>0</v>
      </c>
      <c r="CA40" s="1271"/>
      <c r="CB40" s="1289">
        <f>+BX40</f>
        <v>3.6</v>
      </c>
      <c r="CC40" s="1243">
        <f t="shared" ref="CC40:CC46" si="81">CB40/CB10*100</f>
        <v>0.55716428143606</v>
      </c>
      <c r="CD40" s="1271">
        <f>(CB40/BX40-1)*100</f>
        <v>0</v>
      </c>
      <c r="CE40" s="1271"/>
      <c r="CF40" s="1289">
        <f>+CB40</f>
        <v>3.6</v>
      </c>
      <c r="CG40" s="1243">
        <f t="shared" ref="CG40:CG46" si="82">CF40/CF10*100</f>
        <v>0.51463860933211347</v>
      </c>
      <c r="CH40" s="1271">
        <f>(CF40/CB40-1)*100</f>
        <v>0</v>
      </c>
      <c r="CI40" s="1271"/>
      <c r="CJ40" s="1289">
        <f>+CF40</f>
        <v>3.6</v>
      </c>
      <c r="CK40" s="1243">
        <f t="shared" ref="CK40:CK46" si="83">CJ40/CJ10*100</f>
        <v>0.48037405126124871</v>
      </c>
      <c r="CL40" s="1271">
        <f>(CJ40/CF40-1)*100</f>
        <v>0</v>
      </c>
      <c r="CM40" s="1271"/>
      <c r="CN40" s="1289">
        <f>+CJ40</f>
        <v>3.6</v>
      </c>
      <c r="CO40" s="1243">
        <f t="shared" ref="CO40:CO46" si="84">CN40/CN10*100</f>
        <v>0.47254264697388942</v>
      </c>
      <c r="CP40" s="1271">
        <f>(CN40/CJ40-1)*100</f>
        <v>0</v>
      </c>
      <c r="CQ40" s="1271"/>
      <c r="CR40" s="2155">
        <f>+CN40</f>
        <v>3.6</v>
      </c>
      <c r="CS40" s="2151">
        <f t="shared" ref="CS40:CS46" si="85">CR40/CR10*100</f>
        <v>0.44538302687333953</v>
      </c>
      <c r="CT40" s="2152">
        <f>(CR40/CN40-1)*100</f>
        <v>0</v>
      </c>
      <c r="CU40" s="1271"/>
      <c r="CV40" s="1271"/>
      <c r="CW40" s="1271"/>
      <c r="CX40" s="1271"/>
      <c r="CY40" s="1271"/>
      <c r="CZ40" s="1271"/>
      <c r="DA40" s="1271"/>
      <c r="DB40" s="162"/>
      <c r="DC40" s="1290"/>
      <c r="DD40" s="1290"/>
      <c r="DE40" s="1290"/>
      <c r="DF40" s="1290"/>
      <c r="DG40" s="1290"/>
      <c r="DH40" s="951"/>
      <c r="DI40" s="951"/>
      <c r="DJ40" s="951"/>
      <c r="DK40" s="951"/>
      <c r="DL40" s="951"/>
      <c r="DM40" s="951"/>
      <c r="DN40" s="951"/>
      <c r="DO40" s="951"/>
      <c r="DP40" s="951"/>
      <c r="DQ40" s="951"/>
      <c r="DR40" s="951"/>
      <c r="DS40" s="951"/>
      <c r="DT40" s="951"/>
      <c r="DU40" s="951"/>
      <c r="DV40" s="951"/>
      <c r="DW40" s="951"/>
      <c r="DX40" s="951"/>
      <c r="DY40" s="951"/>
    </row>
    <row r="41" spans="1:129" ht="12.75" hidden="1" customHeight="1" outlineLevel="3">
      <c r="A41" s="1167" t="s">
        <v>735</v>
      </c>
      <c r="B41" s="951"/>
      <c r="C41" s="1247"/>
      <c r="D41" s="1284"/>
      <c r="E41" s="1012"/>
      <c r="F41" s="1012"/>
      <c r="G41" s="169"/>
      <c r="H41" s="1285"/>
      <c r="I41" s="1012"/>
      <c r="J41" s="1012"/>
      <c r="K41" s="1247"/>
      <c r="L41" s="1285"/>
      <c r="M41" s="1012"/>
      <c r="N41" s="1012"/>
      <c r="O41" s="1247"/>
      <c r="P41" s="1285"/>
      <c r="Q41" s="1012"/>
      <c r="R41" s="1012"/>
      <c r="S41" s="1247"/>
      <c r="T41" s="1285"/>
      <c r="U41" s="1012"/>
      <c r="V41" s="1012"/>
      <c r="W41" s="169"/>
      <c r="X41" s="1285"/>
      <c r="Y41" s="1247"/>
      <c r="Z41" s="1012"/>
      <c r="AA41" s="1012"/>
      <c r="AB41" s="169"/>
      <c r="AC41" s="1285"/>
      <c r="AD41" s="1291"/>
      <c r="AE41" s="951"/>
      <c r="AF41" s="169"/>
      <c r="AG41" s="1285"/>
      <c r="AH41" s="1292"/>
      <c r="AI41" s="1012"/>
      <c r="AJ41" s="1293">
        <f>AJ$44/4</f>
        <v>5.5737436588535418</v>
      </c>
      <c r="AK41" s="1242">
        <f t="shared" si="68"/>
        <v>1.6536599839354233</v>
      </c>
      <c r="AL41" s="1288" t="s">
        <v>235</v>
      </c>
      <c r="AM41" s="951"/>
      <c r="AN41" s="1293">
        <f>AN$44/4</f>
        <v>3.945531018097328</v>
      </c>
      <c r="AO41" s="1242">
        <f t="shared" si="69"/>
        <v>0.99785307562868386</v>
      </c>
      <c r="AP41" s="1270">
        <f t="shared" ref="AP41:AP46" si="86">(AN41/AJ41-1)*100</f>
        <v>-29.212190951227189</v>
      </c>
      <c r="AQ41" s="1288" t="s">
        <v>235</v>
      </c>
      <c r="AR41" s="1293">
        <f>AR$44/4</f>
        <v>4.5</v>
      </c>
      <c r="AS41" s="1242">
        <f t="shared" si="70"/>
        <v>0.87231617390495231</v>
      </c>
      <c r="AT41" s="1270">
        <f t="shared" ref="AT41:AT46" si="87">(AR41/AN41-1)*100</f>
        <v>14.053088908931111</v>
      </c>
      <c r="AU41" s="1288" t="s">
        <v>235</v>
      </c>
      <c r="AV41" s="1293">
        <f>+AV11*0.003</f>
        <v>1.8069780000000002</v>
      </c>
      <c r="AW41" s="1242">
        <f t="shared" si="71"/>
        <v>0.3</v>
      </c>
      <c r="AX41" s="1270">
        <f t="shared" ref="AX41:AX46" si="88">(AV41/AR41-1)*100</f>
        <v>-59.84493333333333</v>
      </c>
      <c r="AY41" s="1288" t="s">
        <v>235</v>
      </c>
      <c r="AZ41" s="1294">
        <f>+AV41</f>
        <v>1.8069780000000002</v>
      </c>
      <c r="BA41" s="1243">
        <f t="shared" si="72"/>
        <v>0.25696903677389726</v>
      </c>
      <c r="BB41" s="1271">
        <f t="shared" ref="BB41:BB46" si="89">(AZ41/AV41-1)*100</f>
        <v>0</v>
      </c>
      <c r="BC41" s="1288" t="s">
        <v>235</v>
      </c>
      <c r="BD41" s="1294">
        <f>+AZ41</f>
        <v>1.8069780000000002</v>
      </c>
      <c r="BE41" s="1243">
        <f t="shared" si="73"/>
        <v>0.26233139522222948</v>
      </c>
      <c r="BF41" s="1271">
        <f t="shared" ref="BF41:BF46" si="90">(BD41/AZ41-1)*100</f>
        <v>0</v>
      </c>
      <c r="BG41" s="1271"/>
      <c r="BH41" s="1294">
        <f>+BD41</f>
        <v>1.8069780000000002</v>
      </c>
      <c r="BI41" s="1243">
        <f t="shared" si="74"/>
        <v>0.27937284901932291</v>
      </c>
      <c r="BJ41" s="1271">
        <f t="shared" ref="BJ41:BJ46" si="91">(BH41/BD41-1)*100</f>
        <v>0</v>
      </c>
      <c r="BK41" s="1271"/>
      <c r="BL41" s="1294">
        <f>+BH41</f>
        <v>1.8069780000000002</v>
      </c>
      <c r="BM41" s="1243">
        <f t="shared" si="75"/>
        <v>0.27853611842013998</v>
      </c>
      <c r="BN41" s="1271">
        <f t="shared" ref="BN41:BN46" si="92">(BL41/BH41-1)*100</f>
        <v>0</v>
      </c>
      <c r="BO41" s="1271"/>
      <c r="BP41" s="1294">
        <f>+BL41</f>
        <v>1.8069780000000002</v>
      </c>
      <c r="BQ41" s="1243">
        <f t="shared" si="76"/>
        <v>0.27005290530846487</v>
      </c>
      <c r="BR41" s="1271">
        <f t="shared" si="77"/>
        <v>0</v>
      </c>
      <c r="BS41" s="1271"/>
      <c r="BT41" s="1294">
        <f>+BP41</f>
        <v>1.8069780000000002</v>
      </c>
      <c r="BU41" s="1243">
        <f t="shared" si="78"/>
        <v>0.24429185593770283</v>
      </c>
      <c r="BV41" s="1271">
        <f t="shared" si="79"/>
        <v>0</v>
      </c>
      <c r="BW41" s="1271"/>
      <c r="BX41" s="1294">
        <f>+BT41</f>
        <v>1.8069780000000002</v>
      </c>
      <c r="BY41" s="1243">
        <f t="shared" si="80"/>
        <v>0.24844571731840351</v>
      </c>
      <c r="BZ41" s="1271">
        <f>(BX41/BT41-1)*100</f>
        <v>0</v>
      </c>
      <c r="CA41" s="1271"/>
      <c r="CB41" s="1294">
        <f>+BX41</f>
        <v>1.8069780000000002</v>
      </c>
      <c r="CC41" s="1243">
        <f t="shared" si="81"/>
        <v>0.25429084077428071</v>
      </c>
      <c r="CD41" s="1271">
        <f>(CB41/BX41-1)*100</f>
        <v>0</v>
      </c>
      <c r="CE41" s="1271"/>
      <c r="CF41" s="1294">
        <f>+CB41</f>
        <v>1.8069780000000002</v>
      </c>
      <c r="CG41" s="1243">
        <f t="shared" si="82"/>
        <v>0.22660077148030922</v>
      </c>
      <c r="CH41" s="1271">
        <f>(CF41/CB41-1)*100</f>
        <v>0</v>
      </c>
      <c r="CI41" s="1271"/>
      <c r="CJ41" s="1294">
        <f>+CF41</f>
        <v>1.8069780000000002</v>
      </c>
      <c r="CK41" s="1243">
        <f t="shared" si="83"/>
        <v>0.21966826891516353</v>
      </c>
      <c r="CL41" s="1271">
        <f>(CJ41/CF41-1)*100</f>
        <v>0</v>
      </c>
      <c r="CM41" s="1271"/>
      <c r="CN41" s="1294">
        <f>+CJ41</f>
        <v>1.8069780000000002</v>
      </c>
      <c r="CO41" s="1243">
        <f t="shared" si="84"/>
        <v>0.21395571879695513</v>
      </c>
      <c r="CP41" s="1271">
        <f>(CN41/CJ41-1)*100</f>
        <v>0</v>
      </c>
      <c r="CQ41" s="1271"/>
      <c r="CR41" s="2156">
        <f>+CN41</f>
        <v>1.8069780000000002</v>
      </c>
      <c r="CS41" s="2151">
        <f t="shared" si="85"/>
        <v>0.19826027353195785</v>
      </c>
      <c r="CT41" s="2152">
        <f>(CR41/CN41-1)*100</f>
        <v>0</v>
      </c>
      <c r="CU41" s="1271"/>
      <c r="CV41" s="1271"/>
      <c r="CW41" s="1271"/>
      <c r="CX41" s="1271"/>
      <c r="CY41" s="1271"/>
      <c r="CZ41" s="1271"/>
      <c r="DA41" s="1271"/>
      <c r="DB41" s="162"/>
      <c r="DC41" s="1291"/>
      <c r="DD41" s="1291"/>
      <c r="DE41" s="1291"/>
      <c r="DF41" s="1291"/>
      <c r="DG41" s="1291"/>
      <c r="DH41" s="951"/>
      <c r="DI41" s="951"/>
      <c r="DJ41" s="951"/>
      <c r="DK41" s="951"/>
      <c r="DL41" s="951"/>
      <c r="DM41" s="951"/>
      <c r="DN41" s="951"/>
      <c r="DO41" s="951"/>
      <c r="DP41" s="951"/>
      <c r="DQ41" s="951"/>
      <c r="DR41" s="951"/>
      <c r="DS41" s="951"/>
      <c r="DT41" s="951"/>
      <c r="DU41" s="951"/>
      <c r="DV41" s="951"/>
      <c r="DW41" s="951"/>
      <c r="DX41" s="951"/>
      <c r="DY41" s="951"/>
    </row>
    <row r="42" spans="1:129" ht="12.75" hidden="1" customHeight="1" outlineLevel="3">
      <c r="A42" s="1167" t="s">
        <v>736</v>
      </c>
      <c r="B42" s="951"/>
      <c r="C42" s="1247"/>
      <c r="D42" s="1284"/>
      <c r="E42" s="1012"/>
      <c r="F42" s="1012"/>
      <c r="G42" s="169"/>
      <c r="H42" s="1285"/>
      <c r="I42" s="1012"/>
      <c r="J42" s="1012"/>
      <c r="K42" s="1247"/>
      <c r="L42" s="1285"/>
      <c r="M42" s="1012"/>
      <c r="N42" s="1012"/>
      <c r="O42" s="1247"/>
      <c r="P42" s="1285"/>
      <c r="Q42" s="1012"/>
      <c r="R42" s="1012"/>
      <c r="S42" s="1247"/>
      <c r="T42" s="1285"/>
      <c r="U42" s="1012"/>
      <c r="V42" s="1012"/>
      <c r="W42" s="169"/>
      <c r="X42" s="1285"/>
      <c r="Y42" s="1247"/>
      <c r="Z42" s="1012"/>
      <c r="AA42" s="1012"/>
      <c r="AB42" s="169"/>
      <c r="AC42" s="1285"/>
      <c r="AD42" s="1291"/>
      <c r="AE42" s="951"/>
      <c r="AF42" s="169"/>
      <c r="AG42" s="1285"/>
      <c r="AH42" s="1292"/>
      <c r="AI42" s="1012"/>
      <c r="AJ42" s="1293">
        <f>AJ$44/4</f>
        <v>5.5737436588535418</v>
      </c>
      <c r="AK42" s="1242">
        <f t="shared" si="68"/>
        <v>1.491103172512986</v>
      </c>
      <c r="AL42" s="1288" t="s">
        <v>235</v>
      </c>
      <c r="AM42" s="951"/>
      <c r="AN42" s="1293">
        <f>AN$44/4</f>
        <v>3.945531018097328</v>
      </c>
      <c r="AO42" s="1242">
        <f t="shared" si="69"/>
        <v>0.82269691881466844</v>
      </c>
      <c r="AP42" s="1270">
        <f t="shared" si="86"/>
        <v>-29.212190951227189</v>
      </c>
      <c r="AQ42" s="1288" t="s">
        <v>235</v>
      </c>
      <c r="AR42" s="1293">
        <f>AR$44/4</f>
        <v>4.5</v>
      </c>
      <c r="AS42" s="1242">
        <f t="shared" si="70"/>
        <v>0.77513104020863077</v>
      </c>
      <c r="AT42" s="1270">
        <f t="shared" si="87"/>
        <v>14.053088908931111</v>
      </c>
      <c r="AU42" s="1288" t="s">
        <v>235</v>
      </c>
      <c r="AV42" s="1293">
        <v>3.3</v>
      </c>
      <c r="AW42" s="1242">
        <f t="shared" si="71"/>
        <v>0.47394045584454758</v>
      </c>
      <c r="AX42" s="1270">
        <f t="shared" si="88"/>
        <v>-26.666666666666671</v>
      </c>
      <c r="AY42" s="1288" t="s">
        <v>235</v>
      </c>
      <c r="AZ42" s="1294">
        <f>+AV42</f>
        <v>3.3</v>
      </c>
      <c r="BA42" s="1243">
        <f t="shared" si="72"/>
        <v>0.44328444219369378</v>
      </c>
      <c r="BB42" s="1271">
        <f t="shared" si="89"/>
        <v>0</v>
      </c>
      <c r="BC42" s="1288" t="s">
        <v>235</v>
      </c>
      <c r="BD42" s="1294">
        <f>+AZ42</f>
        <v>3.3</v>
      </c>
      <c r="BE42" s="1243">
        <f t="shared" si="73"/>
        <v>0.43764488698152343</v>
      </c>
      <c r="BF42" s="1271">
        <f t="shared" si="90"/>
        <v>0</v>
      </c>
      <c r="BG42" s="1271"/>
      <c r="BH42" s="1294">
        <f>+BD42</f>
        <v>3.3</v>
      </c>
      <c r="BI42" s="1243">
        <f t="shared" si="74"/>
        <v>0.44836286414197613</v>
      </c>
      <c r="BJ42" s="1271">
        <f t="shared" si="91"/>
        <v>0</v>
      </c>
      <c r="BK42" s="1271"/>
      <c r="BL42" s="1294">
        <f>+BH42</f>
        <v>3.3</v>
      </c>
      <c r="BM42" s="1243">
        <f t="shared" si="75"/>
        <v>0.44304281807453588</v>
      </c>
      <c r="BN42" s="1271">
        <f t="shared" si="92"/>
        <v>0</v>
      </c>
      <c r="BO42" s="1271"/>
      <c r="BP42" s="1294">
        <f>+BL42</f>
        <v>3.3</v>
      </c>
      <c r="BQ42" s="1243">
        <f t="shared" si="76"/>
        <v>0.40272436933973949</v>
      </c>
      <c r="BR42" s="1271">
        <f t="shared" si="77"/>
        <v>0</v>
      </c>
      <c r="BS42" s="1271"/>
      <c r="BT42" s="1294">
        <f>+BP42</f>
        <v>3.3</v>
      </c>
      <c r="BU42" s="1243">
        <f t="shared" si="78"/>
        <v>0.36248838389497057</v>
      </c>
      <c r="BV42" s="1271">
        <f t="shared" si="79"/>
        <v>0</v>
      </c>
      <c r="BW42" s="1271"/>
      <c r="BX42" s="1294">
        <f>+BT42</f>
        <v>3.3</v>
      </c>
      <c r="BY42" s="1243">
        <f t="shared" si="80"/>
        <v>0.38492718460757841</v>
      </c>
      <c r="BZ42" s="1271">
        <f>(BX42/BT42-1)*100</f>
        <v>0</v>
      </c>
      <c r="CA42" s="1271"/>
      <c r="CB42" s="1294">
        <f>+BX42</f>
        <v>3.3</v>
      </c>
      <c r="CC42" s="1243">
        <f t="shared" si="81"/>
        <v>0.38628568752999565</v>
      </c>
      <c r="CD42" s="1271">
        <f>(CB42/BX42-1)*100</f>
        <v>0</v>
      </c>
      <c r="CE42" s="1271"/>
      <c r="CF42" s="1294">
        <f>+CB42</f>
        <v>3.3</v>
      </c>
      <c r="CG42" s="1243">
        <f t="shared" si="82"/>
        <v>0.35905783224818072</v>
      </c>
      <c r="CH42" s="1271">
        <f>(CF42/CB42-1)*100</f>
        <v>0</v>
      </c>
      <c r="CI42" s="1271"/>
      <c r="CJ42" s="1294">
        <f>+CF42</f>
        <v>3.3</v>
      </c>
      <c r="CK42" s="1243">
        <f t="shared" si="83"/>
        <v>0.35083653250181529</v>
      </c>
      <c r="CL42" s="1271">
        <f>(CJ42/CF42-1)*100</f>
        <v>0</v>
      </c>
      <c r="CM42" s="1271"/>
      <c r="CN42" s="1294">
        <f>+CJ42</f>
        <v>3.3</v>
      </c>
      <c r="CO42" s="1243">
        <f t="shared" si="84"/>
        <v>0.34359502432756894</v>
      </c>
      <c r="CP42" s="1271">
        <f>(CN42/CJ42-1)*100</f>
        <v>0</v>
      </c>
      <c r="CQ42" s="1271"/>
      <c r="CR42" s="2156">
        <f>+CN42</f>
        <v>3.3</v>
      </c>
      <c r="CS42" s="2151">
        <f t="shared" si="85"/>
        <v>0.34361625446160898</v>
      </c>
      <c r="CT42" s="2152">
        <f>(CR42/CN42-1)*100</f>
        <v>0</v>
      </c>
      <c r="CU42" s="1271"/>
      <c r="CV42" s="1271"/>
      <c r="CW42" s="1271"/>
      <c r="CX42" s="1271"/>
      <c r="CY42" s="1271"/>
      <c r="CZ42" s="1271"/>
      <c r="DA42" s="1271"/>
      <c r="DB42" s="162"/>
      <c r="DC42" s="1291"/>
      <c r="DD42" s="1291"/>
      <c r="DE42" s="1291"/>
      <c r="DF42" s="1291"/>
      <c r="DG42" s="1291"/>
      <c r="DH42" s="951"/>
      <c r="DI42" s="951"/>
      <c r="DJ42" s="951"/>
      <c r="DK42" s="951"/>
      <c r="DL42" s="951"/>
      <c r="DM42" s="951"/>
      <c r="DN42" s="951"/>
      <c r="DO42" s="951"/>
      <c r="DP42" s="951"/>
      <c r="DQ42" s="951"/>
      <c r="DR42" s="951"/>
      <c r="DS42" s="951"/>
      <c r="DT42" s="951"/>
      <c r="DU42" s="951"/>
      <c r="DV42" s="951"/>
      <c r="DW42" s="951"/>
      <c r="DX42" s="951"/>
      <c r="DY42" s="951"/>
    </row>
    <row r="43" spans="1:129" ht="12.75" hidden="1" customHeight="1" outlineLevel="3">
      <c r="A43" s="1167" t="s">
        <v>737</v>
      </c>
      <c r="B43" s="951"/>
      <c r="C43" s="1247"/>
      <c r="D43" s="1284"/>
      <c r="E43" s="1012"/>
      <c r="F43" s="1012"/>
      <c r="G43" s="169"/>
      <c r="H43" s="1285"/>
      <c r="I43" s="1012"/>
      <c r="J43" s="1012"/>
      <c r="K43" s="1247"/>
      <c r="L43" s="1285"/>
      <c r="M43" s="1012"/>
      <c r="N43" s="1012"/>
      <c r="O43" s="1247"/>
      <c r="P43" s="1285"/>
      <c r="Q43" s="1012"/>
      <c r="R43" s="1012"/>
      <c r="S43" s="1247"/>
      <c r="T43" s="1285"/>
      <c r="U43" s="1012"/>
      <c r="V43" s="1012"/>
      <c r="W43" s="169"/>
      <c r="X43" s="1285"/>
      <c r="Y43" s="1247"/>
      <c r="Z43" s="1012"/>
      <c r="AA43" s="1012"/>
      <c r="AB43" s="169"/>
      <c r="AC43" s="1285"/>
      <c r="AD43" s="951"/>
      <c r="AE43" s="951"/>
      <c r="AF43" s="169"/>
      <c r="AG43" s="1285"/>
      <c r="AH43" s="1012"/>
      <c r="AI43" s="1012"/>
      <c r="AJ43" s="1295">
        <f>AJ$44/4</f>
        <v>5.5737436588535418</v>
      </c>
      <c r="AK43" s="1242">
        <f t="shared" si="68"/>
        <v>1.1361538706945946</v>
      </c>
      <c r="AL43" s="1288" t="s">
        <v>235</v>
      </c>
      <c r="AM43" s="951"/>
      <c r="AN43" s="1295">
        <f>AN$44/4</f>
        <v>3.945531018097328</v>
      </c>
      <c r="AO43" s="1242">
        <f t="shared" si="69"/>
        <v>0.58536951474982024</v>
      </c>
      <c r="AP43" s="1270">
        <f t="shared" si="86"/>
        <v>-29.212190951227189</v>
      </c>
      <c r="AQ43" s="1288" t="s">
        <v>235</v>
      </c>
      <c r="AR43" s="1295">
        <f>AR$44/4</f>
        <v>4.5</v>
      </c>
      <c r="AS43" s="1242">
        <f t="shared" si="70"/>
        <v>0.58512229055872667</v>
      </c>
      <c r="AT43" s="1270">
        <f t="shared" si="87"/>
        <v>14.053088908931111</v>
      </c>
      <c r="AU43" s="1288" t="s">
        <v>235</v>
      </c>
      <c r="AV43" s="1295">
        <f>+AV44-AV40-AV41-AV42</f>
        <v>3.8930220000000002</v>
      </c>
      <c r="AW43" s="1242">
        <f t="shared" si="71"/>
        <v>0.39995500146399354</v>
      </c>
      <c r="AX43" s="1270">
        <f t="shared" si="88"/>
        <v>-13.4884</v>
      </c>
      <c r="AY43" s="1288" t="s">
        <v>235</v>
      </c>
      <c r="AZ43" s="1296">
        <f>+AV43</f>
        <v>3.8930220000000002</v>
      </c>
      <c r="BA43" s="1243">
        <f t="shared" si="72"/>
        <v>0.39110087291453399</v>
      </c>
      <c r="BB43" s="1271">
        <f t="shared" si="89"/>
        <v>0</v>
      </c>
      <c r="BC43" s="1288" t="s">
        <v>235</v>
      </c>
      <c r="BD43" s="1296">
        <f>+AZ43</f>
        <v>3.8930220000000002</v>
      </c>
      <c r="BE43" s="1243">
        <f t="shared" si="73"/>
        <v>0.42982953761290832</v>
      </c>
      <c r="BF43" s="1271">
        <f t="shared" si="90"/>
        <v>0</v>
      </c>
      <c r="BG43" s="1271"/>
      <c r="BH43" s="1296">
        <f>+BD43</f>
        <v>3.8930220000000002</v>
      </c>
      <c r="BI43" s="1243">
        <f t="shared" si="74"/>
        <v>0.40731318157611424</v>
      </c>
      <c r="BJ43" s="1271">
        <f t="shared" si="91"/>
        <v>0</v>
      </c>
      <c r="BK43" s="1271"/>
      <c r="BL43" s="1296">
        <f>+BH43</f>
        <v>3.8930220000000002</v>
      </c>
      <c r="BM43" s="1243">
        <f t="shared" si="75"/>
        <v>0.42941657915868803</v>
      </c>
      <c r="BN43" s="1271">
        <f t="shared" si="92"/>
        <v>0</v>
      </c>
      <c r="BO43" s="1271"/>
      <c r="BP43" s="1296">
        <f>+BL43</f>
        <v>3.8930220000000002</v>
      </c>
      <c r="BQ43" s="1243">
        <f t="shared" si="76"/>
        <v>0.37853588243187269</v>
      </c>
      <c r="BR43" s="1271">
        <f t="shared" si="77"/>
        <v>0</v>
      </c>
      <c r="BS43" s="1271"/>
      <c r="BT43" s="1296">
        <f>+BP43</f>
        <v>3.8930220000000002</v>
      </c>
      <c r="BU43" s="1243">
        <f t="shared" si="78"/>
        <v>0.34850826236534882</v>
      </c>
      <c r="BV43" s="1271">
        <f t="shared" si="79"/>
        <v>0</v>
      </c>
      <c r="BW43" s="1271"/>
      <c r="BX43" s="1296">
        <f>+BT43</f>
        <v>3.8930220000000002</v>
      </c>
      <c r="BY43" s="1243">
        <f t="shared" si="80"/>
        <v>0.37371564173035215</v>
      </c>
      <c r="BZ43" s="1271">
        <f>(BX43/BT43-1)*100</f>
        <v>0</v>
      </c>
      <c r="CA43" s="1271"/>
      <c r="CB43" s="1296">
        <f>+BX43</f>
        <v>3.8930220000000002</v>
      </c>
      <c r="CC43" s="1243">
        <f t="shared" si="81"/>
        <v>0.36320484245507545</v>
      </c>
      <c r="CD43" s="1271">
        <f>(CB43/BX43-1)*100</f>
        <v>0</v>
      </c>
      <c r="CE43" s="1271"/>
      <c r="CF43" s="1296">
        <f>+CB43</f>
        <v>3.8930220000000002</v>
      </c>
      <c r="CG43" s="1243">
        <f t="shared" si="82"/>
        <v>0.35204588778725082</v>
      </c>
      <c r="CH43" s="1271">
        <f>(CF43/CB43-1)*100</f>
        <v>0</v>
      </c>
      <c r="CI43" s="1271"/>
      <c r="CJ43" s="1296">
        <f>+CF43</f>
        <v>3.8930220000000002</v>
      </c>
      <c r="CK43" s="1243">
        <f t="shared" si="83"/>
        <v>0.35479937953749663</v>
      </c>
      <c r="CL43" s="1271">
        <f>(CJ43/CF43-1)*100</f>
        <v>0</v>
      </c>
      <c r="CM43" s="1271"/>
      <c r="CN43" s="1296">
        <f>+CJ43</f>
        <v>3.8930220000000002</v>
      </c>
      <c r="CO43" s="1243">
        <f t="shared" si="84"/>
        <v>0.31683479514911012</v>
      </c>
      <c r="CP43" s="1271">
        <f>(CN43/CJ43-1)*100</f>
        <v>0</v>
      </c>
      <c r="CQ43" s="1271"/>
      <c r="CR43" s="2157">
        <f>+CN43</f>
        <v>3.8930220000000002</v>
      </c>
      <c r="CS43" s="2151">
        <f t="shared" si="85"/>
        <v>0.33380751120413493</v>
      </c>
      <c r="CT43" s="2152">
        <f>(CR43/CN43-1)*100</f>
        <v>0</v>
      </c>
      <c r="CU43" s="1271"/>
      <c r="CV43" s="1271"/>
      <c r="CW43" s="1271"/>
      <c r="CX43" s="1271"/>
      <c r="CY43" s="1271"/>
      <c r="CZ43" s="1271"/>
      <c r="DA43" s="1271"/>
      <c r="DB43" s="162"/>
      <c r="DC43" s="951"/>
      <c r="DD43" s="951"/>
      <c r="DE43" s="951"/>
      <c r="DF43" s="951"/>
      <c r="DG43" s="951"/>
      <c r="DH43" s="951"/>
      <c r="DI43" s="951"/>
      <c r="DJ43" s="951"/>
      <c r="DK43" s="951"/>
      <c r="DL43" s="951"/>
      <c r="DM43" s="951"/>
      <c r="DN43" s="951"/>
      <c r="DO43" s="951"/>
      <c r="DP43" s="951"/>
      <c r="DQ43" s="951"/>
      <c r="DR43" s="951"/>
      <c r="DS43" s="951"/>
      <c r="DT43" s="951"/>
      <c r="DU43" s="951"/>
      <c r="DV43" s="951"/>
      <c r="DW43" s="951"/>
      <c r="DX43" s="951"/>
      <c r="DY43" s="951"/>
    </row>
    <row r="44" spans="1:129" ht="12.75" hidden="1" customHeight="1" outlineLevel="3">
      <c r="A44" s="1167" t="s">
        <v>762</v>
      </c>
      <c r="B44" s="951"/>
      <c r="C44" s="1283"/>
      <c r="D44" s="1284"/>
      <c r="E44" s="1012"/>
      <c r="F44" s="1012"/>
      <c r="G44" s="1283"/>
      <c r="H44" s="1285"/>
      <c r="I44" s="1012"/>
      <c r="J44" s="1012"/>
      <c r="K44" s="1283"/>
      <c r="L44" s="1285"/>
      <c r="M44" s="1012"/>
      <c r="N44" s="1012"/>
      <c r="O44" s="1283"/>
      <c r="P44" s="1285"/>
      <c r="Q44" s="1012"/>
      <c r="R44" s="1012"/>
      <c r="S44" s="1283"/>
      <c r="T44" s="1285"/>
      <c r="U44" s="1012"/>
      <c r="V44" s="1012"/>
      <c r="W44" s="1283"/>
      <c r="X44" s="1285"/>
      <c r="Y44" s="1012"/>
      <c r="Z44" s="1012"/>
      <c r="AA44" s="1012"/>
      <c r="AB44" s="1283"/>
      <c r="AC44" s="1285"/>
      <c r="AD44" s="951"/>
      <c r="AE44" s="951"/>
      <c r="AF44" s="1297"/>
      <c r="AG44" s="1285"/>
      <c r="AH44" s="108"/>
      <c r="AI44" s="1012"/>
      <c r="AJ44" s="1201">
        <f>'yrP&amp;L'!J25</f>
        <v>22.294974635414167</v>
      </c>
      <c r="AK44" s="1242">
        <f t="shared" si="68"/>
        <v>1.4930073760082025</v>
      </c>
      <c r="AL44" s="1288" t="s">
        <v>235</v>
      </c>
      <c r="AM44" s="951"/>
      <c r="AN44" s="1201">
        <f>'yrP&amp;L'!K25</f>
        <v>15.782124072389312</v>
      </c>
      <c r="AO44" s="1242">
        <f t="shared" si="69"/>
        <v>0.83892090765560134</v>
      </c>
      <c r="AP44" s="1270">
        <f t="shared" si="86"/>
        <v>-29.212190951227189</v>
      </c>
      <c r="AQ44" s="1288" t="s">
        <v>235</v>
      </c>
      <c r="AR44" s="1201">
        <f>'yrP&amp;L'!L25</f>
        <v>18</v>
      </c>
      <c r="AS44" s="1242">
        <f t="shared" si="70"/>
        <v>0.77520648486064803</v>
      </c>
      <c r="AT44" s="1270">
        <f t="shared" si="87"/>
        <v>14.053088908931111</v>
      </c>
      <c r="AU44" s="1288" t="s">
        <v>235</v>
      </c>
      <c r="AV44" s="1201">
        <f>'yrP&amp;L'!M25</f>
        <v>12.6</v>
      </c>
      <c r="AW44" s="1242">
        <f t="shared" si="71"/>
        <v>0.45090035138020246</v>
      </c>
      <c r="AX44" s="1270">
        <f t="shared" si="88"/>
        <v>-30.000000000000004</v>
      </c>
      <c r="AY44" s="1288" t="s">
        <v>235</v>
      </c>
      <c r="AZ44" s="1201">
        <f>'yrP&amp;L'!Q25</f>
        <v>12.6</v>
      </c>
      <c r="BA44" s="1243">
        <f t="shared" si="72"/>
        <v>0.41238206609306283</v>
      </c>
      <c r="BB44" s="1271">
        <f t="shared" si="89"/>
        <v>0</v>
      </c>
      <c r="BC44" s="1288" t="s">
        <v>235</v>
      </c>
      <c r="BD44" s="1201">
        <f>'yrP&amp;L'!AF25</f>
        <v>0</v>
      </c>
      <c r="BE44" s="1243">
        <f t="shared" si="73"/>
        <v>0</v>
      </c>
      <c r="BF44" s="1271">
        <f t="shared" si="90"/>
        <v>-100</v>
      </c>
      <c r="BG44" s="1271"/>
      <c r="BH44" s="1201">
        <f>'yrP&amp;L'!AJ25</f>
        <v>0</v>
      </c>
      <c r="BI44" s="1243">
        <f t="shared" si="74"/>
        <v>0</v>
      </c>
      <c r="BJ44" s="1271">
        <v>0</v>
      </c>
      <c r="BK44" s="1271"/>
      <c r="BL44" s="1201">
        <f>'yrP&amp;L'!AN25</f>
        <v>0</v>
      </c>
      <c r="BM44" s="1243">
        <f t="shared" si="75"/>
        <v>0</v>
      </c>
      <c r="BN44" s="1271">
        <v>0</v>
      </c>
      <c r="BO44" s="1271"/>
      <c r="BP44" s="1201">
        <f>'yrP&amp;L'!AR25</f>
        <v>0</v>
      </c>
      <c r="BQ44" s="1243">
        <f t="shared" si="76"/>
        <v>0</v>
      </c>
      <c r="BR44" s="1271">
        <v>0</v>
      </c>
      <c r="BS44" s="1271"/>
      <c r="BT44" s="1201">
        <f>'yrP&amp;L'!AT25</f>
        <v>0</v>
      </c>
      <c r="BU44" s="1243">
        <f t="shared" si="78"/>
        <v>0</v>
      </c>
      <c r="BV44" s="1271">
        <v>0</v>
      </c>
      <c r="BW44" s="1271"/>
      <c r="BX44" s="1201">
        <f>'yrP&amp;L'!AZ25</f>
        <v>0</v>
      </c>
      <c r="BY44" s="1243">
        <f t="shared" si="80"/>
        <v>0</v>
      </c>
      <c r="BZ44" s="1271">
        <v>0</v>
      </c>
      <c r="CA44" s="1271"/>
      <c r="CB44" s="1201">
        <f>'yrP&amp;L'!BD25</f>
        <v>0</v>
      </c>
      <c r="CC44" s="1243">
        <f t="shared" si="81"/>
        <v>0</v>
      </c>
      <c r="CD44" s="1271">
        <v>0</v>
      </c>
      <c r="CE44" s="1271"/>
      <c r="CF44" s="1201">
        <f>'yrP&amp;L'!BH25</f>
        <v>0</v>
      </c>
      <c r="CG44" s="1243">
        <f t="shared" si="82"/>
        <v>0</v>
      </c>
      <c r="CH44" s="1271">
        <v>0</v>
      </c>
      <c r="CI44" s="1271"/>
      <c r="CJ44" s="1201">
        <f>'yrP&amp;L'!BL25</f>
        <v>0</v>
      </c>
      <c r="CK44" s="1243">
        <f t="shared" si="83"/>
        <v>0</v>
      </c>
      <c r="CL44" s="1271">
        <v>0</v>
      </c>
      <c r="CM44" s="1271"/>
      <c r="CN44" s="1201">
        <f>'yrP&amp;L'!BP25</f>
        <v>0</v>
      </c>
      <c r="CO44" s="1243">
        <f t="shared" si="84"/>
        <v>0</v>
      </c>
      <c r="CP44" s="1271">
        <v>0</v>
      </c>
      <c r="CQ44" s="1271"/>
      <c r="CR44" s="2158">
        <f>'yrP&amp;L'!BT25</f>
        <v>0</v>
      </c>
      <c r="CS44" s="2151">
        <f t="shared" si="85"/>
        <v>0</v>
      </c>
      <c r="CT44" s="2152">
        <v>0</v>
      </c>
      <c r="CU44" s="1271"/>
      <c r="CV44" s="1271"/>
      <c r="CW44" s="1271"/>
      <c r="CX44" s="1271"/>
      <c r="CY44" s="1271"/>
      <c r="CZ44" s="1271"/>
      <c r="DA44" s="1271"/>
      <c r="DB44" s="162"/>
      <c r="DC44" s="56"/>
      <c r="DD44" s="56"/>
      <c r="DE44" s="56"/>
      <c r="DF44" s="56"/>
      <c r="DG44" s="56"/>
      <c r="DH44" s="951"/>
      <c r="DI44" s="951"/>
      <c r="DJ44" s="951"/>
      <c r="DK44" s="951"/>
      <c r="DL44" s="951"/>
      <c r="DM44" s="951"/>
      <c r="DN44" s="951"/>
      <c r="DO44" s="951"/>
      <c r="DP44" s="951"/>
      <c r="DQ44" s="951"/>
      <c r="DR44" s="951"/>
      <c r="DS44" s="951"/>
      <c r="DT44" s="951"/>
      <c r="DU44" s="951"/>
      <c r="DV44" s="951"/>
      <c r="DW44" s="951"/>
      <c r="DX44" s="951"/>
      <c r="DY44" s="951"/>
    </row>
    <row r="45" spans="1:129" ht="12.75" hidden="1" customHeight="1" outlineLevel="3">
      <c r="A45" s="1167" t="s">
        <v>769</v>
      </c>
      <c r="B45" s="951"/>
      <c r="C45" s="1247"/>
      <c r="D45" s="1284"/>
      <c r="E45" s="1012"/>
      <c r="F45" s="1012"/>
      <c r="G45" s="1247"/>
      <c r="H45" s="1285"/>
      <c r="I45" s="1012"/>
      <c r="J45" s="1012"/>
      <c r="K45" s="1247"/>
      <c r="L45" s="1285"/>
      <c r="M45" s="1012"/>
      <c r="N45" s="1012"/>
      <c r="O45" s="1247"/>
      <c r="P45" s="1285"/>
      <c r="Q45" s="1012"/>
      <c r="R45" s="1012"/>
      <c r="S45" s="1247"/>
      <c r="T45" s="1285"/>
      <c r="U45" s="1012"/>
      <c r="V45" s="1012"/>
      <c r="W45" s="1247"/>
      <c r="X45" s="1285"/>
      <c r="Y45" s="1012"/>
      <c r="Z45" s="1012"/>
      <c r="AA45" s="1012"/>
      <c r="AB45" s="1247"/>
      <c r="AC45" s="1285"/>
      <c r="AD45" s="951"/>
      <c r="AE45" s="951"/>
      <c r="AF45" s="1247"/>
      <c r="AG45" s="1285"/>
      <c r="AH45" s="1012"/>
      <c r="AI45" s="1012"/>
      <c r="AJ45" s="1226">
        <f>AJ40+AJ41</f>
        <v>11.147487317707084</v>
      </c>
      <c r="AK45" s="1242">
        <f t="shared" si="68"/>
        <v>1.7725006984602136</v>
      </c>
      <c r="AL45" s="1288" t="s">
        <v>235</v>
      </c>
      <c r="AM45" s="951"/>
      <c r="AN45" s="1226">
        <f>AN40+AN41</f>
        <v>7.891062036194656</v>
      </c>
      <c r="AO45" s="1242">
        <f t="shared" si="69"/>
        <v>1.0844852942414098</v>
      </c>
      <c r="AP45" s="1270">
        <f t="shared" si="86"/>
        <v>-29.212190951227189</v>
      </c>
      <c r="AQ45" s="1288" t="s">
        <v>235</v>
      </c>
      <c r="AR45" s="1226">
        <f>AR40+AR41</f>
        <v>9</v>
      </c>
      <c r="AS45" s="1242">
        <f t="shared" si="70"/>
        <v>0.92559739598599267</v>
      </c>
      <c r="AT45" s="1270">
        <f t="shared" si="87"/>
        <v>14.053088908931111</v>
      </c>
      <c r="AU45" s="1288" t="s">
        <v>235</v>
      </c>
      <c r="AV45" s="1166">
        <f>AV40+AV41</f>
        <v>5.4069780000000005</v>
      </c>
      <c r="AW45" s="1242">
        <f t="shared" si="71"/>
        <v>0.48072538528424896</v>
      </c>
      <c r="AX45" s="1270">
        <f t="shared" si="88"/>
        <v>-39.922466666666658</v>
      </c>
      <c r="AY45" s="1288" t="s">
        <v>235</v>
      </c>
      <c r="AZ45" s="1166">
        <f>AZ40+AZ41</f>
        <v>5.4069780000000005</v>
      </c>
      <c r="BA45" s="1243">
        <f t="shared" si="72"/>
        <v>0.41099732056325189</v>
      </c>
      <c r="BB45" s="1271">
        <f t="shared" si="89"/>
        <v>0</v>
      </c>
      <c r="BC45" s="1288" t="s">
        <v>235</v>
      </c>
      <c r="BD45" s="1166">
        <f>BD40+BD41</f>
        <v>5.4069780000000005</v>
      </c>
      <c r="BE45" s="1243">
        <f t="shared" si="73"/>
        <v>0.40680978424021358</v>
      </c>
      <c r="BF45" s="1271">
        <f t="shared" si="90"/>
        <v>0</v>
      </c>
      <c r="BG45" s="1271"/>
      <c r="BH45" s="1166">
        <f>BH40+BH41</f>
        <v>5.4069780000000005</v>
      </c>
      <c r="BI45" s="1243">
        <f t="shared" si="74"/>
        <v>0.4330859118750286</v>
      </c>
      <c r="BJ45" s="1271">
        <f t="shared" si="91"/>
        <v>0</v>
      </c>
      <c r="BK45" s="1271"/>
      <c r="BL45" s="1166">
        <f>BL40+BL41</f>
        <v>5.4069780000000005</v>
      </c>
      <c r="BM45" s="1243">
        <f t="shared" si="75"/>
        <v>0.41789481250304333</v>
      </c>
      <c r="BN45" s="1271">
        <f t="shared" si="92"/>
        <v>0</v>
      </c>
      <c r="BO45" s="1271"/>
      <c r="BP45" s="1166">
        <f>BP40+BP41</f>
        <v>5.4069780000000005</v>
      </c>
      <c r="BQ45" s="1243">
        <f t="shared" si="76"/>
        <v>0.42500872501579939</v>
      </c>
      <c r="BR45" s="1271">
        <f t="shared" si="77"/>
        <v>0</v>
      </c>
      <c r="BS45" s="1271"/>
      <c r="BT45" s="1166">
        <f>BT40+BT41</f>
        <v>5.4069780000000005</v>
      </c>
      <c r="BU45" s="1243">
        <f t="shared" si="78"/>
        <v>0.37331340295158372</v>
      </c>
      <c r="BV45" s="1271">
        <f t="shared" si="79"/>
        <v>0</v>
      </c>
      <c r="BW45" s="1271"/>
      <c r="BX45" s="1166">
        <f>BX40+BX41</f>
        <v>5.4069780000000005</v>
      </c>
      <c r="BY45" s="1243">
        <f t="shared" si="80"/>
        <v>0.384348623461924</v>
      </c>
      <c r="BZ45" s="1271">
        <f>(BX45/BT45-1)*100</f>
        <v>0</v>
      </c>
      <c r="CA45" s="1271"/>
      <c r="CB45" s="1166">
        <f>CB40+CB41</f>
        <v>5.4069780000000005</v>
      </c>
      <c r="CC45" s="1243">
        <f t="shared" si="81"/>
        <v>0.39853190479419542</v>
      </c>
      <c r="CD45" s="1271">
        <f>(CB45/BX45-1)*100</f>
        <v>0</v>
      </c>
      <c r="CE45" s="1271"/>
      <c r="CF45" s="1166">
        <f>CF40+CF41</f>
        <v>5.4069780000000005</v>
      </c>
      <c r="CG45" s="1243">
        <f t="shared" si="82"/>
        <v>0.36120012184791994</v>
      </c>
      <c r="CH45" s="1271">
        <f>(CF45/CB45-1)*100</f>
        <v>0</v>
      </c>
      <c r="CI45" s="1271"/>
      <c r="CJ45" s="1166">
        <f>CJ40+CJ41</f>
        <v>5.4069780000000005</v>
      </c>
      <c r="CK45" s="1243">
        <f t="shared" si="83"/>
        <v>0.34395315551427791</v>
      </c>
      <c r="CL45" s="1271">
        <f>(CJ45/CF45-1)*100</f>
        <v>0</v>
      </c>
      <c r="CM45" s="1271"/>
      <c r="CN45" s="1166">
        <f>CN40+CN41</f>
        <v>5.4069780000000005</v>
      </c>
      <c r="CO45" s="1243">
        <f t="shared" si="84"/>
        <v>0.33659123265601881</v>
      </c>
      <c r="CP45" s="1271">
        <f>(CN45/CJ45-1)*100</f>
        <v>0</v>
      </c>
      <c r="CQ45" s="1271"/>
      <c r="CR45" s="2150">
        <f>CR40+CR41</f>
        <v>5.4069780000000005</v>
      </c>
      <c r="CS45" s="2151">
        <f t="shared" si="85"/>
        <v>0.31441217539121485</v>
      </c>
      <c r="CT45" s="2152">
        <f>(CR45/CN45-1)*100</f>
        <v>0</v>
      </c>
      <c r="CU45" s="1271"/>
      <c r="CV45" s="1271"/>
      <c r="CW45" s="1271"/>
      <c r="CX45" s="1271"/>
      <c r="CY45" s="1271"/>
      <c r="CZ45" s="1271"/>
      <c r="DA45" s="1271"/>
      <c r="DB45" s="162"/>
      <c r="DC45" s="951"/>
      <c r="DD45" s="951"/>
      <c r="DE45" s="951"/>
      <c r="DF45" s="951"/>
      <c r="DG45" s="951"/>
      <c r="DH45" s="951"/>
      <c r="DI45" s="951"/>
      <c r="DJ45" s="951"/>
      <c r="DK45" s="951"/>
      <c r="DL45" s="951"/>
      <c r="DM45" s="951"/>
      <c r="DN45" s="951"/>
      <c r="DO45" s="951"/>
      <c r="DP45" s="951"/>
      <c r="DQ45" s="951"/>
      <c r="DR45" s="951"/>
      <c r="DS45" s="951"/>
      <c r="DT45" s="951"/>
      <c r="DU45" s="951"/>
      <c r="DV45" s="951"/>
      <c r="DW45" s="951"/>
      <c r="DX45" s="951"/>
      <c r="DY45" s="951"/>
    </row>
    <row r="46" spans="1:129" ht="12.75" hidden="1" customHeight="1" outlineLevel="3">
      <c r="A46" s="1167" t="s">
        <v>770</v>
      </c>
      <c r="B46" s="951"/>
      <c r="C46" s="1247"/>
      <c r="D46" s="1284"/>
      <c r="E46" s="1012"/>
      <c r="F46" s="1012"/>
      <c r="G46" s="1247"/>
      <c r="H46" s="1285"/>
      <c r="I46" s="1012"/>
      <c r="J46" s="1012"/>
      <c r="K46" s="1247"/>
      <c r="L46" s="1285"/>
      <c r="M46" s="1012"/>
      <c r="N46" s="1012"/>
      <c r="O46" s="1247"/>
      <c r="P46" s="1285"/>
      <c r="Q46" s="1012"/>
      <c r="R46" s="1012"/>
      <c r="S46" s="1247"/>
      <c r="T46" s="1285"/>
      <c r="U46" s="1012"/>
      <c r="V46" s="1012"/>
      <c r="W46" s="1247"/>
      <c r="X46" s="1285"/>
      <c r="Y46" s="1012"/>
      <c r="Z46" s="1012"/>
      <c r="AA46" s="1012"/>
      <c r="AB46" s="1247"/>
      <c r="AC46" s="1285"/>
      <c r="AD46" s="951"/>
      <c r="AE46" s="951"/>
      <c r="AF46" s="1247"/>
      <c r="AG46" s="1285"/>
      <c r="AH46" s="1012"/>
      <c r="AI46" s="1012"/>
      <c r="AJ46" s="1226">
        <f>AJ45+AJ42</f>
        <v>16.721230976560626</v>
      </c>
      <c r="AK46" s="1242">
        <f t="shared" si="68"/>
        <v>1.6675989018353834</v>
      </c>
      <c r="AL46" s="1288" t="s">
        <v>235</v>
      </c>
      <c r="AM46" s="951"/>
      <c r="AN46" s="1226">
        <f>AN45+AN42</f>
        <v>11.836593054291985</v>
      </c>
      <c r="AO46" s="1242">
        <f t="shared" si="69"/>
        <v>0.98048594861503635</v>
      </c>
      <c r="AP46" s="1270">
        <f t="shared" si="86"/>
        <v>-29.212190951227189</v>
      </c>
      <c r="AQ46" s="1288" t="s">
        <v>235</v>
      </c>
      <c r="AR46" s="1226">
        <f>AR45+AR42</f>
        <v>13.5</v>
      </c>
      <c r="AS46" s="1242">
        <f t="shared" si="70"/>
        <v>0.86934571109903336</v>
      </c>
      <c r="AT46" s="1270">
        <f t="shared" si="87"/>
        <v>14.053088908931088</v>
      </c>
      <c r="AU46" s="1288" t="s">
        <v>235</v>
      </c>
      <c r="AV46" s="1166">
        <f>AV45+AV42</f>
        <v>8.7069779999999994</v>
      </c>
      <c r="AW46" s="1242">
        <f t="shared" si="71"/>
        <v>0.47813111599719721</v>
      </c>
      <c r="AX46" s="1270">
        <f t="shared" si="88"/>
        <v>-35.503866666666674</v>
      </c>
      <c r="AY46" s="1288" t="s">
        <v>235</v>
      </c>
      <c r="AZ46" s="1166">
        <f>AZ45+AZ42</f>
        <v>8.7069779999999994</v>
      </c>
      <c r="BA46" s="1243">
        <f t="shared" si="72"/>
        <v>0.4226651417608972</v>
      </c>
      <c r="BB46" s="1271">
        <f t="shared" si="89"/>
        <v>0</v>
      </c>
      <c r="BC46" s="1288" t="s">
        <v>235</v>
      </c>
      <c r="BD46" s="1166">
        <f>BD45+BD42</f>
        <v>8.7069779999999994</v>
      </c>
      <c r="BE46" s="1243">
        <f t="shared" si="73"/>
        <v>0.41797112358045702</v>
      </c>
      <c r="BF46" s="1271">
        <f t="shared" si="90"/>
        <v>0</v>
      </c>
      <c r="BG46" s="1271"/>
      <c r="BH46" s="1166">
        <f>BH45+BH42</f>
        <v>8.7069779999999994</v>
      </c>
      <c r="BI46" s="1243">
        <f t="shared" si="74"/>
        <v>0.43875185942167449</v>
      </c>
      <c r="BJ46" s="1271">
        <f t="shared" si="91"/>
        <v>0</v>
      </c>
      <c r="BK46" s="1271"/>
      <c r="BL46" s="1166">
        <f>BL45+BL42</f>
        <v>8.7069779999999994</v>
      </c>
      <c r="BM46" s="1243">
        <f t="shared" si="75"/>
        <v>0.42708271406919085</v>
      </c>
      <c r="BN46" s="1271">
        <f t="shared" si="92"/>
        <v>0</v>
      </c>
      <c r="BO46" s="1271"/>
      <c r="BP46" s="1166">
        <f>BP45+BP42</f>
        <v>8.7069779999999994</v>
      </c>
      <c r="BQ46" s="1243">
        <f t="shared" si="76"/>
        <v>0.41627855497859795</v>
      </c>
      <c r="BR46" s="1271">
        <f t="shared" si="77"/>
        <v>0</v>
      </c>
      <c r="BS46" s="1271"/>
      <c r="BT46" s="1166">
        <f>BT45+BT42</f>
        <v>8.7069779999999994</v>
      </c>
      <c r="BU46" s="1243">
        <f t="shared" si="78"/>
        <v>0.36913541881734768</v>
      </c>
      <c r="BV46" s="1271">
        <f t="shared" si="79"/>
        <v>0</v>
      </c>
      <c r="BW46" s="1271"/>
      <c r="BX46" s="1166">
        <f>BX45+BX42</f>
        <v>8.7069779999999994</v>
      </c>
      <c r="BY46" s="1243">
        <f t="shared" si="80"/>
        <v>0.3845676970268474</v>
      </c>
      <c r="BZ46" s="1271">
        <f>(BX46/BT46-1)*100</f>
        <v>0</v>
      </c>
      <c r="CA46" s="1271"/>
      <c r="CB46" s="1166">
        <f>CB45+CB42</f>
        <v>8.7069779999999994</v>
      </c>
      <c r="CC46" s="1243">
        <f t="shared" si="81"/>
        <v>0.39380022017047372</v>
      </c>
      <c r="CD46" s="1271">
        <f>(CB46/BX46-1)*100</f>
        <v>0</v>
      </c>
      <c r="CE46" s="1271"/>
      <c r="CF46" s="1166">
        <f>CF45+CF42</f>
        <v>8.7069779999999994</v>
      </c>
      <c r="CG46" s="1243">
        <f t="shared" si="82"/>
        <v>0.36038517893063798</v>
      </c>
      <c r="CH46" s="1271">
        <f>(CF46/CB46-1)*100</f>
        <v>0</v>
      </c>
      <c r="CI46" s="1271"/>
      <c r="CJ46" s="1166">
        <f>CJ45+CJ42</f>
        <v>8.7069779999999994</v>
      </c>
      <c r="CK46" s="1243">
        <f t="shared" si="83"/>
        <v>0.34652997529669238</v>
      </c>
      <c r="CL46" s="1271">
        <f>(CJ46/CF46-1)*100</f>
        <v>0</v>
      </c>
      <c r="CM46" s="1271"/>
      <c r="CN46" s="1166">
        <f>CN45+CN42</f>
        <v>8.7069779999999994</v>
      </c>
      <c r="CO46" s="1243">
        <f t="shared" si="84"/>
        <v>0.33921185152402222</v>
      </c>
      <c r="CP46" s="1271">
        <f>(CN46/CJ46-1)*100</f>
        <v>0</v>
      </c>
      <c r="CQ46" s="1271"/>
      <c r="CR46" s="2150">
        <f>CR45+CR42</f>
        <v>8.7069779999999994</v>
      </c>
      <c r="CS46" s="2151">
        <f t="shared" si="85"/>
        <v>0.3248770826871919</v>
      </c>
      <c r="CT46" s="2152">
        <f>(CR46/CN46-1)*100</f>
        <v>0</v>
      </c>
      <c r="CU46" s="1298"/>
      <c r="CV46" s="1271"/>
      <c r="CW46" s="1298"/>
      <c r="CX46" s="1298"/>
      <c r="CY46" s="1271"/>
      <c r="CZ46" s="1271"/>
      <c r="DA46" s="1271"/>
      <c r="DB46" s="162"/>
      <c r="DC46" s="951"/>
      <c r="DD46" s="951"/>
      <c r="DE46" s="951"/>
      <c r="DF46" s="951"/>
      <c r="DG46" s="951"/>
      <c r="DH46" s="951"/>
      <c r="DI46" s="951"/>
      <c r="DJ46" s="951"/>
      <c r="DK46" s="951"/>
      <c r="DL46" s="951"/>
      <c r="DM46" s="951"/>
      <c r="DN46" s="951"/>
      <c r="DO46" s="951"/>
      <c r="DP46" s="951"/>
      <c r="DQ46" s="951"/>
      <c r="DR46" s="951"/>
      <c r="DS46" s="951"/>
      <c r="DT46" s="951"/>
      <c r="DU46" s="951"/>
      <c r="DV46" s="951"/>
      <c r="DW46" s="951"/>
      <c r="DX46" s="951"/>
      <c r="DY46" s="951"/>
    </row>
    <row r="47" spans="1:129" ht="12.75" outlineLevel="2" collapsed="1">
      <c r="A47" s="951"/>
      <c r="B47" s="951"/>
      <c r="C47" s="951"/>
      <c r="D47" s="951"/>
      <c r="E47" s="951"/>
      <c r="F47" s="951"/>
      <c r="G47" s="951"/>
      <c r="H47" s="951"/>
      <c r="I47" s="951"/>
      <c r="J47" s="951"/>
      <c r="K47" s="951"/>
      <c r="L47" s="951"/>
      <c r="M47" s="951"/>
      <c r="N47" s="951"/>
      <c r="O47" s="951"/>
      <c r="P47" s="951"/>
      <c r="Q47" s="951"/>
      <c r="R47" s="951"/>
      <c r="S47" s="951"/>
      <c r="T47" s="951"/>
      <c r="U47" s="951"/>
      <c r="V47" s="951"/>
      <c r="W47" s="951"/>
      <c r="X47" s="951"/>
      <c r="Y47" s="951"/>
      <c r="Z47" s="951"/>
      <c r="AA47" s="951"/>
      <c r="AB47" s="951"/>
      <c r="AC47" s="951"/>
      <c r="AD47" s="951"/>
      <c r="AE47" s="951"/>
      <c r="AF47" s="951"/>
      <c r="AG47" s="951"/>
      <c r="AH47" s="951"/>
      <c r="AI47" s="951"/>
      <c r="AJ47" s="951"/>
      <c r="AK47" s="951"/>
      <c r="AL47" s="951"/>
      <c r="AM47" s="951"/>
      <c r="AN47" s="951"/>
      <c r="AO47" s="951"/>
      <c r="AP47" s="951"/>
      <c r="AQ47" s="951"/>
      <c r="AR47" s="951"/>
      <c r="AS47" s="951"/>
      <c r="AT47" s="951"/>
      <c r="AU47" s="951"/>
      <c r="AV47" s="1231"/>
      <c r="AW47" s="1158"/>
      <c r="AX47" s="1158"/>
      <c r="AY47" s="951"/>
      <c r="AZ47" s="1231"/>
      <c r="BA47" s="1158"/>
      <c r="BB47" s="1158"/>
      <c r="BC47" s="1231"/>
      <c r="BD47" s="1231"/>
      <c r="BE47" s="1159"/>
      <c r="BF47" s="1210"/>
      <c r="BG47" s="1298"/>
      <c r="BH47" s="1231"/>
      <c r="BI47" s="1159"/>
      <c r="BJ47" s="1298"/>
      <c r="BK47" s="1231"/>
      <c r="BL47" s="1231"/>
      <c r="BM47" s="1159"/>
      <c r="BN47" s="1298"/>
      <c r="BO47" s="1298"/>
      <c r="BP47" s="1257"/>
      <c r="BQ47" s="1159"/>
      <c r="BR47" s="1298"/>
      <c r="BS47" s="1298"/>
      <c r="BT47" s="1231"/>
      <c r="BU47" s="1159"/>
      <c r="BV47" s="1298"/>
      <c r="BW47" s="1298"/>
      <c r="BX47" s="1298"/>
      <c r="BY47" s="1298"/>
      <c r="BZ47" s="1298"/>
      <c r="CA47" s="1298"/>
      <c r="CB47" s="1298"/>
      <c r="CC47" s="1298"/>
      <c r="CD47" s="1298"/>
      <c r="CE47" s="1298"/>
      <c r="CF47" s="1298"/>
      <c r="CG47" s="1298"/>
      <c r="CH47" s="1298"/>
      <c r="CI47" s="1298"/>
      <c r="CJ47" s="1231"/>
      <c r="CK47" s="1298"/>
      <c r="CL47" s="1298"/>
      <c r="CM47" s="1298"/>
      <c r="CN47" s="1298"/>
      <c r="CO47" s="1298"/>
      <c r="CP47" s="1298"/>
      <c r="CQ47" s="1298"/>
      <c r="CR47" s="1298"/>
      <c r="CS47" s="1298"/>
      <c r="CT47" s="1298"/>
      <c r="CU47" s="1185"/>
      <c r="CV47" s="1298"/>
      <c r="CW47" s="1185"/>
      <c r="CX47" s="1185"/>
      <c r="CY47" s="1298"/>
      <c r="CZ47" s="1298"/>
      <c r="DA47" s="1298"/>
      <c r="DB47" s="951"/>
      <c r="DC47" s="951"/>
      <c r="DD47" s="951"/>
      <c r="DE47" s="951"/>
      <c r="DF47" s="951"/>
      <c r="DG47" s="951"/>
      <c r="DH47" s="951"/>
      <c r="DI47" s="951"/>
      <c r="DJ47" s="951"/>
      <c r="DK47" s="951"/>
      <c r="DL47" s="951"/>
      <c r="DM47" s="951"/>
      <c r="DN47" s="951"/>
      <c r="DO47" s="951"/>
      <c r="DP47" s="951"/>
      <c r="DQ47" s="951"/>
      <c r="DR47" s="951"/>
      <c r="DS47" s="951"/>
      <c r="DT47" s="951"/>
      <c r="DU47" s="951"/>
      <c r="DV47" s="951"/>
      <c r="DW47" s="951"/>
      <c r="DX47" s="951"/>
      <c r="DY47" s="951"/>
    </row>
    <row r="48" spans="1:129" ht="12.75" outlineLevel="2">
      <c r="A48" s="1259"/>
      <c r="B48" s="1181"/>
      <c r="C48" s="1181"/>
      <c r="D48" s="1181"/>
      <c r="E48" s="1181"/>
      <c r="F48" s="1181"/>
      <c r="G48" s="1182"/>
      <c r="H48" s="1182"/>
      <c r="I48" s="1182"/>
      <c r="J48" s="1182"/>
      <c r="K48" s="1182"/>
      <c r="L48" s="1182"/>
      <c r="M48" s="1182"/>
      <c r="N48" s="1182"/>
      <c r="O48" s="1182"/>
      <c r="P48" s="1182"/>
      <c r="Q48" s="1182"/>
      <c r="R48" s="1182"/>
      <c r="S48" s="1259"/>
      <c r="T48" s="1182"/>
      <c r="U48" s="1182"/>
      <c r="V48" s="1182"/>
      <c r="W48" s="1259"/>
      <c r="X48" s="1182"/>
      <c r="Y48" s="1182"/>
      <c r="Z48" s="1182"/>
      <c r="AA48" s="1183"/>
      <c r="AB48" s="1182"/>
      <c r="AC48" s="1183"/>
      <c r="AD48" s="1183"/>
      <c r="AE48" s="1183"/>
      <c r="AF48" s="1182"/>
      <c r="AG48" s="1183"/>
      <c r="AH48" s="1183"/>
      <c r="AI48" s="1183"/>
      <c r="AJ48" s="1182"/>
      <c r="AK48" s="1183"/>
      <c r="AL48" s="1183"/>
      <c r="AM48" s="1183"/>
      <c r="AN48" s="1184"/>
      <c r="AO48" s="1183"/>
      <c r="AP48" s="1183"/>
      <c r="AQ48" s="1183"/>
      <c r="AR48" s="1184"/>
      <c r="AS48" s="1183"/>
      <c r="AT48" s="1183"/>
      <c r="AU48" s="1183"/>
      <c r="AW48" s="1185"/>
      <c r="AX48" s="1185"/>
      <c r="AY48" s="1183"/>
      <c r="AZ48" s="1186"/>
      <c r="BA48" s="1185"/>
      <c r="BB48" s="1185"/>
      <c r="BC48" s="1183"/>
      <c r="BD48" s="1186"/>
      <c r="BE48" s="1185"/>
      <c r="BF48" s="1185"/>
      <c r="BG48" s="1185"/>
      <c r="BH48" s="1186"/>
      <c r="BI48" s="1185"/>
      <c r="BJ48" s="1185"/>
      <c r="BK48" s="1185"/>
      <c r="BL48" s="1186"/>
      <c r="BM48" s="1185"/>
      <c r="BN48" s="1185"/>
      <c r="BO48" s="1185"/>
      <c r="BP48" s="1186"/>
      <c r="BQ48" s="1182" t="s">
        <v>772</v>
      </c>
      <c r="BR48" s="1185"/>
      <c r="BS48" s="1185"/>
      <c r="BT48" s="1186"/>
      <c r="BU48" s="1185"/>
      <c r="BV48" s="1185"/>
      <c r="BW48" s="1185"/>
      <c r="BX48" s="1185"/>
      <c r="BY48" s="1185"/>
      <c r="BZ48" s="1185"/>
      <c r="CA48" s="1187"/>
      <c r="CB48" s="1185"/>
      <c r="CC48" s="1185"/>
      <c r="CD48" s="1185"/>
      <c r="CE48" s="1187"/>
      <c r="CF48" s="1185"/>
      <c r="CG48" s="1182" t="s">
        <v>772</v>
      </c>
      <c r="CH48" s="1185"/>
      <c r="CI48" s="1187"/>
      <c r="CJ48" s="1185"/>
      <c r="CK48" s="1185"/>
      <c r="CL48" s="1185"/>
      <c r="CM48" s="1187"/>
      <c r="CN48" s="1185"/>
      <c r="CO48" s="1185"/>
      <c r="CP48" s="1185"/>
      <c r="CQ48" s="1185"/>
      <c r="CR48" s="1185"/>
      <c r="CS48" s="1185"/>
      <c r="CT48" s="1185"/>
      <c r="CU48" s="1185" t="s">
        <v>733</v>
      </c>
      <c r="CV48" s="1185"/>
      <c r="CW48" s="1185"/>
      <c r="CX48" s="1185"/>
      <c r="CY48" s="1185"/>
      <c r="CZ48" s="1185"/>
      <c r="DA48" s="1185"/>
      <c r="DB48" s="1183"/>
      <c r="DC48" s="1183"/>
      <c r="DD48" s="1183"/>
      <c r="DE48" s="1183"/>
      <c r="DF48" s="1183"/>
      <c r="DG48" s="1183"/>
      <c r="DH48" s="1259"/>
      <c r="DI48" s="1259"/>
      <c r="DJ48" s="1259"/>
      <c r="DK48" s="1259"/>
      <c r="DL48" s="1259"/>
      <c r="DM48" s="1259"/>
      <c r="DN48" s="1259"/>
      <c r="DO48" s="1259"/>
      <c r="DP48" s="1259"/>
      <c r="DQ48" s="1259"/>
      <c r="DR48" s="1259"/>
      <c r="DS48" s="1259"/>
      <c r="DT48" s="1259"/>
      <c r="DU48" s="1259"/>
      <c r="DV48" s="1259"/>
      <c r="DW48" s="1259"/>
      <c r="DX48" s="1259"/>
      <c r="DY48" s="1259"/>
    </row>
    <row r="49" spans="1:129" ht="12.75" outlineLevel="2">
      <c r="A49" s="45"/>
      <c r="B49" s="1183"/>
      <c r="C49" s="1183"/>
      <c r="D49" s="1183"/>
      <c r="E49" s="1183"/>
      <c r="F49" s="1183"/>
      <c r="G49" s="1183"/>
      <c r="H49" s="1183"/>
      <c r="I49" s="1183"/>
      <c r="J49" s="1183"/>
      <c r="K49" s="1183"/>
      <c r="L49" s="1183"/>
      <c r="M49" s="1183"/>
      <c r="N49" s="45"/>
      <c r="O49" s="1183"/>
      <c r="P49" s="1183"/>
      <c r="Q49" s="1183"/>
      <c r="R49" s="45"/>
      <c r="S49" s="1183"/>
      <c r="T49" s="1183"/>
      <c r="U49" s="1183"/>
      <c r="V49" s="45"/>
      <c r="W49" s="1183"/>
      <c r="X49" s="1183"/>
      <c r="Y49" s="1183"/>
      <c r="Z49" s="1183"/>
      <c r="AA49" s="45"/>
      <c r="AB49" s="1183"/>
      <c r="AC49" s="1183"/>
      <c r="AD49" s="1183"/>
      <c r="AE49" s="45"/>
      <c r="AF49" s="1183"/>
      <c r="AG49" s="1183"/>
      <c r="AH49" s="1183"/>
      <c r="AI49" s="45"/>
      <c r="AJ49" s="1183"/>
      <c r="AK49" s="1183"/>
      <c r="AL49" s="1183"/>
      <c r="AM49" s="45"/>
      <c r="AN49" s="1183"/>
      <c r="AO49" s="1183"/>
      <c r="AP49" s="1183"/>
      <c r="AQ49" s="45"/>
      <c r="AR49" s="1183"/>
      <c r="AS49" s="1183"/>
      <c r="AT49" s="1183"/>
      <c r="AU49" s="45"/>
      <c r="AV49" s="1185"/>
      <c r="AW49" s="1185"/>
      <c r="AX49" s="1185"/>
      <c r="AY49" s="45"/>
      <c r="AZ49" s="1185"/>
      <c r="BA49" s="1185"/>
      <c r="BB49" s="1185"/>
      <c r="BC49" s="45"/>
      <c r="BD49" s="1185"/>
      <c r="BE49" s="1185"/>
      <c r="BF49" s="1185"/>
      <c r="BG49" s="1185"/>
      <c r="BH49" s="1185"/>
      <c r="BI49" s="1185"/>
      <c r="BJ49" s="1185"/>
      <c r="BK49" s="1185"/>
      <c r="BL49" s="1185"/>
      <c r="BM49" s="1185"/>
      <c r="BN49" s="1185"/>
      <c r="BO49" s="1185"/>
      <c r="BP49" s="1185"/>
      <c r="BQ49" s="1185"/>
      <c r="BR49" s="1185"/>
      <c r="BS49" s="1185"/>
      <c r="BT49" s="1185"/>
      <c r="BU49" s="1185"/>
      <c r="BV49" s="1185"/>
      <c r="BW49" s="1185"/>
      <c r="BX49" s="1185"/>
      <c r="BY49" s="1185"/>
      <c r="BZ49" s="1185"/>
      <c r="CA49" s="1185"/>
      <c r="CB49" s="1185"/>
      <c r="CC49" s="1185"/>
      <c r="CD49" s="1185"/>
      <c r="CE49" s="1185"/>
      <c r="CF49" s="1185"/>
      <c r="CG49" s="1185"/>
      <c r="CH49" s="1185"/>
      <c r="CI49" s="1185"/>
      <c r="CJ49" s="1185"/>
      <c r="CK49" s="1185"/>
      <c r="CL49" s="1185"/>
      <c r="CM49" s="1185"/>
      <c r="CN49" s="1185"/>
      <c r="CO49" s="1185"/>
      <c r="CP49" s="1185"/>
      <c r="CQ49" s="1185"/>
      <c r="CR49" s="1185"/>
      <c r="CS49" s="1185"/>
      <c r="CT49" s="1185"/>
      <c r="CU49" s="1245"/>
      <c r="CV49" s="1185"/>
      <c r="CW49" s="1245"/>
      <c r="CX49" s="1245"/>
      <c r="CY49" s="1185"/>
      <c r="CZ49" s="1185"/>
      <c r="DA49" s="1185"/>
      <c r="DB49" s="1183"/>
      <c r="DC49" s="1183"/>
      <c r="DD49" s="1183"/>
      <c r="DE49" s="1183"/>
      <c r="DF49" s="1183"/>
      <c r="DG49" s="1183"/>
      <c r="DH49" s="45"/>
      <c r="DI49" s="45"/>
      <c r="DJ49" s="45"/>
      <c r="DK49" s="45"/>
      <c r="DL49" s="45"/>
      <c r="DM49" s="45"/>
      <c r="DN49" s="45"/>
      <c r="DO49" s="45"/>
      <c r="DP49" s="45"/>
      <c r="DQ49" s="45"/>
      <c r="DR49" s="45"/>
      <c r="DS49" s="45"/>
      <c r="DT49" s="45"/>
      <c r="DU49" s="45"/>
      <c r="DV49" s="45"/>
      <c r="DW49" s="45"/>
      <c r="DX49" s="45"/>
      <c r="DY49" s="45"/>
    </row>
    <row r="50" spans="1:129" ht="12.75" outlineLevel="2">
      <c r="A50" s="1167" t="s">
        <v>734</v>
      </c>
      <c r="B50" s="951"/>
      <c r="C50" s="1222">
        <f>6.221/4</f>
        <v>1.55525</v>
      </c>
      <c r="D50" s="1241">
        <f t="shared" ref="D50:D56" si="93">C50/C10*100</f>
        <v>3.2121981948489164</v>
      </c>
      <c r="E50" s="951" t="s">
        <v>91</v>
      </c>
      <c r="F50" s="951"/>
      <c r="G50" s="267">
        <v>1.5620000000000001</v>
      </c>
      <c r="H50" s="1242">
        <f t="shared" ref="H50:H56" si="94">G50/G10*100</f>
        <v>2.8715346716670345</v>
      </c>
      <c r="I50" s="951"/>
      <c r="J50" s="951"/>
      <c r="K50" s="1222">
        <v>1.669</v>
      </c>
      <c r="L50" s="1242">
        <f t="shared" ref="L50:L56" si="95">K50/K10*100</f>
        <v>2.7382202388764929</v>
      </c>
      <c r="M50" s="951"/>
      <c r="N50" s="951"/>
      <c r="O50" s="1222">
        <v>1.9750000000000001</v>
      </c>
      <c r="P50" s="1242">
        <f t="shared" ref="P50:P56" si="96">O50/O10*100</f>
        <v>1.9810620498726104</v>
      </c>
      <c r="Q50" s="951"/>
      <c r="R50" s="951"/>
      <c r="S50" s="1222">
        <v>2.484</v>
      </c>
      <c r="T50" s="1242">
        <f t="shared" ref="T50:T56" si="97">S50/S10*100</f>
        <v>1.7083436494181727</v>
      </c>
      <c r="U50" s="951"/>
      <c r="V50" s="1232"/>
      <c r="W50" s="267">
        <v>4.2910000000000004</v>
      </c>
      <c r="X50" s="1242">
        <f t="shared" ref="X50:X56" si="98">W50/W10*100</f>
        <v>2.4106877004926996</v>
      </c>
      <c r="Y50" s="951"/>
      <c r="Z50" s="951"/>
      <c r="AA50" s="951"/>
      <c r="AB50" s="267">
        <v>8.0980000000000008</v>
      </c>
      <c r="AC50" s="1242">
        <f t="shared" ref="AC50:AC56" si="99">AB50/AB10*100</f>
        <v>3.2192663030515054</v>
      </c>
      <c r="AD50" s="1226"/>
      <c r="AE50" s="951"/>
      <c r="AF50" s="267">
        <v>11.958</v>
      </c>
      <c r="AG50" s="1242">
        <f t="shared" ref="AG50:AG56" si="100">AF50/AF10*100</f>
        <v>4.3030950761624078</v>
      </c>
      <c r="AH50" s="1226"/>
      <c r="AI50" s="951"/>
      <c r="AJ50" s="267">
        <v>13.416</v>
      </c>
      <c r="AK50" s="1242">
        <f t="shared" ref="AK50:AK56" si="101">AJ50/AJ10*100</f>
        <v>4.5967559566638574</v>
      </c>
      <c r="AL50" s="1226"/>
      <c r="AM50" s="951"/>
      <c r="AN50" s="267">
        <v>15.738</v>
      </c>
      <c r="AO50" s="1242">
        <f t="shared" ref="AO50:AO56" si="102">AN50/AN10*100</f>
        <v>4.7370797339192725</v>
      </c>
      <c r="AP50" s="1226"/>
      <c r="AQ50" s="951"/>
      <c r="AR50" s="267">
        <v>18.102</v>
      </c>
      <c r="AS50" s="1242">
        <f t="shared" ref="AS50:AS56" si="103">AR50/AR10*100</f>
        <v>3.9655886276855137</v>
      </c>
      <c r="AT50" s="1290"/>
      <c r="AU50" s="951"/>
      <c r="AV50" s="577">
        <v>21.434000000000001</v>
      </c>
      <c r="AW50" s="1243">
        <f t="shared" ref="AW50:AW56" si="104">AV50/AV10*100</f>
        <v>4.1027663142098056</v>
      </c>
      <c r="AX50" s="1245"/>
      <c r="AY50" s="951"/>
      <c r="AZ50" s="577">
        <v>25.481999999999999</v>
      </c>
      <c r="BA50" s="1243">
        <f>AZ50/AZ10*100</f>
        <v>4.1611010049217318</v>
      </c>
      <c r="BB50" s="1245"/>
      <c r="BC50" s="951"/>
      <c r="BD50" s="577">
        <v>29.55</v>
      </c>
      <c r="BE50" s="1243">
        <f>BD50/BD10*100</f>
        <v>4.6150097922542797</v>
      </c>
      <c r="BF50" s="1245"/>
      <c r="BG50" s="1245"/>
      <c r="BH50" s="577">
        <f>34.894-1.906</f>
        <v>32.988</v>
      </c>
      <c r="BI50" s="1243">
        <f>BH50/BH10*100</f>
        <v>5.4826576962134297</v>
      </c>
      <c r="BJ50" s="1245"/>
      <c r="BK50" s="1245"/>
      <c r="BL50" s="577">
        <f>35.525-0.071</f>
        <v>35.454000000000001</v>
      </c>
      <c r="BM50" s="1243">
        <f>BL50/BL10*100</f>
        <v>5.4957217261904763</v>
      </c>
      <c r="BN50" s="1245"/>
      <c r="BO50" s="1245"/>
      <c r="BP50" s="577">
        <f>34.88-0.444</f>
        <v>34.436</v>
      </c>
      <c r="BQ50" s="1243">
        <f t="shared" ref="BQ50:BQ57" si="105">BP50/BP10*100</f>
        <v>5.7099840154936947</v>
      </c>
      <c r="BR50" s="1245"/>
      <c r="BS50" s="1245"/>
      <c r="BT50" s="577">
        <v>32.066000000000003</v>
      </c>
      <c r="BU50" s="1243">
        <f t="shared" ref="BU50:BU57" si="106">BT50/BT10*100</f>
        <v>4.5246544705409235</v>
      </c>
      <c r="BV50" s="951"/>
      <c r="BW50" s="951"/>
      <c r="BX50" s="577">
        <v>27.933</v>
      </c>
      <c r="BY50" s="1243">
        <f t="shared" ref="BY50:BY57" si="107">BX50/BX10*100</f>
        <v>4.1109559263963309</v>
      </c>
      <c r="BZ50" s="1229">
        <f>BX50/BT50-1</f>
        <v>-0.12889041352211072</v>
      </c>
      <c r="CA50" s="1245"/>
      <c r="CB50" s="1299">
        <v>32.362000000000002</v>
      </c>
      <c r="CC50" s="1243">
        <f t="shared" ref="CC50:CC57" si="108">CB50/CB10*100</f>
        <v>5.0085973543982707</v>
      </c>
      <c r="CD50" s="1229">
        <f>CB50/BX50-1</f>
        <v>0.15855797801883087</v>
      </c>
      <c r="CE50" s="1245"/>
      <c r="CF50" s="1299">
        <v>35.127000000000002</v>
      </c>
      <c r="CG50" s="1243">
        <f t="shared" ref="CG50:CG57" si="109">CF50/CF10*100</f>
        <v>5.0215862305580981</v>
      </c>
      <c r="CH50" s="1229">
        <f>CF50/CB50-1</f>
        <v>8.5439713243928184E-2</v>
      </c>
      <c r="CI50" s="1245"/>
      <c r="CJ50" s="1299">
        <v>38.783000000000001</v>
      </c>
      <c r="CK50" s="1243">
        <f t="shared" ref="CK50:CK57" si="110">CJ50/CJ10*100</f>
        <v>5.1750963416847249</v>
      </c>
      <c r="CL50" s="1229">
        <f>CJ50/CF50-1</f>
        <v>0.10407948301876035</v>
      </c>
      <c r="CM50" s="1245"/>
      <c r="CN50" s="1299">
        <v>40.445999999999998</v>
      </c>
      <c r="CO50" s="1243">
        <f>CN50/CN10*100</f>
        <v>5.3090166387516469</v>
      </c>
      <c r="CP50" s="1229">
        <f>CN50/CJ50-1</f>
        <v>4.287961220122205E-2</v>
      </c>
      <c r="CQ50" s="1229"/>
      <c r="CR50" s="2136">
        <f>(CS50*CR10)/100</f>
        <v>43.243677549205898</v>
      </c>
      <c r="CS50" s="2196">
        <v>5.35</v>
      </c>
      <c r="CT50" s="1229">
        <f>CR50/CN50-1</f>
        <v>6.9170685585865144E-2</v>
      </c>
      <c r="CU50" s="1245"/>
      <c r="CV50" s="1245"/>
      <c r="CW50" s="1300"/>
      <c r="CX50" s="1300"/>
      <c r="CY50" s="1245"/>
      <c r="CZ50" s="1245"/>
      <c r="DA50" s="1245"/>
      <c r="DB50" s="1290"/>
      <c r="DC50" s="1290"/>
      <c r="DD50" s="1290"/>
      <c r="DE50" s="1290"/>
      <c r="DF50" s="1290"/>
      <c r="DG50" s="1290"/>
      <c r="DH50" s="951"/>
      <c r="DI50" s="951"/>
      <c r="DJ50" s="951"/>
      <c r="DK50" s="951"/>
      <c r="DL50" s="951"/>
      <c r="DM50" s="951"/>
      <c r="DN50" s="951"/>
      <c r="DO50" s="951"/>
      <c r="DP50" s="951"/>
      <c r="DQ50" s="951"/>
      <c r="DR50" s="951"/>
      <c r="DS50" s="951"/>
      <c r="DT50" s="951"/>
      <c r="DU50" s="951"/>
      <c r="DV50" s="951"/>
      <c r="DW50" s="951"/>
      <c r="DX50" s="951"/>
      <c r="DY50" s="951"/>
    </row>
    <row r="51" spans="1:129" ht="12.75" outlineLevel="2">
      <c r="A51" s="1167" t="s">
        <v>735</v>
      </c>
      <c r="B51" s="951"/>
      <c r="C51" s="1226">
        <f>6.221/4</f>
        <v>1.55525</v>
      </c>
      <c r="D51" s="1241">
        <f t="shared" si="93"/>
        <v>2.3803511027442337</v>
      </c>
      <c r="E51" s="951" t="s">
        <v>91</v>
      </c>
      <c r="F51" s="951"/>
      <c r="G51" s="164">
        <v>1.532</v>
      </c>
      <c r="H51" s="1242">
        <f t="shared" si="94"/>
        <v>2.1805656375877134</v>
      </c>
      <c r="I51" s="951"/>
      <c r="J51" s="951"/>
      <c r="K51" s="1226">
        <v>1.7709999999999999</v>
      </c>
      <c r="L51" s="1242">
        <f t="shared" si="95"/>
        <v>2.0555020369317192</v>
      </c>
      <c r="M51" s="951"/>
      <c r="N51" s="951"/>
      <c r="O51" s="1226">
        <v>2.0840000000000001</v>
      </c>
      <c r="P51" s="1242">
        <f t="shared" si="96"/>
        <v>1.657506899650842</v>
      </c>
      <c r="Q51" s="951"/>
      <c r="R51" s="951"/>
      <c r="S51" s="1226">
        <v>2.7530000000000001</v>
      </c>
      <c r="T51" s="1242">
        <f t="shared" si="97"/>
        <v>1.5415887379467137</v>
      </c>
      <c r="U51" s="951"/>
      <c r="V51" s="951"/>
      <c r="W51" s="164">
        <v>4.952</v>
      </c>
      <c r="X51" s="1242">
        <f t="shared" si="98"/>
        <v>2.3696387640745153</v>
      </c>
      <c r="Y51" s="1226"/>
      <c r="Z51" s="951"/>
      <c r="AA51" s="951"/>
      <c r="AB51" s="164">
        <v>9.8510000000000009</v>
      </c>
      <c r="AC51" s="1242">
        <f t="shared" si="99"/>
        <v>3.3691072259158941</v>
      </c>
      <c r="AD51" s="1291"/>
      <c r="AE51" s="951"/>
      <c r="AF51" s="164">
        <v>12.487</v>
      </c>
      <c r="AG51" s="1242">
        <f t="shared" si="100"/>
        <v>3.9119674185463658</v>
      </c>
      <c r="AH51" s="1291"/>
      <c r="AI51" s="951"/>
      <c r="AJ51" s="164">
        <v>13.763</v>
      </c>
      <c r="AK51" s="1242">
        <f t="shared" si="101"/>
        <v>4.0833098455741643</v>
      </c>
      <c r="AL51" s="1291"/>
      <c r="AM51" s="951"/>
      <c r="AN51" s="598">
        <v>16.885999999999999</v>
      </c>
      <c r="AO51" s="1242">
        <f t="shared" si="102"/>
        <v>4.2705904370741674</v>
      </c>
      <c r="AP51" s="1291"/>
      <c r="AQ51" s="951"/>
      <c r="AR51" s="164">
        <v>18.581</v>
      </c>
      <c r="AS51" s="1242">
        <f t="shared" si="103"/>
        <v>3.6018904060728709</v>
      </c>
      <c r="AT51" s="1291"/>
      <c r="AU51" s="951"/>
      <c r="AV51" s="598">
        <v>23.236999999999998</v>
      </c>
      <c r="AW51" s="1243">
        <f t="shared" si="104"/>
        <v>3.8578776277298341</v>
      </c>
      <c r="AX51" s="1300"/>
      <c r="AY51" s="951"/>
      <c r="AZ51" s="598">
        <v>27.375</v>
      </c>
      <c r="BA51" s="1243">
        <f t="shared" ref="BA51:BA56" si="111">AZ51/AZ11*100</f>
        <v>3.8929789857349877</v>
      </c>
      <c r="BB51" s="1300"/>
      <c r="BC51" s="951"/>
      <c r="BD51" s="598">
        <v>32.058999999999997</v>
      </c>
      <c r="BE51" s="1243">
        <f t="shared" ref="BE51:BE56" si="112">BD51/BD11*100</f>
        <v>4.6542250096179663</v>
      </c>
      <c r="BF51" s="1300"/>
      <c r="BG51" s="1300"/>
      <c r="BH51" s="598">
        <f>35.341-1.91</f>
        <v>33.431000000000004</v>
      </c>
      <c r="BI51" s="1243">
        <f t="shared" ref="BI51:BI56" si="113">BH51/BH11*100</f>
        <v>5.1686925438854177</v>
      </c>
      <c r="BJ51" s="1300"/>
      <c r="BK51" s="1300"/>
      <c r="BL51" s="598">
        <f>36.049-0.098</f>
        <v>35.951000000000001</v>
      </c>
      <c r="BM51" s="1243">
        <f t="shared" ref="BM51:BM56" si="114">BL51/BL11*100</f>
        <v>5.5416568399407469</v>
      </c>
      <c r="BN51" s="1300"/>
      <c r="BO51" s="1300"/>
      <c r="BP51" s="598">
        <f>35.675-0.678</f>
        <v>34.997</v>
      </c>
      <c r="BQ51" s="1243">
        <f t="shared" si="105"/>
        <v>5.2303024868483972</v>
      </c>
      <c r="BR51" s="1245"/>
      <c r="BS51" s="1300"/>
      <c r="BT51" s="598">
        <f>32.643-0.71</f>
        <v>31.933</v>
      </c>
      <c r="BU51" s="1243">
        <f t="shared" si="106"/>
        <v>4.3171371403850314</v>
      </c>
      <c r="BV51" s="951"/>
      <c r="BW51" s="951"/>
      <c r="BX51" s="1210">
        <v>29.734000000000002</v>
      </c>
      <c r="BY51" s="1243">
        <f t="shared" si="107"/>
        <v>4.0881986160016393</v>
      </c>
      <c r="BZ51" s="1229">
        <f>BX51/BT51-1</f>
        <v>-6.8862931763379542E-2</v>
      </c>
      <c r="CA51" s="1245"/>
      <c r="CB51" s="1210">
        <v>35.421999999999997</v>
      </c>
      <c r="CC51" s="1243">
        <f t="shared" si="108"/>
        <v>4.9848366509755904</v>
      </c>
      <c r="CD51" s="1229">
        <f>CB51/BX51-1</f>
        <v>0.19129615927893973</v>
      </c>
      <c r="CE51" s="1245"/>
      <c r="CF51" s="1210">
        <v>36.109000000000002</v>
      </c>
      <c r="CG51" s="1243">
        <f t="shared" si="109"/>
        <v>4.5281831086944528</v>
      </c>
      <c r="CH51" s="1229">
        <f>CF51/CB51-1</f>
        <v>1.9394726441194887E-2</v>
      </c>
      <c r="CI51" s="1245"/>
      <c r="CJ51" s="1210">
        <v>38.9</v>
      </c>
      <c r="CK51" s="1243">
        <f t="shared" si="110"/>
        <v>4.7289428320653926</v>
      </c>
      <c r="CL51" s="1229">
        <f>CJ51/CF51-1</f>
        <v>7.729374948073886E-2</v>
      </c>
      <c r="CM51" s="1245"/>
      <c r="CN51" s="1210">
        <v>40.283000000000001</v>
      </c>
      <c r="CO51" s="1243">
        <f>CN51/CN11*100</f>
        <v>4.7697195097548182</v>
      </c>
      <c r="CP51" s="1229">
        <f>CN51/CJ51-1</f>
        <v>3.5552699228791784E-2</v>
      </c>
      <c r="CQ51" s="1229"/>
      <c r="CR51" s="1211">
        <f>(CS51*CR11)/100</f>
        <v>44.65943702318549</v>
      </c>
      <c r="CS51" s="2196">
        <v>4.9000000000000004</v>
      </c>
      <c r="CT51" s="1229">
        <f>CR51/CN51-1</f>
        <v>0.10864228143846</v>
      </c>
      <c r="CU51" s="1245"/>
      <c r="CV51" s="1300"/>
      <c r="CW51" s="1300"/>
      <c r="CX51" s="1300"/>
      <c r="CY51" s="1300"/>
      <c r="CZ51" s="1300"/>
      <c r="DA51" s="1300"/>
      <c r="DB51" s="1291"/>
      <c r="DC51" s="1291"/>
      <c r="DD51" s="1291"/>
      <c r="DE51" s="1226"/>
      <c r="DF51" s="1291"/>
      <c r="DG51" s="1291"/>
      <c r="DH51" s="951"/>
      <c r="DI51" s="951"/>
      <c r="DJ51" s="951"/>
      <c r="DK51" s="951"/>
      <c r="DL51" s="951"/>
      <c r="DM51" s="951"/>
      <c r="DN51" s="951"/>
      <c r="DO51" s="951"/>
      <c r="DP51" s="951"/>
      <c r="DQ51" s="951"/>
      <c r="DR51" s="951"/>
      <c r="DS51" s="951"/>
      <c r="DT51" s="951"/>
      <c r="DU51" s="951"/>
      <c r="DV51" s="951"/>
      <c r="DW51" s="951"/>
      <c r="DX51" s="951"/>
      <c r="DY51" s="951"/>
    </row>
    <row r="52" spans="1:129" ht="12.75" outlineLevel="2">
      <c r="A52" s="1167" t="s">
        <v>736</v>
      </c>
      <c r="B52" s="951"/>
      <c r="C52" s="1247">
        <f>6.221/4</f>
        <v>1.55525</v>
      </c>
      <c r="D52" s="1241">
        <f t="shared" si="93"/>
        <v>1.8108517203236887</v>
      </c>
      <c r="E52" s="951" t="s">
        <v>91</v>
      </c>
      <c r="F52" s="951"/>
      <c r="G52" s="169">
        <v>1.452</v>
      </c>
      <c r="H52" s="1242">
        <f t="shared" si="94"/>
        <v>1.8415645689064757</v>
      </c>
      <c r="I52" s="951"/>
      <c r="J52" s="951"/>
      <c r="K52" s="1247">
        <v>1.859</v>
      </c>
      <c r="L52" s="1242">
        <f t="shared" si="95"/>
        <v>1.772130178642924</v>
      </c>
      <c r="M52" s="951"/>
      <c r="N52" s="951"/>
      <c r="O52" s="1247">
        <v>2.1419999999999999</v>
      </c>
      <c r="P52" s="1242">
        <f t="shared" si="96"/>
        <v>1.4369281133442455</v>
      </c>
      <c r="Q52" s="951"/>
      <c r="R52" s="951"/>
      <c r="S52" s="1247">
        <v>3.1930000000000001</v>
      </c>
      <c r="T52" s="1242">
        <f t="shared" si="97"/>
        <v>1.4338124682859361</v>
      </c>
      <c r="U52" s="951"/>
      <c r="V52" s="951"/>
      <c r="W52" s="169">
        <v>5.7089999999999996</v>
      </c>
      <c r="X52" s="1242">
        <f t="shared" si="98"/>
        <v>2.0189767547132442</v>
      </c>
      <c r="Y52" s="1226"/>
      <c r="Z52" s="951"/>
      <c r="AA52" s="951"/>
      <c r="AB52" s="169">
        <v>11.403</v>
      </c>
      <c r="AC52" s="1242">
        <f t="shared" si="99"/>
        <v>3.1356298070445119</v>
      </c>
      <c r="AD52" s="1291"/>
      <c r="AE52" s="951"/>
      <c r="AF52" s="169">
        <v>12.968999999999999</v>
      </c>
      <c r="AG52" s="1242">
        <f t="shared" si="100"/>
        <v>3.463072839618258</v>
      </c>
      <c r="AH52" s="1291"/>
      <c r="AI52" s="951"/>
      <c r="AJ52" s="169">
        <v>14.372999999999999</v>
      </c>
      <c r="AK52" s="1242">
        <f t="shared" si="101"/>
        <v>3.8451043338683788</v>
      </c>
      <c r="AL52" s="1291"/>
      <c r="AM52" s="951"/>
      <c r="AN52" s="1210">
        <v>17.344999999999999</v>
      </c>
      <c r="AO52" s="1242">
        <f t="shared" si="102"/>
        <v>3.6166685780414314</v>
      </c>
      <c r="AP52" s="1291"/>
      <c r="AQ52" s="951"/>
      <c r="AR52" s="169">
        <v>18.745999999999999</v>
      </c>
      <c r="AS52" s="1242">
        <f t="shared" si="103"/>
        <v>3.2290236621668869</v>
      </c>
      <c r="AT52" s="1291"/>
      <c r="AU52" s="951"/>
      <c r="AV52" s="1210">
        <v>21.391999999999999</v>
      </c>
      <c r="AW52" s="1243">
        <f t="shared" si="104"/>
        <v>3.0722831004322915</v>
      </c>
      <c r="AX52" s="1300"/>
      <c r="AY52" s="951"/>
      <c r="AZ52" s="1210">
        <v>27.867000000000001</v>
      </c>
      <c r="BA52" s="1243">
        <f t="shared" si="111"/>
        <v>3.7433356213974749</v>
      </c>
      <c r="BB52" s="1300"/>
      <c r="BC52" s="951"/>
      <c r="BD52" s="1210">
        <v>32.816000000000003</v>
      </c>
      <c r="BE52" s="1243">
        <f t="shared" si="112"/>
        <v>4.3520468518744471</v>
      </c>
      <c r="BF52" s="1210"/>
      <c r="BG52" s="1300"/>
      <c r="BH52" s="598">
        <f>36.557-1.904</f>
        <v>34.653000000000006</v>
      </c>
      <c r="BI52" s="1243">
        <f t="shared" si="113"/>
        <v>4.7082176760945158</v>
      </c>
      <c r="BJ52" s="598"/>
      <c r="BK52" s="1300"/>
      <c r="BL52" s="598">
        <f>35.804-0.27</f>
        <v>35.533999999999999</v>
      </c>
      <c r="BM52" s="1243">
        <f t="shared" si="114"/>
        <v>4.770631362866836</v>
      </c>
      <c r="BN52" s="1300"/>
      <c r="BO52" s="1300"/>
      <c r="BP52" s="598">
        <f>35.199-0.784</f>
        <v>34.414999999999999</v>
      </c>
      <c r="BQ52" s="1243">
        <f t="shared" si="105"/>
        <v>4.1999270214627682</v>
      </c>
      <c r="BR52" s="1245"/>
      <c r="BS52" s="1300"/>
      <c r="BT52" s="598">
        <v>31.420999999999999</v>
      </c>
      <c r="BU52" s="1243">
        <f>BT52/BT12*100</f>
        <v>3.4514386395042034</v>
      </c>
      <c r="BV52" s="1301"/>
      <c r="BW52" s="1301"/>
      <c r="BX52" s="1210">
        <v>31.998000000000001</v>
      </c>
      <c r="BY52" s="1243">
        <f t="shared" si="107"/>
        <v>3.732393955476756</v>
      </c>
      <c r="BZ52" s="1229">
        <f>BX52/BT52-1</f>
        <v>1.8363514846758688E-2</v>
      </c>
      <c r="CA52" s="1245"/>
      <c r="CB52" s="1210">
        <v>36.527999999999999</v>
      </c>
      <c r="CC52" s="1243">
        <f t="shared" si="108"/>
        <v>4.2758313921502067</v>
      </c>
      <c r="CD52" s="1229">
        <f>CB52/BX52-1</f>
        <v>0.14157134820926309</v>
      </c>
      <c r="CE52" s="1245"/>
      <c r="CF52" s="1210">
        <v>37.622999999999998</v>
      </c>
      <c r="CG52" s="1243">
        <f t="shared" si="109"/>
        <v>4.0935857038403949</v>
      </c>
      <c r="CH52" s="1229">
        <f>CF52/CB52-1</f>
        <v>2.9977003942181391E-2</v>
      </c>
      <c r="CI52" s="1245"/>
      <c r="CJ52" s="1210">
        <v>39.636000000000003</v>
      </c>
      <c r="CK52" s="1243">
        <f t="shared" si="110"/>
        <v>4.2138656976490765</v>
      </c>
      <c r="CL52" s="1229">
        <f>CJ52/CF52-1</f>
        <v>5.3504505222869092E-2</v>
      </c>
      <c r="CM52" s="1245"/>
      <c r="CN52" s="1210">
        <v>43.149000000000001</v>
      </c>
      <c r="CO52" s="1243">
        <f>CN52/CN12*100</f>
        <v>4.4926611226394764</v>
      </c>
      <c r="CP52" s="1229">
        <f>CN52/CJ52-1</f>
        <v>8.8631547078413586E-2</v>
      </c>
      <c r="CQ52" s="1229"/>
      <c r="CR52" s="1211">
        <f>(CS52*CR12)/100</f>
        <v>44.657375199095661</v>
      </c>
      <c r="CS52" s="2196">
        <v>4.6500000000000004</v>
      </c>
      <c r="CT52" s="1229">
        <f>CR52/CN52-1</f>
        <v>3.4957361679196719E-2</v>
      </c>
      <c r="CU52" s="1245"/>
      <c r="CV52" s="1300"/>
      <c r="CW52" s="1158"/>
      <c r="CX52" s="1158"/>
      <c r="CY52" s="1300"/>
      <c r="CZ52" s="1300"/>
      <c r="DA52" s="1300"/>
      <c r="DB52" s="1291"/>
      <c r="DC52" s="1291"/>
      <c r="DD52" s="1291"/>
      <c r="DE52" s="1302"/>
      <c r="DF52" s="1291"/>
      <c r="DG52" s="1291"/>
      <c r="DH52" s="951"/>
      <c r="DI52" s="951"/>
      <c r="DJ52" s="951"/>
      <c r="DK52" s="951"/>
      <c r="DL52" s="951"/>
      <c r="DM52" s="951"/>
      <c r="DN52" s="951"/>
      <c r="DO52" s="951"/>
      <c r="DP52" s="951"/>
      <c r="DQ52" s="951"/>
      <c r="DR52" s="951"/>
      <c r="DS52" s="951"/>
      <c r="DT52" s="951"/>
      <c r="DU52" s="951"/>
      <c r="DV52" s="951"/>
      <c r="DW52" s="951"/>
      <c r="DX52" s="951"/>
      <c r="DY52" s="951"/>
    </row>
    <row r="53" spans="1:129" ht="12.75" outlineLevel="2">
      <c r="A53" s="1167" t="s">
        <v>737</v>
      </c>
      <c r="B53" s="951"/>
      <c r="C53" s="1248">
        <f>6.221/4</f>
        <v>1.55525</v>
      </c>
      <c r="D53" s="1241">
        <f t="shared" si="93"/>
        <v>1.1054917403542692</v>
      </c>
      <c r="E53" s="951" t="s">
        <v>91</v>
      </c>
      <c r="F53" s="951"/>
      <c r="G53" s="256">
        <v>1.5409999999999999</v>
      </c>
      <c r="H53" s="1242">
        <f t="shared" si="94"/>
        <v>1.2538139213213457</v>
      </c>
      <c r="I53" s="951"/>
      <c r="J53" s="951"/>
      <c r="K53" s="1248">
        <f>7.318-5.299</f>
        <v>2.0189999999999992</v>
      </c>
      <c r="L53" s="1242">
        <f t="shared" si="95"/>
        <v>1.3135979180221207</v>
      </c>
      <c r="M53" s="951"/>
      <c r="N53" s="951"/>
      <c r="O53" s="1248">
        <f>8.611-6.201</f>
        <v>2.410000000000001</v>
      </c>
      <c r="P53" s="1242">
        <f t="shared" si="96"/>
        <v>1.1308873007456355</v>
      </c>
      <c r="Q53" s="951"/>
      <c r="R53" s="951"/>
      <c r="S53" s="1248">
        <v>3.7690000000000001</v>
      </c>
      <c r="T53" s="1242">
        <f t="shared" si="97"/>
        <v>1.3204869930804939</v>
      </c>
      <c r="U53" s="951"/>
      <c r="V53" s="951"/>
      <c r="W53" s="256">
        <v>8.2479999999999993</v>
      </c>
      <c r="X53" s="1242">
        <f t="shared" si="98"/>
        <v>1.9465041747889007</v>
      </c>
      <c r="Y53" s="1226"/>
      <c r="Z53" s="951"/>
      <c r="AA53" s="951"/>
      <c r="AB53" s="256">
        <v>12.523</v>
      </c>
      <c r="AC53" s="1242">
        <f t="shared" si="99"/>
        <v>2.6971785483523583</v>
      </c>
      <c r="AD53" s="951"/>
      <c r="AE53" s="951"/>
      <c r="AF53" s="256">
        <v>13.247</v>
      </c>
      <c r="AG53" s="1242">
        <f t="shared" si="100"/>
        <v>2.6949226331186402</v>
      </c>
      <c r="AH53" s="951"/>
      <c r="AI53" s="951"/>
      <c r="AJ53" s="256">
        <v>15.704000000000001</v>
      </c>
      <c r="AK53" s="1242">
        <f t="shared" si="101"/>
        <v>3.201108891516165</v>
      </c>
      <c r="AL53" s="951"/>
      <c r="AM53" s="951"/>
      <c r="AN53" s="1217">
        <v>18.303999999999998</v>
      </c>
      <c r="AO53" s="1242">
        <f t="shared" si="102"/>
        <v>2.7156303039654373</v>
      </c>
      <c r="AP53" s="1303"/>
      <c r="AQ53" s="951"/>
      <c r="AR53" s="256">
        <v>18.995999999999999</v>
      </c>
      <c r="AS53" s="1242">
        <f t="shared" si="103"/>
        <v>2.4699962292119051</v>
      </c>
      <c r="AT53" s="598"/>
      <c r="AU53" s="951"/>
      <c r="AV53" s="256">
        <v>21.97</v>
      </c>
      <c r="AW53" s="1243">
        <f t="shared" si="104"/>
        <v>2.2571183471770611</v>
      </c>
      <c r="AX53" s="598"/>
      <c r="AY53" s="951"/>
      <c r="AZ53" s="1217">
        <v>28.478999999999999</v>
      </c>
      <c r="BA53" s="1243">
        <f t="shared" si="111"/>
        <v>2.8610580057685295</v>
      </c>
      <c r="BB53" s="598"/>
      <c r="BC53" s="951"/>
      <c r="BD53" s="1217">
        <v>36.793999999999997</v>
      </c>
      <c r="BE53" s="1243">
        <f t="shared" si="112"/>
        <v>4.0624347889452839</v>
      </c>
      <c r="BF53" s="598"/>
      <c r="BG53" s="1158"/>
      <c r="BH53" s="1217">
        <f>38.616-1.928</f>
        <v>36.688000000000002</v>
      </c>
      <c r="BI53" s="1243">
        <f t="shared" si="113"/>
        <v>3.8385362337188123</v>
      </c>
      <c r="BJ53" s="598"/>
      <c r="BK53" s="1158"/>
      <c r="BL53" s="1217">
        <f>33.123-0.387</f>
        <v>32.735999999999997</v>
      </c>
      <c r="BM53" s="1243">
        <f t="shared" si="114"/>
        <v>3.6109174660042536</v>
      </c>
      <c r="BN53" s="1158"/>
      <c r="BO53" s="1158"/>
      <c r="BP53" s="1217">
        <f>34.893-0.783</f>
        <v>34.11</v>
      </c>
      <c r="BQ53" s="1243">
        <f t="shared" si="105"/>
        <v>3.3166673473078694</v>
      </c>
      <c r="BR53" s="1245"/>
      <c r="BS53" s="1158"/>
      <c r="BT53" s="1217">
        <v>30.116</v>
      </c>
      <c r="BU53" s="1243">
        <f t="shared" si="106"/>
        <v>2.696022480580599</v>
      </c>
      <c r="BV53" s="1301"/>
      <c r="BW53" s="1301"/>
      <c r="BX53" s="1217">
        <f>34.703-4.118</f>
        <v>30.585000000000001</v>
      </c>
      <c r="BY53" s="1243">
        <f t="shared" si="107"/>
        <v>2.936046316286633</v>
      </c>
      <c r="BZ53" s="1229">
        <f>BX53/BT53-1</f>
        <v>1.5573117279851223E-2</v>
      </c>
      <c r="CA53" s="1245"/>
      <c r="CB53" s="1217">
        <v>36.878999999999998</v>
      </c>
      <c r="CC53" s="1243">
        <f t="shared" si="108"/>
        <v>3.440677033137939</v>
      </c>
      <c r="CD53" s="1229">
        <f>CB53/BX53-1</f>
        <v>0.20578715056400187</v>
      </c>
      <c r="CE53" s="1245"/>
      <c r="CF53" s="1217">
        <v>39.295000000000002</v>
      </c>
      <c r="CG53" s="1243">
        <f t="shared" si="109"/>
        <v>3.5534459246826815</v>
      </c>
      <c r="CH53" s="1229">
        <f>CF53/CB53-1</f>
        <v>6.5511537731500313E-2</v>
      </c>
      <c r="CI53" s="1245"/>
      <c r="CJ53" s="1217">
        <v>39.402999999999999</v>
      </c>
      <c r="CK53" s="1243">
        <f t="shared" si="110"/>
        <v>3.5910816717490879</v>
      </c>
      <c r="CL53" s="1229">
        <f>CJ53/CF53-1</f>
        <v>2.748441277516056E-3</v>
      </c>
      <c r="CM53" s="1245"/>
      <c r="CN53" s="1217">
        <v>43.542999999999999</v>
      </c>
      <c r="CO53" s="1243">
        <f>CN53/CN13*100</f>
        <v>3.5437604732718437</v>
      </c>
      <c r="CP53" s="1229">
        <f>CN53/CJ53-1</f>
        <v>0.1050681420196431</v>
      </c>
      <c r="CQ53" s="1229"/>
      <c r="CR53" s="1218">
        <f>(CS53*CR13)/100</f>
        <v>45.483655371419125</v>
      </c>
      <c r="CS53" s="2196">
        <v>3.9</v>
      </c>
      <c r="CT53" s="1229">
        <f>CR53/CN53-1</f>
        <v>4.4568710732359351E-2</v>
      </c>
      <c r="CU53" s="1245"/>
      <c r="CV53" s="1158"/>
      <c r="CW53" s="1229"/>
      <c r="CX53" s="1229"/>
      <c r="CY53" s="1158"/>
      <c r="CZ53" s="1158"/>
      <c r="DA53" s="1158"/>
      <c r="DB53" s="951"/>
      <c r="DC53" s="951"/>
      <c r="DD53" s="951"/>
      <c r="DE53" s="1226"/>
      <c r="DF53" s="951"/>
      <c r="DG53" s="951"/>
      <c r="DH53" s="951"/>
      <c r="DI53" s="951"/>
      <c r="DJ53" s="951"/>
      <c r="DK53" s="951"/>
      <c r="DL53" s="951"/>
      <c r="DM53" s="951"/>
      <c r="DN53" s="951"/>
      <c r="DO53" s="951"/>
      <c r="DP53" s="951"/>
      <c r="DQ53" s="951"/>
      <c r="DR53" s="951"/>
      <c r="DS53" s="951"/>
      <c r="DT53" s="951"/>
      <c r="DU53" s="951"/>
      <c r="DV53" s="951"/>
      <c r="DW53" s="951"/>
      <c r="DX53" s="951"/>
      <c r="DY53" s="951"/>
    </row>
    <row r="54" spans="1:129" ht="12.75" outlineLevel="2">
      <c r="A54" s="1167" t="s">
        <v>762</v>
      </c>
      <c r="B54" s="951"/>
      <c r="C54" s="1222">
        <f>SUM(C50:C53)</f>
        <v>6.2210000000000001</v>
      </c>
      <c r="D54" s="1241">
        <f t="shared" si="93"/>
        <v>1.8279693115070095</v>
      </c>
      <c r="E54" s="951"/>
      <c r="F54" s="951"/>
      <c r="G54" s="1222">
        <f>SUM(G50:G53)</f>
        <v>6.0869999999999997</v>
      </c>
      <c r="H54" s="1242">
        <f t="shared" si="94"/>
        <v>1.8648668521219103</v>
      </c>
      <c r="I54" s="951"/>
      <c r="J54" s="951"/>
      <c r="K54" s="1222">
        <f>SUM(K50:K53)</f>
        <v>7.3179999999999987</v>
      </c>
      <c r="L54" s="1242">
        <f t="shared" si="95"/>
        <v>1.8037381104376737</v>
      </c>
      <c r="M54" s="951"/>
      <c r="N54" s="951"/>
      <c r="O54" s="1222">
        <f>SUM(O50:O53)</f>
        <v>8.6110000000000007</v>
      </c>
      <c r="P54" s="1242">
        <f t="shared" si="96"/>
        <v>1.4654526889040165</v>
      </c>
      <c r="Q54" s="951"/>
      <c r="R54" s="951"/>
      <c r="S54" s="1222">
        <f>SUM(S50:S53)</f>
        <v>12.199</v>
      </c>
      <c r="T54" s="1242">
        <f t="shared" si="97"/>
        <v>1.4660427062001864</v>
      </c>
      <c r="U54" s="951"/>
      <c r="V54" s="951"/>
      <c r="W54" s="1222">
        <f>SUM(W50:W53)</f>
        <v>23.2</v>
      </c>
      <c r="X54" s="1242">
        <f t="shared" si="98"/>
        <v>2.121672426580532</v>
      </c>
      <c r="Y54" s="951"/>
      <c r="Z54" s="951"/>
      <c r="AA54" s="951"/>
      <c r="AB54" s="1222">
        <f>SUM(AB50:AB53)</f>
        <v>41.875</v>
      </c>
      <c r="AC54" s="1242">
        <f t="shared" si="99"/>
        <v>3.0523384010047385</v>
      </c>
      <c r="AD54" s="951"/>
      <c r="AE54" s="951"/>
      <c r="AF54" s="1201">
        <f>SUM(AF50:AF53)</f>
        <v>50.661000000000001</v>
      </c>
      <c r="AG54" s="1242">
        <f t="shared" si="100"/>
        <v>3.4624824265057161</v>
      </c>
      <c r="AH54" s="56"/>
      <c r="AI54" s="951"/>
      <c r="AJ54" s="1201">
        <f>SUM(AJ50:AJ53)</f>
        <v>57.256</v>
      </c>
      <c r="AK54" s="1242">
        <f t="shared" si="101"/>
        <v>3.8342107007800887</v>
      </c>
      <c r="AL54" s="56"/>
      <c r="AM54" s="951"/>
      <c r="AN54" s="1201">
        <f>SUM(AN50:AN53)</f>
        <v>68.272999999999996</v>
      </c>
      <c r="AO54" s="1242">
        <f t="shared" si="102"/>
        <v>3.6291469301381372</v>
      </c>
      <c r="AP54" s="56"/>
      <c r="AQ54" s="951"/>
      <c r="AR54" s="1201">
        <f>SUM(AR50:AR53)</f>
        <v>74.424999999999997</v>
      </c>
      <c r="AS54" s="1242">
        <f t="shared" si="103"/>
        <v>3.2052634797640955</v>
      </c>
      <c r="AT54" s="56"/>
      <c r="AU54" s="951"/>
      <c r="AV54" s="1201">
        <f>SUM(AV50:AV53)</f>
        <v>88.033000000000001</v>
      </c>
      <c r="AW54" s="1243">
        <f t="shared" si="104"/>
        <v>3.1503262407185204</v>
      </c>
      <c r="AX54" s="590"/>
      <c r="AY54" s="951"/>
      <c r="AZ54" s="1201">
        <f>SUM(AZ50:AZ53)</f>
        <v>109.203</v>
      </c>
      <c r="BA54" s="1243">
        <f t="shared" si="111"/>
        <v>3.574076092346091</v>
      </c>
      <c r="BB54" s="590"/>
      <c r="BC54" s="951"/>
      <c r="BD54" s="1201">
        <f>SUM(BD50:BD53)</f>
        <v>131.21899999999999</v>
      </c>
      <c r="BE54" s="1243">
        <f t="shared" si="112"/>
        <v>4.3902603863806542</v>
      </c>
      <c r="BF54" s="598"/>
      <c r="BG54" s="590"/>
      <c r="BH54" s="1201">
        <f>SUM(BH50:BH53)</f>
        <v>137.76000000000002</v>
      </c>
      <c r="BI54" s="1243">
        <f t="shared" si="113"/>
        <v>4.6852855980184138</v>
      </c>
      <c r="BJ54" s="1229"/>
      <c r="BK54" s="1229"/>
      <c r="BL54" s="1201">
        <f>SUM(BL50:BL53)</f>
        <v>139.67499999999998</v>
      </c>
      <c r="BM54" s="1243">
        <f t="shared" si="114"/>
        <v>4.7423109543563386</v>
      </c>
      <c r="BN54" s="1229"/>
      <c r="BO54" s="1229"/>
      <c r="BP54" s="1201">
        <f>SUM(BP50:BP53)</f>
        <v>137.95799999999997</v>
      </c>
      <c r="BQ54" s="1243">
        <f t="shared" si="105"/>
        <v>4.4216386517588564</v>
      </c>
      <c r="BR54" s="1229"/>
      <c r="BS54" s="1229"/>
      <c r="BT54" s="1201">
        <f>SUM(BT50:BT53)</f>
        <v>125.536</v>
      </c>
      <c r="BU54" s="1243">
        <f t="shared" si="106"/>
        <v>3.611713210361235</v>
      </c>
      <c r="BV54" s="1229"/>
      <c r="BW54" s="1229"/>
      <c r="BX54" s="1201">
        <f>SUM(BX50:BX53)</f>
        <v>120.25</v>
      </c>
      <c r="BY54" s="1243">
        <f t="shared" si="107"/>
        <v>3.6375439303382358</v>
      </c>
      <c r="BZ54" s="1229">
        <f>BX54/BT54-1</f>
        <v>-4.2107443283201595E-2</v>
      </c>
      <c r="CA54" s="1229"/>
      <c r="CB54" s="1201">
        <f>SUM(CB50:CB53)</f>
        <v>141.19099999999997</v>
      </c>
      <c r="CC54" s="1243">
        <f t="shared" si="108"/>
        <v>4.3008443534264398</v>
      </c>
      <c r="CD54" s="1229">
        <f>CB54/BX54-1</f>
        <v>0.17414553014552991</v>
      </c>
      <c r="CE54" s="1229"/>
      <c r="CF54" s="1201">
        <f>SUM(CF50:CF53)</f>
        <v>148.154</v>
      </c>
      <c r="CG54" s="1243">
        <f t="shared" si="109"/>
        <v>4.2067119307817942</v>
      </c>
      <c r="CH54" s="1229">
        <f>CF54/CB54-1</f>
        <v>4.9316174543703406E-2</v>
      </c>
      <c r="CI54" s="1229"/>
      <c r="CJ54" s="1201">
        <f>SUM(CJ50:CJ53)</f>
        <v>156.72199999999998</v>
      </c>
      <c r="CK54" s="1243">
        <f t="shared" si="110"/>
        <v>4.3414919948529924</v>
      </c>
      <c r="CL54" s="1229">
        <f>CJ54/CF54-1</f>
        <v>5.7831715647231885E-2</v>
      </c>
      <c r="CM54" s="1229"/>
      <c r="CN54" s="1201">
        <f>SUM(CN50:CN53)</f>
        <v>167.42099999999999</v>
      </c>
      <c r="CO54" s="1243">
        <f>CN54/CN14*100</f>
        <v>4.4109824428560929</v>
      </c>
      <c r="CP54" s="1229">
        <f>CN54/CJ54-1</f>
        <v>6.8267377904825288E-2</v>
      </c>
      <c r="CQ54" s="1229"/>
      <c r="CR54" s="1201">
        <f>SUM(CR50:CR53)</f>
        <v>178.04414514290619</v>
      </c>
      <c r="CS54" s="1243">
        <f>CR54/CR14*100</f>
        <v>4.6289341386846514</v>
      </c>
      <c r="CT54" s="1229">
        <f>CR54/CN54-1</f>
        <v>6.3451688515217208E-2</v>
      </c>
      <c r="CU54" s="1158"/>
      <c r="CV54" s="1229"/>
      <c r="CW54" s="1158"/>
      <c r="CX54" s="1158"/>
      <c r="CY54" s="1229"/>
      <c r="CZ54" s="590"/>
      <c r="DA54" s="590"/>
      <c r="DB54" s="56"/>
      <c r="DC54" s="1304"/>
      <c r="DD54" s="1304"/>
      <c r="DE54" s="56"/>
      <c r="DF54" s="56"/>
      <c r="DG54" s="56"/>
      <c r="DH54" s="951"/>
      <c r="DI54" s="951"/>
      <c r="DJ54" s="951"/>
      <c r="DK54" s="951"/>
      <c r="DL54" s="951"/>
      <c r="DM54" s="951"/>
      <c r="DN54" s="951"/>
      <c r="DO54" s="951"/>
      <c r="DP54" s="951"/>
      <c r="DQ54" s="951"/>
      <c r="DR54" s="951"/>
      <c r="DS54" s="951"/>
      <c r="DT54" s="951"/>
      <c r="DU54" s="951"/>
      <c r="DV54" s="951"/>
      <c r="DW54" s="951"/>
      <c r="DX54" s="951"/>
      <c r="DY54" s="951"/>
    </row>
    <row r="55" spans="1:129" ht="12.75" hidden="1" customHeight="1" outlineLevel="3">
      <c r="A55" s="1167" t="s">
        <v>769</v>
      </c>
      <c r="B55" s="951"/>
      <c r="C55" s="1226">
        <f>C50+C51</f>
        <v>3.1105</v>
      </c>
      <c r="D55" s="1241">
        <f t="shared" si="93"/>
        <v>2.7344093394517994</v>
      </c>
      <c r="E55" s="951" t="s">
        <v>91</v>
      </c>
      <c r="F55" s="951"/>
      <c r="G55" s="1226">
        <f>G50+G51</f>
        <v>3.0940000000000003</v>
      </c>
      <c r="H55" s="1242">
        <f t="shared" si="94"/>
        <v>2.4820902826245659</v>
      </c>
      <c r="I55" s="951"/>
      <c r="J55" s="951"/>
      <c r="K55" s="1226">
        <f>K50+K51</f>
        <v>3.44</v>
      </c>
      <c r="L55" s="1242">
        <f t="shared" si="95"/>
        <v>2.338370346201168</v>
      </c>
      <c r="M55" s="951"/>
      <c r="N55" s="951"/>
      <c r="O55" s="1226">
        <f>O50+O51</f>
        <v>4.0590000000000002</v>
      </c>
      <c r="P55" s="1242">
        <f t="shared" si="96"/>
        <v>1.8005988688033714</v>
      </c>
      <c r="Q55" s="951"/>
      <c r="R55" s="951"/>
      <c r="S55" s="1226">
        <f>S50+S51</f>
        <v>5.2370000000000001</v>
      </c>
      <c r="T55" s="1242">
        <f t="shared" si="97"/>
        <v>1.6164278703400765</v>
      </c>
      <c r="U55" s="951"/>
      <c r="V55" s="951"/>
      <c r="W55" s="1226">
        <f>W50+W51</f>
        <v>9.2430000000000003</v>
      </c>
      <c r="X55" s="1242">
        <f t="shared" si="98"/>
        <v>2.3885202183081122</v>
      </c>
      <c r="Y55" s="951"/>
      <c r="Z55" s="951"/>
      <c r="AA55" s="951"/>
      <c r="AB55" s="1226">
        <f>AB50+AB51</f>
        <v>17.949000000000002</v>
      </c>
      <c r="AC55" s="1242">
        <f t="shared" si="99"/>
        <v>3.2998124793175716</v>
      </c>
      <c r="AD55" s="951"/>
      <c r="AE55" s="951"/>
      <c r="AF55" s="1226">
        <f>AF50+AF51</f>
        <v>24.445</v>
      </c>
      <c r="AG55" s="1242">
        <f t="shared" si="100"/>
        <v>4.0940021068744743</v>
      </c>
      <c r="AH55" s="951"/>
      <c r="AI55" s="951"/>
      <c r="AJ55" s="1226">
        <f>AJ50+AJ51</f>
        <v>27.179000000000002</v>
      </c>
      <c r="AK55" s="1242">
        <f t="shared" si="101"/>
        <v>4.3215834304585847</v>
      </c>
      <c r="AL55" s="951"/>
      <c r="AM55" s="951"/>
      <c r="AN55" s="1226">
        <f>AN50+AN51</f>
        <v>32.623999999999995</v>
      </c>
      <c r="AO55" s="1242">
        <f t="shared" si="102"/>
        <v>4.4835851089561745</v>
      </c>
      <c r="AP55" s="951"/>
      <c r="AQ55" s="951"/>
      <c r="AR55" s="1226">
        <f>AR50+AR51</f>
        <v>36.683</v>
      </c>
      <c r="AS55" s="1242">
        <f t="shared" si="103"/>
        <v>3.7726321418837965</v>
      </c>
      <c r="AT55" s="951"/>
      <c r="AU55" s="951"/>
      <c r="AV55" s="1166">
        <f>AV50+AV51</f>
        <v>44.670999999999999</v>
      </c>
      <c r="AW55" s="1243">
        <f t="shared" si="104"/>
        <v>3.9716240173406812</v>
      </c>
      <c r="AX55" s="1158"/>
      <c r="AY55" s="951"/>
      <c r="AZ55" s="1166">
        <f>AZ50+AZ51</f>
        <v>52.856999999999999</v>
      </c>
      <c r="BA55" s="1243">
        <f t="shared" si="111"/>
        <v>4.0177868992645802</v>
      </c>
      <c r="BB55" s="1158"/>
      <c r="BC55" s="951"/>
      <c r="BD55" s="1166">
        <f>BD50+BD51</f>
        <v>61.608999999999995</v>
      </c>
      <c r="BE55" s="1243">
        <f t="shared" si="112"/>
        <v>4.6353330820386756</v>
      </c>
      <c r="BF55" s="1158"/>
      <c r="BG55" s="1158"/>
      <c r="BH55" s="1166">
        <f>BH50+BH51</f>
        <v>66.419000000000011</v>
      </c>
      <c r="BI55" s="1243">
        <f t="shared" si="113"/>
        <v>5.3200018903031472</v>
      </c>
      <c r="BJ55" s="1158"/>
      <c r="BK55" s="1158"/>
      <c r="BL55" s="1166">
        <f>BL50+BL51</f>
        <v>71.405000000000001</v>
      </c>
      <c r="BM55" s="1243">
        <f t="shared" si="114"/>
        <v>5.5187535600810289</v>
      </c>
      <c r="BN55" s="1158"/>
      <c r="BO55" s="1158"/>
      <c r="BP55" s="1166">
        <f>BP50+BP51</f>
        <v>69.432999999999993</v>
      </c>
      <c r="BQ55" s="1243">
        <f t="shared" si="105"/>
        <v>5.4576938918601092</v>
      </c>
      <c r="BR55" s="1158"/>
      <c r="BS55" s="1158"/>
      <c r="BT55" s="1166">
        <f>BT50+BT51</f>
        <v>63.999000000000002</v>
      </c>
      <c r="BU55" s="1243">
        <f t="shared" si="106"/>
        <v>4.4186761025286962</v>
      </c>
      <c r="BV55" s="1158"/>
      <c r="BW55" s="1158"/>
      <c r="BX55" s="1166">
        <f>BX50+BX51</f>
        <v>57.667000000000002</v>
      </c>
      <c r="BY55" s="1243">
        <f t="shared" si="107"/>
        <v>4.0991903553479911</v>
      </c>
      <c r="BZ55" s="1158"/>
      <c r="CA55" s="1158"/>
      <c r="CB55" s="1166">
        <f>CB50+CB51</f>
        <v>67.783999999999992</v>
      </c>
      <c r="CC55" s="1243">
        <f t="shared" si="108"/>
        <v>4.9961524967495219</v>
      </c>
      <c r="CD55" s="1158"/>
      <c r="CE55" s="1158"/>
      <c r="CF55" s="1166">
        <f>CF50+CF51</f>
        <v>71.236000000000004</v>
      </c>
      <c r="CG55" s="1243">
        <f t="shared" si="109"/>
        <v>4.7587491349064903</v>
      </c>
      <c r="CH55" s="1158"/>
      <c r="CI55" s="1158"/>
      <c r="CJ55" s="1166">
        <f>CJ50+CJ51</f>
        <v>77.682999999999993</v>
      </c>
      <c r="CK55" s="1243">
        <f t="shared" si="110"/>
        <v>4.9416352313280436</v>
      </c>
      <c r="CL55" s="1158"/>
      <c r="CM55" s="1158"/>
      <c r="CN55" s="1166">
        <f>CN50+CN51</f>
        <v>80.728999999999999</v>
      </c>
      <c r="CO55" s="1243">
        <f>CN55/CN15*100</f>
        <v>5.0254825562611387</v>
      </c>
      <c r="CP55" s="1158"/>
      <c r="CQ55" s="1158"/>
      <c r="CR55" s="1166">
        <f>CR50+CR51</f>
        <v>87.903114572391388</v>
      </c>
      <c r="CS55" s="1243">
        <f>CR55/CR15*100</f>
        <v>5.1115076622040583</v>
      </c>
      <c r="CT55" s="1158"/>
      <c r="CU55" s="1158"/>
      <c r="CV55" s="1158"/>
      <c r="CW55" s="1158"/>
      <c r="CX55" s="1158"/>
      <c r="CY55" s="1158"/>
      <c r="CZ55" s="1158"/>
      <c r="DA55" s="1158"/>
      <c r="DB55" s="951"/>
      <c r="DC55" s="951"/>
      <c r="DD55" s="951"/>
      <c r="DE55" s="951"/>
      <c r="DF55" s="951"/>
      <c r="DG55" s="951"/>
      <c r="DH55" s="951"/>
      <c r="DI55" s="951"/>
      <c r="DJ55" s="951"/>
      <c r="DK55" s="951"/>
      <c r="DL55" s="951"/>
      <c r="DM55" s="951"/>
      <c r="DN55" s="951"/>
      <c r="DO55" s="951"/>
      <c r="DP55" s="951"/>
      <c r="DQ55" s="951"/>
      <c r="DR55" s="951"/>
      <c r="DS55" s="951"/>
      <c r="DT55" s="951"/>
      <c r="DU55" s="951"/>
      <c r="DV55" s="951"/>
      <c r="DW55" s="951"/>
      <c r="DX55" s="951"/>
      <c r="DY55" s="951"/>
    </row>
    <row r="56" spans="1:129" ht="12.75" hidden="1" customHeight="1" outlineLevel="3">
      <c r="A56" s="1167" t="s">
        <v>770</v>
      </c>
      <c r="B56" s="951"/>
      <c r="C56" s="1226">
        <f>C55+C52</f>
        <v>4.6657500000000001</v>
      </c>
      <c r="D56" s="1241">
        <f t="shared" si="93"/>
        <v>2.3370934536838992</v>
      </c>
      <c r="E56" s="951" t="s">
        <v>91</v>
      </c>
      <c r="F56" s="951"/>
      <c r="G56" s="1226">
        <f>G55+G52</f>
        <v>4.5460000000000003</v>
      </c>
      <c r="H56" s="1242">
        <f t="shared" si="94"/>
        <v>2.2339176113887538</v>
      </c>
      <c r="I56" s="951"/>
      <c r="J56" s="951"/>
      <c r="K56" s="1226">
        <f>K55+K52</f>
        <v>5.2989999999999995</v>
      </c>
      <c r="L56" s="1242">
        <f t="shared" si="95"/>
        <v>2.1026693067421123</v>
      </c>
      <c r="M56" s="951"/>
      <c r="N56" s="951"/>
      <c r="O56" s="1226">
        <f>O55+O52</f>
        <v>6.2010000000000005</v>
      </c>
      <c r="P56" s="1242">
        <f t="shared" si="96"/>
        <v>1.6558386939141716</v>
      </c>
      <c r="Q56" s="951"/>
      <c r="R56" s="951"/>
      <c r="S56" s="1226">
        <f>S55+S52</f>
        <v>8.43</v>
      </c>
      <c r="T56" s="1242">
        <f t="shared" si="97"/>
        <v>1.5420383808414078</v>
      </c>
      <c r="U56" s="951"/>
      <c r="V56" s="951"/>
      <c r="W56" s="1226">
        <f>W55+W52</f>
        <v>14.952</v>
      </c>
      <c r="X56" s="1242">
        <f t="shared" si="98"/>
        <v>2.2324981373452206</v>
      </c>
      <c r="Y56" s="951"/>
      <c r="Z56" s="951"/>
      <c r="AA56" s="951"/>
      <c r="AB56" s="1226">
        <f>AB55+AB52</f>
        <v>29.352000000000004</v>
      </c>
      <c r="AC56" s="1242">
        <f t="shared" si="99"/>
        <v>3.2340273623042779</v>
      </c>
      <c r="AD56" s="951"/>
      <c r="AE56" s="951"/>
      <c r="AF56" s="1226">
        <f>AF55+AF52</f>
        <v>37.414000000000001</v>
      </c>
      <c r="AG56" s="1242">
        <f t="shared" si="100"/>
        <v>3.8508131541488306</v>
      </c>
      <c r="AH56" s="951"/>
      <c r="AI56" s="951"/>
      <c r="AJ56" s="1226">
        <f>AJ55+AJ52</f>
        <v>41.552</v>
      </c>
      <c r="AK56" s="1242">
        <f t="shared" si="101"/>
        <v>4.1439574434559043</v>
      </c>
      <c r="AL56" s="951"/>
      <c r="AM56" s="951"/>
      <c r="AN56" s="1226">
        <f>AN55+AN52</f>
        <v>49.968999999999994</v>
      </c>
      <c r="AO56" s="1242">
        <f t="shared" si="102"/>
        <v>4.1391895574697832</v>
      </c>
      <c r="AP56" s="951"/>
      <c r="AQ56" s="951"/>
      <c r="AR56" s="1226">
        <f>AR55+AR52</f>
        <v>55.429000000000002</v>
      </c>
      <c r="AS56" s="1242">
        <f t="shared" si="103"/>
        <v>3.5694046978154308</v>
      </c>
      <c r="AT56" s="951"/>
      <c r="AU56" s="951"/>
      <c r="AV56" s="1166">
        <f>AV55+AV52</f>
        <v>66.063000000000002</v>
      </c>
      <c r="AW56" s="1243">
        <f t="shared" si="104"/>
        <v>3.6277541893551173</v>
      </c>
      <c r="AX56" s="1158"/>
      <c r="AY56" s="951"/>
      <c r="AZ56" s="1166">
        <f>AZ55+AZ52</f>
        <v>80.724000000000004</v>
      </c>
      <c r="BA56" s="1243">
        <f t="shared" si="111"/>
        <v>3.91860653644774</v>
      </c>
      <c r="BB56" s="1158"/>
      <c r="BC56" s="951"/>
      <c r="BD56" s="1166">
        <f>BD55+BD52</f>
        <v>94.424999999999997</v>
      </c>
      <c r="BE56" s="1243">
        <f t="shared" si="112"/>
        <v>4.5327923585065513</v>
      </c>
      <c r="BF56" s="1158"/>
      <c r="BG56" s="1158"/>
      <c r="BH56" s="1166">
        <f>BH55+BH52</f>
        <v>101.07200000000002</v>
      </c>
      <c r="BI56" s="1243">
        <f t="shared" si="113"/>
        <v>5.0931020998867229</v>
      </c>
      <c r="BJ56" s="1158"/>
      <c r="BK56" s="1158"/>
      <c r="BL56" s="1166">
        <f>BL55+BL52</f>
        <v>106.93899999999999</v>
      </c>
      <c r="BM56" s="1243">
        <f t="shared" si="114"/>
        <v>5.2454248029391142</v>
      </c>
      <c r="BN56" s="1158"/>
      <c r="BO56" s="1158"/>
      <c r="BP56" s="1166">
        <f>BP55+BP52</f>
        <v>103.84799999999998</v>
      </c>
      <c r="BQ56" s="1243">
        <f t="shared" si="105"/>
        <v>4.9649482722268772</v>
      </c>
      <c r="BR56" s="1158"/>
      <c r="BS56" s="1158"/>
      <c r="BT56" s="1166">
        <f>BT55+BT52</f>
        <v>95.42</v>
      </c>
      <c r="BU56" s="1243">
        <f t="shared" si="106"/>
        <v>4.0453647251148812</v>
      </c>
      <c r="BV56" s="1158"/>
      <c r="BW56" s="1158"/>
      <c r="BX56" s="1166">
        <f>BX55+BX52</f>
        <v>89.665000000000006</v>
      </c>
      <c r="BY56" s="1243">
        <f t="shared" si="107"/>
        <v>3.960302019129057</v>
      </c>
      <c r="BZ56" s="1158"/>
      <c r="CA56" s="1158"/>
      <c r="CB56" s="1166">
        <f>CB55+CB52</f>
        <v>104.31199999999998</v>
      </c>
      <c r="CC56" s="1243">
        <f t="shared" si="108"/>
        <v>4.7178353461353018</v>
      </c>
      <c r="CD56" s="1158"/>
      <c r="CE56" s="1158"/>
      <c r="CF56" s="1166">
        <f>CF55+CF52</f>
        <v>108.85900000000001</v>
      </c>
      <c r="CG56" s="1243">
        <f t="shared" si="109"/>
        <v>4.5057160122846671</v>
      </c>
      <c r="CH56" s="1158"/>
      <c r="CI56" s="1158"/>
      <c r="CJ56" s="1166">
        <f>CJ55+CJ52</f>
        <v>117.31899999999999</v>
      </c>
      <c r="CK56" s="1243">
        <f t="shared" si="110"/>
        <v>4.6691917875332463</v>
      </c>
      <c r="CL56" s="1158"/>
      <c r="CM56" s="1158" t="s">
        <v>429</v>
      </c>
      <c r="CN56" s="1166">
        <f>CN55+CN52</f>
        <v>123.878</v>
      </c>
      <c r="CO56" s="1243">
        <f>CN56/CN16*100</f>
        <v>4.8261159891632701</v>
      </c>
      <c r="CP56" s="1158"/>
      <c r="CQ56" s="1158"/>
      <c r="CR56" s="1166">
        <f>CR55+CR52</f>
        <v>132.56048977148706</v>
      </c>
      <c r="CS56" s="1243">
        <f>CR56/CR16*100</f>
        <v>4.946132308654744</v>
      </c>
      <c r="CT56" s="1158"/>
      <c r="CU56" s="1158"/>
      <c r="CV56" s="1158"/>
      <c r="CW56" s="1158"/>
      <c r="CX56" s="1158"/>
      <c r="CY56" s="1158"/>
      <c r="CZ56" s="1158"/>
      <c r="DA56" s="1158"/>
      <c r="DB56" s="951"/>
      <c r="DC56" s="951"/>
      <c r="DD56" s="951"/>
      <c r="DE56" s="951"/>
      <c r="DF56" s="951"/>
      <c r="DG56" s="951"/>
      <c r="DH56" s="951"/>
      <c r="DI56" s="951"/>
      <c r="DJ56" s="951"/>
      <c r="DK56" s="951"/>
      <c r="DL56" s="951"/>
      <c r="DM56" s="951"/>
      <c r="DN56" s="951"/>
      <c r="DO56" s="951"/>
      <c r="DP56" s="951"/>
      <c r="DQ56" s="951"/>
      <c r="DR56" s="951"/>
      <c r="DS56" s="951"/>
      <c r="DT56" s="951"/>
      <c r="DU56" s="951"/>
      <c r="DV56" s="951"/>
      <c r="DW56" s="951"/>
      <c r="DX56" s="951"/>
      <c r="DY56" s="951"/>
    </row>
    <row r="57" spans="1:129" ht="12.75" hidden="1" customHeight="1" outlineLevel="3">
      <c r="A57" s="951"/>
      <c r="B57" s="951"/>
      <c r="C57" s="951"/>
      <c r="D57" s="951"/>
      <c r="E57" s="951"/>
      <c r="F57" s="951"/>
      <c r="G57" s="951"/>
      <c r="H57" s="951"/>
      <c r="I57" s="951"/>
      <c r="J57" s="951"/>
      <c r="K57" s="951"/>
      <c r="L57" s="951"/>
      <c r="M57" s="951"/>
      <c r="N57" s="951"/>
      <c r="O57" s="951"/>
      <c r="P57" s="951"/>
      <c r="Q57" s="951"/>
      <c r="R57" s="951"/>
      <c r="S57" s="951"/>
      <c r="T57" s="951"/>
      <c r="U57" s="951"/>
      <c r="V57" s="951"/>
      <c r="W57" s="951"/>
      <c r="X57" s="951"/>
      <c r="Y57" s="951"/>
      <c r="Z57" s="951"/>
      <c r="AA57" s="951"/>
      <c r="AB57" s="951"/>
      <c r="AC57" s="951"/>
      <c r="AD57" s="951"/>
      <c r="AE57" s="951"/>
      <c r="AF57" s="951"/>
      <c r="AG57" s="951"/>
      <c r="AH57" s="951"/>
      <c r="AI57" s="951"/>
      <c r="AJ57" s="951"/>
      <c r="AK57" s="951"/>
      <c r="AL57" s="951"/>
      <c r="AM57" s="951"/>
      <c r="AN57" s="951"/>
      <c r="AO57" s="951"/>
      <c r="AP57" s="951"/>
      <c r="AQ57" s="951"/>
      <c r="AR57" s="951"/>
      <c r="AS57" s="951"/>
      <c r="AT57" s="951"/>
      <c r="AU57" s="951"/>
      <c r="AV57" s="1159"/>
      <c r="AW57" s="1158"/>
      <c r="AX57" s="1158"/>
      <c r="AY57" s="951"/>
      <c r="AZ57" s="1166"/>
      <c r="BA57" s="1158"/>
      <c r="BB57" s="1158"/>
      <c r="BC57" s="951"/>
      <c r="BD57" s="1160"/>
      <c r="BE57" s="1158"/>
      <c r="BF57" s="1158"/>
      <c r="BG57" s="1158"/>
      <c r="BH57" s="1158"/>
      <c r="BI57" s="1158"/>
      <c r="BJ57" s="1158"/>
      <c r="BK57" s="1158"/>
      <c r="BL57" s="1158"/>
      <c r="BM57" s="1158"/>
      <c r="BN57" s="1158"/>
      <c r="BO57" s="1158"/>
      <c r="BP57" s="1158">
        <f>BP53+BP52</f>
        <v>68.525000000000006</v>
      </c>
      <c r="BQ57" s="1243" t="e">
        <f t="shared" si="105"/>
        <v>#DIV/0!</v>
      </c>
      <c r="BR57" s="1158"/>
      <c r="BS57" s="1158"/>
      <c r="BT57" s="1158">
        <f>BT53+BT52</f>
        <v>61.536999999999999</v>
      </c>
      <c r="BU57" s="1243" t="e">
        <f t="shared" si="106"/>
        <v>#DIV/0!</v>
      </c>
      <c r="BV57" s="951"/>
      <c r="BW57" s="951"/>
      <c r="BX57" s="1158">
        <f>BX53+BX52</f>
        <v>62.582999999999998</v>
      </c>
      <c r="BY57" s="1243" t="e">
        <f t="shared" si="107"/>
        <v>#DIV/0!</v>
      </c>
      <c r="BZ57" s="951"/>
      <c r="CA57" s="1158"/>
      <c r="CB57" s="1158">
        <f>CB53+CB52</f>
        <v>73.406999999999996</v>
      </c>
      <c r="CC57" s="1243" t="e">
        <f t="shared" si="108"/>
        <v>#DIV/0!</v>
      </c>
      <c r="CD57" s="951"/>
      <c r="CE57" s="1158"/>
      <c r="CF57" s="1158">
        <f>CF53+CF52</f>
        <v>76.918000000000006</v>
      </c>
      <c r="CG57" s="1243" t="e">
        <f t="shared" si="109"/>
        <v>#DIV/0!</v>
      </c>
      <c r="CH57" s="951"/>
      <c r="CI57" s="1158"/>
      <c r="CJ57" s="1158">
        <f>CJ53+CJ52</f>
        <v>79.039000000000001</v>
      </c>
      <c r="CK57" s="1243" t="e">
        <f t="shared" si="110"/>
        <v>#DIV/0!</v>
      </c>
      <c r="CL57" s="951"/>
      <c r="CM57" s="1158">
        <f>BT57/BP57-1</f>
        <v>-0.10197738051805916</v>
      </c>
      <c r="CN57" s="1158">
        <f>CN53+CN52</f>
        <v>86.692000000000007</v>
      </c>
      <c r="CO57" s="1243" t="e">
        <f>CN57/CN17*100</f>
        <v>#DIV/0!</v>
      </c>
      <c r="CP57" s="951"/>
      <c r="CQ57" s="951"/>
      <c r="CR57" s="1158">
        <f>CR53+CR52</f>
        <v>90.141030570514786</v>
      </c>
      <c r="CS57" s="1243" t="e">
        <f>CR57/CR17*100</f>
        <v>#DIV/0!</v>
      </c>
      <c r="CT57" s="1158"/>
      <c r="CU57" s="1185"/>
      <c r="CV57" s="1158"/>
      <c r="CW57" s="1185"/>
      <c r="CX57" s="1185"/>
      <c r="CY57" s="1158"/>
      <c r="CZ57" s="1158"/>
      <c r="DA57" s="1158"/>
      <c r="DB57" s="951"/>
      <c r="DC57" s="951"/>
      <c r="DD57" s="951"/>
      <c r="DE57" s="951"/>
      <c r="DF57" s="951"/>
      <c r="DG57" s="951"/>
      <c r="DH57" s="951"/>
      <c r="DI57" s="951"/>
      <c r="DJ57" s="951"/>
      <c r="DK57" s="951"/>
      <c r="DL57" s="951"/>
      <c r="DM57" s="951"/>
      <c r="DN57" s="951"/>
      <c r="DO57" s="951"/>
      <c r="DP57" s="951"/>
      <c r="DQ57" s="951"/>
      <c r="DR57" s="951"/>
      <c r="DS57" s="951"/>
      <c r="DT57" s="951"/>
      <c r="DU57" s="951"/>
      <c r="DV57" s="951"/>
      <c r="DW57" s="951"/>
      <c r="DX57" s="951"/>
      <c r="DY57" s="951"/>
    </row>
    <row r="58" spans="1:129" ht="12.75" hidden="1" customHeight="1" outlineLevel="3">
      <c r="A58" s="1259"/>
      <c r="B58" s="1181"/>
      <c r="C58" s="1181"/>
      <c r="D58" s="1181"/>
      <c r="E58" s="1181"/>
      <c r="F58" s="1181"/>
      <c r="G58" s="1182"/>
      <c r="H58" s="1182"/>
      <c r="I58" s="1182"/>
      <c r="J58" s="1182"/>
      <c r="K58" s="1182"/>
      <c r="L58" s="1182"/>
      <c r="M58" s="1182"/>
      <c r="N58" s="1182"/>
      <c r="O58" s="1182"/>
      <c r="P58" s="1182"/>
      <c r="Q58" s="1182"/>
      <c r="R58" s="1182"/>
      <c r="S58" s="1259"/>
      <c r="T58" s="1182"/>
      <c r="U58" s="1182"/>
      <c r="V58" s="1182"/>
      <c r="W58" s="1259"/>
      <c r="X58" s="1182"/>
      <c r="Y58" s="1182"/>
      <c r="Z58" s="1182"/>
      <c r="AA58" s="1183"/>
      <c r="AB58" s="1182"/>
      <c r="AC58" s="1183"/>
      <c r="AD58" s="1183"/>
      <c r="AE58" s="1183"/>
      <c r="AF58" s="1182"/>
      <c r="AG58" s="1183"/>
      <c r="AH58" s="1183"/>
      <c r="AI58" s="1183"/>
      <c r="AJ58" s="1184"/>
      <c r="AK58" s="1183"/>
      <c r="AL58" s="1183"/>
      <c r="AM58" s="1183"/>
      <c r="AN58" s="1184"/>
      <c r="AO58" s="1183"/>
      <c r="AP58" s="1183"/>
      <c r="AQ58" s="1183"/>
      <c r="AR58" s="1184"/>
      <c r="AS58" s="1183"/>
      <c r="AT58" s="1183"/>
      <c r="AU58" s="1183"/>
      <c r="AV58" s="1182" t="s">
        <v>663</v>
      </c>
      <c r="AW58" s="1185"/>
      <c r="AX58" s="1185"/>
      <c r="AY58" s="1183"/>
      <c r="AZ58" s="1186"/>
      <c r="BA58" s="1185"/>
      <c r="BB58" s="1185"/>
      <c r="BC58" s="1183"/>
      <c r="BD58" s="1186"/>
      <c r="BE58" s="1185"/>
      <c r="BF58" s="1185"/>
      <c r="BG58" s="1185"/>
      <c r="BH58" s="1186"/>
      <c r="BI58" s="1185"/>
      <c r="BJ58" s="1185"/>
      <c r="BK58" s="1185"/>
      <c r="BL58" s="1186"/>
      <c r="BM58" s="1185"/>
      <c r="BN58" s="1185"/>
      <c r="BO58" s="1185"/>
      <c r="BP58" s="1186"/>
      <c r="BQ58" s="1185"/>
      <c r="BR58" s="1185"/>
      <c r="BS58" s="1185"/>
      <c r="BT58" s="1186"/>
      <c r="BU58" s="1185"/>
      <c r="BV58" s="1185"/>
      <c r="BW58" s="1185"/>
      <c r="BX58" s="1185"/>
      <c r="BY58" s="1185"/>
      <c r="BZ58" s="1185"/>
      <c r="CA58" s="1187"/>
      <c r="CB58" s="1185"/>
      <c r="CC58" s="1185"/>
      <c r="CD58" s="1185"/>
      <c r="CE58" s="1187"/>
      <c r="CF58" s="1185"/>
      <c r="CG58" s="1185"/>
      <c r="CH58" s="1185"/>
      <c r="CI58" s="1187"/>
      <c r="CJ58" s="1185"/>
      <c r="CK58" s="1185"/>
      <c r="CL58" s="1185"/>
      <c r="CM58" s="1187"/>
      <c r="CN58" s="1185"/>
      <c r="CO58" s="1185"/>
      <c r="CP58" s="1185"/>
      <c r="CQ58" s="1185"/>
      <c r="CR58" s="1185"/>
      <c r="CS58" s="1185"/>
      <c r="CT58" s="1185"/>
      <c r="CU58" s="1265"/>
      <c r="CV58" s="1185"/>
      <c r="CW58" s="1265"/>
      <c r="CX58" s="1265"/>
      <c r="CY58" s="1185"/>
      <c r="CZ58" s="1185"/>
      <c r="DA58" s="1185"/>
      <c r="DB58" s="1183"/>
      <c r="DC58" s="1183"/>
      <c r="DD58" s="1183"/>
      <c r="DE58" s="1183"/>
      <c r="DF58" s="1183"/>
      <c r="DG58" s="1183"/>
      <c r="DH58" s="1235" t="s">
        <v>33</v>
      </c>
      <c r="DI58" s="1259"/>
      <c r="DJ58" s="1259"/>
      <c r="DK58" s="1259"/>
      <c r="DL58" s="1259"/>
      <c r="DM58" s="1259"/>
      <c r="DN58" s="1235" t="s">
        <v>33</v>
      </c>
      <c r="DO58" s="1259"/>
      <c r="DP58" s="1259"/>
      <c r="DQ58" s="1259"/>
      <c r="DR58" s="1259"/>
      <c r="DS58" s="1259"/>
      <c r="DT58" s="1259"/>
      <c r="DU58" s="1259"/>
      <c r="DV58" s="1259"/>
      <c r="DW58" s="1259"/>
      <c r="DX58" s="1259"/>
      <c r="DY58" s="1259"/>
    </row>
    <row r="59" spans="1:129" ht="12.75" hidden="1" customHeight="1" outlineLevel="3">
      <c r="A59" s="45"/>
      <c r="B59" s="1183"/>
      <c r="C59" s="1183"/>
      <c r="D59" s="1183"/>
      <c r="E59" s="1183"/>
      <c r="F59" s="1183"/>
      <c r="G59" s="1183"/>
      <c r="H59" s="1183"/>
      <c r="I59" s="1183"/>
      <c r="J59" s="1183"/>
      <c r="K59" s="1183"/>
      <c r="L59" s="1183"/>
      <c r="M59" s="1183"/>
      <c r="N59" s="45"/>
      <c r="O59" s="1262"/>
      <c r="P59" s="1262"/>
      <c r="Q59" s="1262"/>
      <c r="R59" s="45"/>
      <c r="S59" s="1262"/>
      <c r="T59" s="1242"/>
      <c r="U59" s="1262"/>
      <c r="V59" s="45"/>
      <c r="W59" s="1262"/>
      <c r="X59" s="1263"/>
      <c r="Y59" s="1262"/>
      <c r="Z59" s="1262"/>
      <c r="AA59" s="45"/>
      <c r="AB59" s="1262"/>
      <c r="AC59" s="1262"/>
      <c r="AD59" s="1262"/>
      <c r="AE59" s="45"/>
      <c r="AF59" s="1262"/>
      <c r="AG59" s="1262"/>
      <c r="AH59" s="1262"/>
      <c r="AI59" s="45"/>
      <c r="AJ59" s="1262"/>
      <c r="AK59" s="1263"/>
      <c r="AL59" s="1263"/>
      <c r="AM59" s="45"/>
      <c r="AN59" s="1262"/>
      <c r="AO59" s="1263"/>
      <c r="AP59" s="1263"/>
      <c r="AQ59" s="45"/>
      <c r="AR59" s="1307"/>
      <c r="AS59" s="1263"/>
      <c r="AT59" s="1263"/>
      <c r="AU59" s="45"/>
      <c r="AV59" s="1266"/>
      <c r="AW59" s="1265"/>
      <c r="AX59" s="1265"/>
      <c r="AY59" s="45"/>
      <c r="AZ59" s="1266"/>
      <c r="BA59" s="1265"/>
      <c r="BB59" s="1265"/>
      <c r="BC59" s="45"/>
      <c r="BD59" s="1266"/>
      <c r="BE59" s="1265"/>
      <c r="BF59" s="1265"/>
      <c r="BG59" s="1265"/>
      <c r="BH59" s="1266"/>
      <c r="BI59" s="1265"/>
      <c r="BJ59" s="1265"/>
      <c r="BK59" s="1265"/>
      <c r="BL59" s="1266"/>
      <c r="BM59" s="1265"/>
      <c r="BN59" s="1265"/>
      <c r="BO59" s="1265"/>
      <c r="BP59" s="1266"/>
      <c r="BQ59" s="1265"/>
      <c r="BR59" s="1265"/>
      <c r="BS59" s="1265"/>
      <c r="BT59" s="1266"/>
      <c r="BU59" s="1265"/>
      <c r="BV59" s="1265"/>
      <c r="BW59" s="1265"/>
      <c r="BX59" s="1265"/>
      <c r="BY59" s="1265"/>
      <c r="BZ59" s="1265"/>
      <c r="CA59" s="1265"/>
      <c r="CB59" s="1265"/>
      <c r="CC59" s="1265"/>
      <c r="CD59" s="1265"/>
      <c r="CE59" s="1265"/>
      <c r="CF59" s="1265"/>
      <c r="CG59" s="1265"/>
      <c r="CH59" s="1265"/>
      <c r="CI59" s="1265"/>
      <c r="CJ59" s="1265"/>
      <c r="CK59" s="1265"/>
      <c r="CL59" s="1265"/>
      <c r="CM59" s="1265"/>
      <c r="CN59" s="1265"/>
      <c r="CO59" s="1265"/>
      <c r="CP59" s="1265"/>
      <c r="CQ59" s="1265"/>
      <c r="CR59" s="1265"/>
      <c r="CS59" s="1265"/>
      <c r="CT59" s="1265"/>
      <c r="CU59" s="1271"/>
      <c r="CV59" s="1265"/>
      <c r="CW59" s="1271"/>
      <c r="CX59" s="1271"/>
      <c r="CY59" s="1265"/>
      <c r="CZ59" s="1265"/>
      <c r="DA59" s="1265"/>
      <c r="DB59" s="1263"/>
      <c r="DC59" s="1263"/>
      <c r="DD59" s="1263"/>
      <c r="DE59" s="1263"/>
      <c r="DF59" s="1263"/>
      <c r="DG59" s="1263"/>
      <c r="DH59" s="156" t="s">
        <v>443</v>
      </c>
      <c r="DI59" s="45"/>
      <c r="DJ59" s="156" t="s">
        <v>444</v>
      </c>
      <c r="DK59" s="951" t="s">
        <v>447</v>
      </c>
      <c r="DL59" s="156" t="s">
        <v>695</v>
      </c>
      <c r="DM59" s="45"/>
      <c r="DN59" s="156" t="s">
        <v>443</v>
      </c>
      <c r="DO59" s="45"/>
      <c r="DP59" s="156" t="s">
        <v>444</v>
      </c>
      <c r="DQ59" s="951" t="s">
        <v>447</v>
      </c>
      <c r="DR59" s="156" t="s">
        <v>695</v>
      </c>
      <c r="DS59" s="45"/>
      <c r="DT59" s="45"/>
      <c r="DU59" s="45"/>
      <c r="DV59" s="45"/>
      <c r="DW59" s="45"/>
      <c r="DX59" s="45"/>
      <c r="DY59" s="45"/>
    </row>
    <row r="60" spans="1:129" ht="12.75" hidden="1" customHeight="1" outlineLevel="3">
      <c r="A60" s="1167" t="s">
        <v>734</v>
      </c>
      <c r="B60" s="951"/>
      <c r="C60" s="1222"/>
      <c r="D60" s="1241"/>
      <c r="E60" s="1269"/>
      <c r="F60" s="951"/>
      <c r="G60" s="1222"/>
      <c r="H60" s="1242"/>
      <c r="I60" s="1270"/>
      <c r="J60" s="951"/>
      <c r="K60" s="1222"/>
      <c r="L60" s="1242"/>
      <c r="M60" s="1270"/>
      <c r="N60" s="951"/>
      <c r="O60" s="1222"/>
      <c r="P60" s="1242"/>
      <c r="Q60" s="1270"/>
      <c r="R60" s="951"/>
      <c r="S60" s="1222"/>
      <c r="T60" s="1242"/>
      <c r="U60" s="1270"/>
      <c r="V60" s="951"/>
      <c r="W60" s="267"/>
      <c r="X60" s="1242"/>
      <c r="Y60" s="1270"/>
      <c r="Z60" s="1270"/>
      <c r="AA60" s="951"/>
      <c r="AB60" s="267"/>
      <c r="AC60" s="1242"/>
      <c r="AD60" s="1270"/>
      <c r="AE60" s="951"/>
      <c r="AF60" s="267"/>
      <c r="AG60" s="1243"/>
      <c r="AH60" s="1270"/>
      <c r="AI60" s="951"/>
      <c r="AJ60" s="267"/>
      <c r="AK60" s="1243"/>
      <c r="AL60" s="1270"/>
      <c r="AM60" s="951"/>
      <c r="AN60" s="1222"/>
      <c r="AO60" s="1246"/>
      <c r="AP60" s="1270"/>
      <c r="AQ60" s="951"/>
      <c r="AR60" s="1222"/>
      <c r="AS60" s="1246"/>
      <c r="AT60" s="1270"/>
      <c r="AU60" s="951"/>
      <c r="AV60" s="1201"/>
      <c r="AW60" s="1246"/>
      <c r="AX60" s="1271"/>
      <c r="AY60" s="951"/>
      <c r="AZ60" s="1201"/>
      <c r="BA60" s="1246"/>
      <c r="BB60" s="1271"/>
      <c r="BC60" s="951"/>
      <c r="BD60" s="1201"/>
      <c r="BE60" s="1246"/>
      <c r="BF60" s="1271"/>
      <c r="BG60" s="1271"/>
      <c r="BH60" s="577">
        <v>0</v>
      </c>
      <c r="BI60" s="1246"/>
      <c r="BJ60" s="1271"/>
      <c r="BK60" s="1271"/>
      <c r="BL60" s="1201"/>
      <c r="BM60" s="1246"/>
      <c r="BN60" s="1271"/>
      <c r="BO60" s="1271"/>
      <c r="BP60" s="1201"/>
      <c r="BQ60" s="1246"/>
      <c r="BR60" s="1271"/>
      <c r="BS60" s="1271"/>
      <c r="BT60" s="1201"/>
      <c r="BU60" s="1246"/>
      <c r="BV60" s="1271"/>
      <c r="BW60" s="1271"/>
      <c r="BX60" s="1201"/>
      <c r="BY60" s="1271"/>
      <c r="BZ60" s="1271"/>
      <c r="CA60" s="1271"/>
      <c r="CB60" s="1201"/>
      <c r="CC60" s="1271"/>
      <c r="CD60" s="1271"/>
      <c r="CE60" s="1271"/>
      <c r="CF60" s="1201"/>
      <c r="CG60" s="1271"/>
      <c r="CH60" s="1271"/>
      <c r="CI60" s="1271"/>
      <c r="CJ60" s="1201"/>
      <c r="CK60" s="1271"/>
      <c r="CL60" s="1271"/>
      <c r="CM60" s="1271"/>
      <c r="CN60" s="1201"/>
      <c r="CO60" s="1271"/>
      <c r="CP60" s="1271"/>
      <c r="CQ60" s="1271"/>
      <c r="CR60" s="1201"/>
      <c r="CS60" s="1271"/>
      <c r="CT60" s="1271"/>
      <c r="CU60" s="1271"/>
      <c r="CV60" s="1271"/>
      <c r="CW60" s="1271"/>
      <c r="CX60" s="1271"/>
      <c r="CY60" s="1271"/>
      <c r="CZ60" s="1271"/>
      <c r="DA60" s="1271"/>
      <c r="DB60" s="1270"/>
      <c r="DC60" s="1270"/>
      <c r="DD60" s="1270"/>
      <c r="DE60" s="1270"/>
      <c r="DF60" s="1270"/>
      <c r="DG60" s="1270"/>
      <c r="DH60" s="598"/>
      <c r="DI60" s="951"/>
      <c r="DJ60" s="164"/>
      <c r="DK60" s="951"/>
      <c r="DL60" s="1226"/>
      <c r="DM60" s="951"/>
      <c r="DN60" s="598"/>
      <c r="DO60" s="951"/>
      <c r="DP60" s="164"/>
      <c r="DQ60" s="951"/>
      <c r="DR60" s="1226"/>
      <c r="DS60" s="951"/>
      <c r="DT60" s="951"/>
      <c r="DU60" s="951"/>
      <c r="DV60" s="951"/>
      <c r="DW60" s="951"/>
      <c r="DX60" s="951"/>
      <c r="DY60" s="951"/>
    </row>
    <row r="61" spans="1:129" ht="12.75" hidden="1" customHeight="1" outlineLevel="3">
      <c r="A61" s="1167" t="s">
        <v>735</v>
      </c>
      <c r="B61" s="951"/>
      <c r="C61" s="1226"/>
      <c r="D61" s="1241"/>
      <c r="E61" s="1269"/>
      <c r="F61" s="951"/>
      <c r="G61" s="1226"/>
      <c r="H61" s="1242"/>
      <c r="I61" s="1270"/>
      <c r="J61" s="951"/>
      <c r="K61" s="1226"/>
      <c r="L61" s="1242"/>
      <c r="M61" s="1270"/>
      <c r="N61" s="951"/>
      <c r="O61" s="1226"/>
      <c r="P61" s="1242"/>
      <c r="Q61" s="1270"/>
      <c r="R61" s="951"/>
      <c r="S61" s="1226"/>
      <c r="T61" s="1242"/>
      <c r="U61" s="1270"/>
      <c r="V61" s="951"/>
      <c r="W61" s="164"/>
      <c r="X61" s="1242"/>
      <c r="Y61" s="1270"/>
      <c r="Z61" s="1270"/>
      <c r="AA61" s="951"/>
      <c r="AB61" s="164"/>
      <c r="AC61" s="1242"/>
      <c r="AD61" s="1270"/>
      <c r="AE61" s="951"/>
      <c r="AF61" s="164"/>
      <c r="AG61" s="1243"/>
      <c r="AH61" s="1270"/>
      <c r="AI61" s="951"/>
      <c r="AJ61" s="164"/>
      <c r="AK61" s="1243"/>
      <c r="AL61" s="1270"/>
      <c r="AM61" s="951"/>
      <c r="AN61" s="1247"/>
      <c r="AO61" s="1246"/>
      <c r="AP61" s="1270"/>
      <c r="AQ61" s="951"/>
      <c r="AR61" s="1247"/>
      <c r="AS61" s="1246"/>
      <c r="AT61" s="1270"/>
      <c r="AU61" s="951"/>
      <c r="AV61" s="1211"/>
      <c r="AW61" s="1246"/>
      <c r="AX61" s="1271"/>
      <c r="AY61" s="951"/>
      <c r="AZ61" s="1211"/>
      <c r="BA61" s="1246"/>
      <c r="BB61" s="1271"/>
      <c r="BC61" s="951"/>
      <c r="BD61" s="1211"/>
      <c r="BE61" s="1246"/>
      <c r="BF61" s="1271"/>
      <c r="BG61" s="1271"/>
      <c r="BH61" s="1210">
        <v>0</v>
      </c>
      <c r="BI61" s="1246"/>
      <c r="BJ61" s="1271"/>
      <c r="BK61" s="1271"/>
      <c r="BL61" s="1211"/>
      <c r="BM61" s="1246"/>
      <c r="BN61" s="1271"/>
      <c r="BO61" s="1271"/>
      <c r="BP61" s="1211"/>
      <c r="BQ61" s="1246"/>
      <c r="BR61" s="1271"/>
      <c r="BS61" s="1271"/>
      <c r="BT61" s="1211"/>
      <c r="BU61" s="1246"/>
      <c r="BV61" s="1271"/>
      <c r="BW61" s="1271"/>
      <c r="BX61" s="1211"/>
      <c r="BY61" s="1271"/>
      <c r="BZ61" s="1271"/>
      <c r="CA61" s="1271"/>
      <c r="CB61" s="1211"/>
      <c r="CC61" s="1271"/>
      <c r="CD61" s="1271"/>
      <c r="CE61" s="1271"/>
      <c r="CF61" s="1211"/>
      <c r="CG61" s="1271"/>
      <c r="CH61" s="1271"/>
      <c r="CI61" s="1271"/>
      <c r="CJ61" s="1211"/>
      <c r="CK61" s="1271"/>
      <c r="CL61" s="1271"/>
      <c r="CM61" s="1271"/>
      <c r="CN61" s="1211"/>
      <c r="CO61" s="1271"/>
      <c r="CP61" s="1271"/>
      <c r="CQ61" s="1271"/>
      <c r="CR61" s="1211"/>
      <c r="CS61" s="1271"/>
      <c r="CT61" s="1271"/>
      <c r="CU61" s="1271"/>
      <c r="CV61" s="1271"/>
      <c r="CW61" s="1271"/>
      <c r="CX61" s="1271"/>
      <c r="CY61" s="1271"/>
      <c r="CZ61" s="1271"/>
      <c r="DA61" s="1271"/>
      <c r="DB61" s="1270"/>
      <c r="DC61" s="1270"/>
      <c r="DD61" s="1270"/>
      <c r="DE61" s="1270"/>
      <c r="DF61" s="1270"/>
      <c r="DG61" s="1270"/>
      <c r="DH61" s="164"/>
      <c r="DI61" s="951"/>
      <c r="DJ61" s="164"/>
      <c r="DK61" s="951"/>
      <c r="DL61" s="1226"/>
      <c r="DM61" s="951"/>
      <c r="DN61" s="164"/>
      <c r="DO61" s="951"/>
      <c r="DP61" s="164"/>
      <c r="DQ61" s="951"/>
      <c r="DR61" s="1226"/>
      <c r="DS61" s="951"/>
      <c r="DT61" s="951"/>
      <c r="DU61" s="951"/>
      <c r="DV61" s="951"/>
      <c r="DW61" s="951"/>
      <c r="DX61" s="951"/>
      <c r="DY61" s="951"/>
    </row>
    <row r="62" spans="1:129" ht="12.75" hidden="1" customHeight="1" outlineLevel="3">
      <c r="A62" s="1167" t="s">
        <v>736</v>
      </c>
      <c r="B62" s="951"/>
      <c r="C62" s="1247"/>
      <c r="D62" s="1241"/>
      <c r="E62" s="1269"/>
      <c r="F62" s="951"/>
      <c r="G62" s="1247"/>
      <c r="H62" s="1242"/>
      <c r="I62" s="1270"/>
      <c r="J62" s="951"/>
      <c r="K62" s="1247"/>
      <c r="L62" s="1242"/>
      <c r="M62" s="1270"/>
      <c r="N62" s="951"/>
      <c r="O62" s="1247"/>
      <c r="P62" s="1242"/>
      <c r="Q62" s="1270"/>
      <c r="R62" s="951"/>
      <c r="S62" s="1247"/>
      <c r="T62" s="1242"/>
      <c r="U62" s="1270"/>
      <c r="V62" s="951"/>
      <c r="W62" s="169"/>
      <c r="X62" s="1242"/>
      <c r="Y62" s="1270"/>
      <c r="Z62" s="1270"/>
      <c r="AA62" s="951"/>
      <c r="AB62" s="169"/>
      <c r="AC62" s="1242"/>
      <c r="AD62" s="1270"/>
      <c r="AE62" s="951"/>
      <c r="AF62" s="169"/>
      <c r="AG62" s="1243"/>
      <c r="AH62" s="1270"/>
      <c r="AI62" s="951"/>
      <c r="AJ62" s="169">
        <v>8</v>
      </c>
      <c r="AK62" s="1243">
        <f>+AJ62/AJ12*100</f>
        <v>2.1401819154628141</v>
      </c>
      <c r="AL62" s="1273">
        <f>+AJ62/AJ179</f>
        <v>3.6917056603077036E-2</v>
      </c>
      <c r="AM62" s="951"/>
      <c r="AN62" s="1247"/>
      <c r="AO62" s="1246"/>
      <c r="AP62" s="1270"/>
      <c r="AQ62" s="951"/>
      <c r="AR62" s="1308"/>
      <c r="AS62" s="1246"/>
      <c r="AT62" s="1270"/>
      <c r="AU62" s="951"/>
      <c r="AV62" s="1309"/>
      <c r="AW62" s="1246"/>
      <c r="AX62" s="1271"/>
      <c r="AY62" s="951"/>
      <c r="AZ62" s="1309"/>
      <c r="BA62" s="1246"/>
      <c r="BB62" s="1271"/>
      <c r="BC62" s="951"/>
      <c r="BD62" s="1309"/>
      <c r="BE62" s="1246"/>
      <c r="BF62" s="1271"/>
      <c r="BG62" s="1271"/>
      <c r="BH62" s="1210">
        <v>0</v>
      </c>
      <c r="BI62" s="1246"/>
      <c r="BJ62" s="1271"/>
      <c r="BK62" s="1271"/>
      <c r="BL62" s="1309"/>
      <c r="BM62" s="1246"/>
      <c r="BN62" s="1271"/>
      <c r="BO62" s="1271"/>
      <c r="BP62" s="1309"/>
      <c r="BQ62" s="1246"/>
      <c r="BR62" s="1271"/>
      <c r="BS62" s="1271"/>
      <c r="BT62" s="1309"/>
      <c r="BU62" s="1246"/>
      <c r="BV62" s="1271"/>
      <c r="BW62" s="1271"/>
      <c r="BX62" s="1309"/>
      <c r="BY62" s="1271"/>
      <c r="BZ62" s="1271"/>
      <c r="CA62" s="1271"/>
      <c r="CB62" s="1309"/>
      <c r="CC62" s="1271"/>
      <c r="CD62" s="1271"/>
      <c r="CE62" s="1271"/>
      <c r="CF62" s="1309"/>
      <c r="CG62" s="1271"/>
      <c r="CH62" s="1271"/>
      <c r="CI62" s="1271"/>
      <c r="CJ62" s="1309"/>
      <c r="CK62" s="1271"/>
      <c r="CL62" s="1271"/>
      <c r="CM62" s="1271"/>
      <c r="CN62" s="1309"/>
      <c r="CO62" s="1271"/>
      <c r="CP62" s="1271"/>
      <c r="CQ62" s="1271"/>
      <c r="CR62" s="1309"/>
      <c r="CS62" s="1271"/>
      <c r="CT62" s="1271"/>
      <c r="CU62" s="1271"/>
      <c r="CV62" s="1271"/>
      <c r="CW62" s="1271"/>
      <c r="CX62" s="1271"/>
      <c r="CY62" s="1271"/>
      <c r="CZ62" s="1271"/>
      <c r="DA62" s="1271"/>
      <c r="DB62" s="1270"/>
      <c r="DC62" s="1270"/>
      <c r="DD62" s="1270"/>
      <c r="DE62" s="1270"/>
      <c r="DF62" s="1270"/>
      <c r="DG62" s="1270"/>
      <c r="DH62" s="164"/>
      <c r="DI62" s="951"/>
      <c r="DJ62" s="164"/>
      <c r="DK62" s="951"/>
      <c r="DL62" s="1226"/>
      <c r="DM62" s="951"/>
      <c r="DN62" s="164"/>
      <c r="DO62" s="951"/>
      <c r="DP62" s="164"/>
      <c r="DQ62" s="951"/>
      <c r="DR62" s="1226"/>
      <c r="DS62" s="951"/>
      <c r="DT62" s="951"/>
      <c r="DU62" s="951"/>
      <c r="DV62" s="951"/>
      <c r="DW62" s="951"/>
      <c r="DX62" s="951"/>
      <c r="DY62" s="951"/>
    </row>
    <row r="63" spans="1:129" ht="12.75" hidden="1" customHeight="1" outlineLevel="3">
      <c r="A63" s="1167" t="s">
        <v>737</v>
      </c>
      <c r="B63" s="951"/>
      <c r="C63" s="1248"/>
      <c r="D63" s="1241"/>
      <c r="E63" s="1269"/>
      <c r="F63" s="951"/>
      <c r="G63" s="1248"/>
      <c r="H63" s="1242"/>
      <c r="I63" s="1270"/>
      <c r="J63" s="951"/>
      <c r="K63" s="1248"/>
      <c r="L63" s="1242"/>
      <c r="M63" s="1270"/>
      <c r="N63" s="951"/>
      <c r="O63" s="1248"/>
      <c r="P63" s="1242"/>
      <c r="Q63" s="1270"/>
      <c r="R63" s="951"/>
      <c r="S63" s="256"/>
      <c r="T63" s="1242"/>
      <c r="U63" s="1270"/>
      <c r="V63" s="951"/>
      <c r="W63" s="256"/>
      <c r="X63" s="1243"/>
      <c r="Y63" s="1270"/>
      <c r="Z63" s="1270"/>
      <c r="AA63" s="951"/>
      <c r="AB63" s="256"/>
      <c r="AC63" s="1242"/>
      <c r="AD63" s="1270"/>
      <c r="AE63" s="951"/>
      <c r="AF63" s="256"/>
      <c r="AG63" s="1243"/>
      <c r="AH63" s="1270"/>
      <c r="AI63" s="951"/>
      <c r="AJ63" s="256"/>
      <c r="AK63" s="1243">
        <f>+AJ63/AJ13*100</f>
        <v>0</v>
      </c>
      <c r="AL63" s="1273">
        <f>+AJ63/AJ180</f>
        <v>0</v>
      </c>
      <c r="AM63" s="951"/>
      <c r="AN63" s="1248"/>
      <c r="AO63" s="1246"/>
      <c r="AP63" s="1270"/>
      <c r="AQ63" s="951"/>
      <c r="AR63" s="1248"/>
      <c r="AS63" s="1246"/>
      <c r="AT63" s="1270"/>
      <c r="AU63" s="951"/>
      <c r="AV63" s="1218"/>
      <c r="AW63" s="1246"/>
      <c r="AX63" s="1271"/>
      <c r="AY63" s="951"/>
      <c r="AZ63" s="1218"/>
      <c r="BA63" s="1246"/>
      <c r="BB63" s="1271"/>
      <c r="BC63" s="951"/>
      <c r="BD63" s="1218"/>
      <c r="BE63" s="1246"/>
      <c r="BF63" s="1271"/>
      <c r="BG63" s="1271"/>
      <c r="BH63" s="1217">
        <v>0</v>
      </c>
      <c r="BI63" s="1246"/>
      <c r="BJ63" s="1271"/>
      <c r="BK63" s="1271"/>
      <c r="BL63" s="1218"/>
      <c r="BM63" s="1246"/>
      <c r="BN63" s="1271"/>
      <c r="BO63" s="1271"/>
      <c r="BP63" s="1218"/>
      <c r="BQ63" s="1246"/>
      <c r="BR63" s="1271"/>
      <c r="BS63" s="1271"/>
      <c r="BT63" s="1218"/>
      <c r="BU63" s="1246"/>
      <c r="BV63" s="1271"/>
      <c r="BW63" s="1271"/>
      <c r="BX63" s="1218"/>
      <c r="BY63" s="1271"/>
      <c r="BZ63" s="1271"/>
      <c r="CA63" s="1271"/>
      <c r="CB63" s="1218"/>
      <c r="CC63" s="1271"/>
      <c r="CD63" s="1271"/>
      <c r="CE63" s="1271"/>
      <c r="CF63" s="1218"/>
      <c r="CG63" s="1271"/>
      <c r="CH63" s="1271"/>
      <c r="CI63" s="1271"/>
      <c r="CJ63" s="1218"/>
      <c r="CK63" s="1271"/>
      <c r="CL63" s="1271"/>
      <c r="CM63" s="1271"/>
      <c r="CN63" s="1218"/>
      <c r="CO63" s="1271"/>
      <c r="CP63" s="1271"/>
      <c r="CQ63" s="1271"/>
      <c r="CR63" s="1218"/>
      <c r="CS63" s="1271"/>
      <c r="CT63" s="1271"/>
      <c r="CU63" s="1271"/>
      <c r="CV63" s="1271"/>
      <c r="CW63" s="1271"/>
      <c r="CX63" s="1271"/>
      <c r="CY63" s="1271"/>
      <c r="CZ63" s="1271"/>
      <c r="DA63" s="1271"/>
      <c r="DB63" s="1270"/>
      <c r="DC63" s="1270"/>
      <c r="DD63" s="1270"/>
      <c r="DE63" s="1270"/>
      <c r="DF63" s="1270"/>
      <c r="DG63" s="1270"/>
      <c r="DH63" s="1279"/>
      <c r="DI63" s="951"/>
      <c r="DJ63" s="1250"/>
      <c r="DK63" s="951"/>
      <c r="DL63" s="1251"/>
      <c r="DM63" s="951"/>
      <c r="DN63" s="1279"/>
      <c r="DO63" s="951"/>
      <c r="DP63" s="1250"/>
      <c r="DQ63" s="951"/>
      <c r="DR63" s="1251"/>
      <c r="DS63" s="951"/>
      <c r="DT63" s="951"/>
      <c r="DU63" s="951"/>
      <c r="DV63" s="951"/>
      <c r="DW63" s="951"/>
      <c r="DX63" s="951"/>
      <c r="DY63" s="951"/>
    </row>
    <row r="64" spans="1:129" ht="12.75" hidden="1" customHeight="1" outlineLevel="3">
      <c r="A64" s="1167" t="s">
        <v>762</v>
      </c>
      <c r="B64" s="951"/>
      <c r="C64" s="1222"/>
      <c r="D64" s="1241"/>
      <c r="E64" s="1269"/>
      <c r="F64" s="951"/>
      <c r="G64" s="1222"/>
      <c r="H64" s="1242"/>
      <c r="I64" s="1270"/>
      <c r="J64" s="951"/>
      <c r="K64" s="1222"/>
      <c r="L64" s="1242"/>
      <c r="M64" s="1270"/>
      <c r="N64" s="951"/>
      <c r="O64" s="1222"/>
      <c r="P64" s="1242"/>
      <c r="Q64" s="1270"/>
      <c r="R64" s="951"/>
      <c r="S64" s="1222"/>
      <c r="T64" s="1242"/>
      <c r="U64" s="1270"/>
      <c r="V64" s="951"/>
      <c r="W64" s="1222"/>
      <c r="X64" s="1242"/>
      <c r="Y64" s="1270"/>
      <c r="Z64" s="1270"/>
      <c r="AA64" s="951"/>
      <c r="AB64" s="1222"/>
      <c r="AC64" s="1242"/>
      <c r="AD64" s="1270"/>
      <c r="AE64" s="951"/>
      <c r="AF64" s="1222"/>
      <c r="AG64" s="1242"/>
      <c r="AH64" s="1270"/>
      <c r="AI64" s="951"/>
      <c r="AJ64" s="1222">
        <f>+SUM(AJ60:AJ63)</f>
        <v>8</v>
      </c>
      <c r="AK64" s="1243">
        <f>+AJ64/AJ14*100</f>
        <v>0.5357287551739679</v>
      </c>
      <c r="AL64" s="1273">
        <f>+AJ64/AJ181</f>
        <v>3.6930860812201961E-2</v>
      </c>
      <c r="AM64" s="951"/>
      <c r="AN64" s="1222"/>
      <c r="AO64" s="1242"/>
      <c r="AP64" s="1270"/>
      <c r="AQ64" s="951"/>
      <c r="AR64" s="1222"/>
      <c r="AS64" s="1242"/>
      <c r="AT64" s="1270"/>
      <c r="AU64" s="951"/>
      <c r="AV64" s="1201"/>
      <c r="AW64" s="1243"/>
      <c r="AX64" s="1271"/>
      <c r="AY64" s="951"/>
      <c r="AZ64" s="1201"/>
      <c r="BA64" s="1243"/>
      <c r="BB64" s="1271"/>
      <c r="BC64" s="951"/>
      <c r="BD64" s="1201"/>
      <c r="BE64" s="1243"/>
      <c r="BF64" s="1271"/>
      <c r="BG64" s="1271"/>
      <c r="BH64" s="1201">
        <f>SUM(BH60:BH63)</f>
        <v>0</v>
      </c>
      <c r="BI64" s="1243"/>
      <c r="BJ64" s="1271"/>
      <c r="BK64" s="1271"/>
      <c r="BL64" s="1201"/>
      <c r="BM64" s="1243"/>
      <c r="BN64" s="1271"/>
      <c r="BO64" s="1271"/>
      <c r="BP64" s="1201"/>
      <c r="BQ64" s="1243"/>
      <c r="BR64" s="1271"/>
      <c r="BS64" s="1271"/>
      <c r="BT64" s="1201"/>
      <c r="BU64" s="1243"/>
      <c r="BV64" s="1271"/>
      <c r="BW64" s="1271"/>
      <c r="BX64" s="1201"/>
      <c r="BY64" s="1271"/>
      <c r="BZ64" s="1271"/>
      <c r="CA64" s="1271"/>
      <c r="CB64" s="1201"/>
      <c r="CC64" s="1271"/>
      <c r="CD64" s="1271"/>
      <c r="CE64" s="1271"/>
      <c r="CF64" s="1201"/>
      <c r="CG64" s="1271"/>
      <c r="CH64" s="1271"/>
      <c r="CI64" s="1271"/>
      <c r="CJ64" s="1201"/>
      <c r="CK64" s="1271"/>
      <c r="CL64" s="1271"/>
      <c r="CM64" s="1271"/>
      <c r="CN64" s="1201"/>
      <c r="CO64" s="1271"/>
      <c r="CP64" s="1271"/>
      <c r="CQ64" s="1271"/>
      <c r="CR64" s="1201"/>
      <c r="CS64" s="1271"/>
      <c r="CT64" s="1271"/>
      <c r="CU64" s="1271"/>
      <c r="CV64" s="1271"/>
      <c r="CW64" s="1271"/>
      <c r="CX64" s="1271"/>
      <c r="CY64" s="1271"/>
      <c r="CZ64" s="1271"/>
      <c r="DA64" s="1271"/>
      <c r="DB64" s="1270"/>
      <c r="DC64" s="1270"/>
      <c r="DD64" s="1270"/>
      <c r="DE64" s="1270"/>
      <c r="DF64" s="1270"/>
      <c r="DG64" s="1270"/>
      <c r="DH64" s="164"/>
      <c r="DI64" s="951"/>
      <c r="DJ64" s="245"/>
      <c r="DK64" s="951"/>
      <c r="DL64" s="1226"/>
      <c r="DM64" s="951"/>
      <c r="DN64" s="245"/>
      <c r="DO64" s="951"/>
      <c r="DP64" s="245"/>
      <c r="DQ64" s="951"/>
      <c r="DR64" s="1226"/>
      <c r="DS64" s="951"/>
      <c r="DT64" s="951"/>
      <c r="DU64" s="951"/>
      <c r="DV64" s="951"/>
      <c r="DW64" s="951"/>
      <c r="DX64" s="951"/>
      <c r="DY64" s="951"/>
    </row>
    <row r="65" spans="1:129" ht="12.75" hidden="1" customHeight="1" outlineLevel="3">
      <c r="A65" s="1167" t="s">
        <v>769</v>
      </c>
      <c r="B65" s="951"/>
      <c r="C65" s="1226"/>
      <c r="D65" s="1241"/>
      <c r="E65" s="1269"/>
      <c r="F65" s="951"/>
      <c r="G65" s="1226"/>
      <c r="H65" s="1242"/>
      <c r="I65" s="1270"/>
      <c r="J65" s="951"/>
      <c r="K65" s="1226"/>
      <c r="L65" s="1242"/>
      <c r="M65" s="1270"/>
      <c r="N65" s="951"/>
      <c r="O65" s="1226"/>
      <c r="P65" s="1242"/>
      <c r="Q65" s="1270"/>
      <c r="R65" s="951"/>
      <c r="S65" s="1226"/>
      <c r="T65" s="1242"/>
      <c r="U65" s="1270"/>
      <c r="V65" s="951"/>
      <c r="W65" s="1226"/>
      <c r="X65" s="1242"/>
      <c r="Y65" s="1270"/>
      <c r="Z65" s="1270"/>
      <c r="AA65" s="951"/>
      <c r="AB65" s="1226"/>
      <c r="AC65" s="1242"/>
      <c r="AD65" s="1270"/>
      <c r="AE65" s="951"/>
      <c r="AF65" s="1226"/>
      <c r="AG65" s="1242"/>
      <c r="AH65" s="1270"/>
      <c r="AI65" s="951"/>
      <c r="AJ65" s="1226"/>
      <c r="AK65" s="1242"/>
      <c r="AL65" s="1270"/>
      <c r="AM65" s="951"/>
      <c r="AN65" s="1226"/>
      <c r="AO65" s="1242"/>
      <c r="AP65" s="1270"/>
      <c r="AQ65" s="951"/>
      <c r="AR65" s="1226"/>
      <c r="AS65" s="1242"/>
      <c r="AT65" s="1270"/>
      <c r="AU65" s="951"/>
      <c r="AV65" s="1166"/>
      <c r="AW65" s="1243"/>
      <c r="AX65" s="1271"/>
      <c r="AY65" s="951"/>
      <c r="AZ65" s="1166"/>
      <c r="BA65" s="1243"/>
      <c r="BB65" s="1271"/>
      <c r="BC65" s="951"/>
      <c r="BD65" s="1166"/>
      <c r="BE65" s="1243"/>
      <c r="BF65" s="1271"/>
      <c r="BG65" s="1271"/>
      <c r="BH65" s="1166"/>
      <c r="BI65" s="1243"/>
      <c r="BJ65" s="1271"/>
      <c r="BK65" s="1271"/>
      <c r="BL65" s="1166"/>
      <c r="BM65" s="1243"/>
      <c r="BN65" s="1271"/>
      <c r="BO65" s="1271"/>
      <c r="BP65" s="1166"/>
      <c r="BQ65" s="1243"/>
      <c r="BR65" s="1271"/>
      <c r="BS65" s="1271"/>
      <c r="BT65" s="1166"/>
      <c r="BU65" s="1243"/>
      <c r="BV65" s="1271"/>
      <c r="BW65" s="1271"/>
      <c r="BX65" s="1271"/>
      <c r="BY65" s="1271"/>
      <c r="BZ65" s="1271"/>
      <c r="CA65" s="1271"/>
      <c r="CB65" s="1271"/>
      <c r="CC65" s="1271"/>
      <c r="CD65" s="1271"/>
      <c r="CE65" s="1271"/>
      <c r="CF65" s="1271"/>
      <c r="CG65" s="1271"/>
      <c r="CH65" s="1271"/>
      <c r="CI65" s="1271"/>
      <c r="CJ65" s="1271"/>
      <c r="CK65" s="1271"/>
      <c r="CL65" s="1271"/>
      <c r="CM65" s="1271"/>
      <c r="CN65" s="1271"/>
      <c r="CO65" s="1271"/>
      <c r="CP65" s="1271"/>
      <c r="CQ65" s="1271"/>
      <c r="CR65" s="1271"/>
      <c r="CS65" s="1271"/>
      <c r="CT65" s="1271"/>
      <c r="CU65" s="1271"/>
      <c r="CV65" s="1271"/>
      <c r="CW65" s="1271"/>
      <c r="CX65" s="1271"/>
      <c r="CY65" s="1271"/>
      <c r="CZ65" s="1271"/>
      <c r="DA65" s="1271"/>
      <c r="DB65" s="1270"/>
      <c r="DC65" s="1270"/>
      <c r="DD65" s="1270"/>
      <c r="DE65" s="1270"/>
      <c r="DF65" s="1270"/>
      <c r="DG65" s="1270"/>
      <c r="DH65" s="951"/>
      <c r="DI65" s="951"/>
      <c r="DJ65" s="1226"/>
      <c r="DK65" s="951"/>
      <c r="DL65" s="951"/>
      <c r="DM65" s="951"/>
      <c r="DN65" s="951"/>
      <c r="DO65" s="951"/>
      <c r="DP65" s="1226"/>
      <c r="DQ65" s="951"/>
      <c r="DR65" s="951"/>
      <c r="DS65" s="951"/>
      <c r="DT65" s="951"/>
      <c r="DU65" s="951"/>
      <c r="DV65" s="951"/>
      <c r="DW65" s="951"/>
      <c r="DX65" s="951"/>
      <c r="DY65" s="951"/>
    </row>
    <row r="66" spans="1:129" ht="12.75" hidden="1" customHeight="1" outlineLevel="3">
      <c r="A66" s="1167" t="s">
        <v>770</v>
      </c>
      <c r="B66" s="951"/>
      <c r="C66" s="1226"/>
      <c r="D66" s="1241"/>
      <c r="E66" s="1269"/>
      <c r="F66" s="951"/>
      <c r="G66" s="1226"/>
      <c r="H66" s="1242"/>
      <c r="I66" s="1270"/>
      <c r="J66" s="951"/>
      <c r="K66" s="1226"/>
      <c r="L66" s="1242"/>
      <c r="M66" s="1270"/>
      <c r="N66" s="951"/>
      <c r="O66" s="1226"/>
      <c r="P66" s="1242"/>
      <c r="Q66" s="1270"/>
      <c r="R66" s="951"/>
      <c r="S66" s="1226"/>
      <c r="T66" s="1242"/>
      <c r="U66" s="1270"/>
      <c r="V66" s="951"/>
      <c r="W66" s="1226"/>
      <c r="X66" s="1242"/>
      <c r="Y66" s="1270"/>
      <c r="Z66" s="1270"/>
      <c r="AA66" s="951"/>
      <c r="AB66" s="1226"/>
      <c r="AC66" s="1242"/>
      <c r="AD66" s="1270"/>
      <c r="AE66" s="951"/>
      <c r="AF66" s="1226"/>
      <c r="AG66" s="1242"/>
      <c r="AH66" s="1270"/>
      <c r="AI66" s="951"/>
      <c r="AJ66" s="1226"/>
      <c r="AK66" s="1242"/>
      <c r="AL66" s="1270"/>
      <c r="AM66" s="951"/>
      <c r="AN66" s="1226"/>
      <c r="AO66" s="1242"/>
      <c r="AP66" s="1270"/>
      <c r="AQ66" s="951"/>
      <c r="AR66" s="1226"/>
      <c r="AS66" s="1242"/>
      <c r="AT66" s="1270"/>
      <c r="AU66" s="951"/>
      <c r="AV66" s="1166"/>
      <c r="AW66" s="1243"/>
      <c r="AX66" s="1271"/>
      <c r="AY66" s="951"/>
      <c r="AZ66" s="1166"/>
      <c r="BA66" s="1243"/>
      <c r="BB66" s="1271"/>
      <c r="BC66" s="951"/>
      <c r="BD66" s="1166"/>
      <c r="BE66" s="1243"/>
      <c r="BF66" s="1271"/>
      <c r="BG66" s="1271"/>
      <c r="BH66" s="1166"/>
      <c r="BI66" s="1243"/>
      <c r="BJ66" s="1271"/>
      <c r="BK66" s="1271"/>
      <c r="BL66" s="1166"/>
      <c r="BM66" s="1243"/>
      <c r="BN66" s="1271"/>
      <c r="BO66" s="1271"/>
      <c r="BP66" s="1166"/>
      <c r="BQ66" s="1243"/>
      <c r="BR66" s="1271"/>
      <c r="BS66" s="1271"/>
      <c r="BT66" s="1166"/>
      <c r="BU66" s="1243"/>
      <c r="BV66" s="1271"/>
      <c r="BW66" s="1271"/>
      <c r="BX66" s="1271"/>
      <c r="BY66" s="1271"/>
      <c r="BZ66" s="1271"/>
      <c r="CA66" s="1271"/>
      <c r="CB66" s="1271"/>
      <c r="CC66" s="1271"/>
      <c r="CD66" s="1271"/>
      <c r="CE66" s="1271"/>
      <c r="CF66" s="1271"/>
      <c r="CG66" s="1271"/>
      <c r="CH66" s="1271"/>
      <c r="CI66" s="1271"/>
      <c r="CJ66" s="1271"/>
      <c r="CK66" s="1271"/>
      <c r="CL66" s="1271"/>
      <c r="CM66" s="1271"/>
      <c r="CN66" s="1271"/>
      <c r="CO66" s="1271"/>
      <c r="CP66" s="1271"/>
      <c r="CQ66" s="1271"/>
      <c r="CR66" s="1271"/>
      <c r="CS66" s="1271"/>
      <c r="CT66" s="1271"/>
      <c r="CU66" s="1159"/>
      <c r="CV66" s="1271"/>
      <c r="CW66" s="1159"/>
      <c r="CX66" s="1159"/>
      <c r="CY66" s="1271"/>
      <c r="CZ66" s="1271"/>
      <c r="DA66" s="1271"/>
      <c r="DB66" s="1270"/>
      <c r="DC66" s="1270"/>
      <c r="DD66" s="1270"/>
      <c r="DE66" s="1270"/>
      <c r="DF66" s="1270"/>
      <c r="DG66" s="1270"/>
      <c r="DH66" s="951"/>
      <c r="DI66" s="951"/>
      <c r="DJ66" s="951"/>
      <c r="DK66" s="951"/>
      <c r="DL66" s="951"/>
      <c r="DM66" s="951"/>
      <c r="DN66" s="951"/>
      <c r="DO66" s="951"/>
      <c r="DP66" s="951"/>
      <c r="DQ66" s="951"/>
      <c r="DR66" s="951"/>
      <c r="DS66" s="951"/>
      <c r="DT66" s="951"/>
      <c r="DU66" s="951"/>
      <c r="DV66" s="951"/>
      <c r="DW66" s="951"/>
      <c r="DX66" s="951"/>
      <c r="DY66" s="951"/>
    </row>
    <row r="67" spans="1:129" ht="12.75" outlineLevel="2" collapsed="1">
      <c r="A67" s="951"/>
      <c r="B67" s="951"/>
      <c r="C67" s="1290"/>
      <c r="D67" s="951"/>
      <c r="E67" s="951"/>
      <c r="F67" s="951"/>
      <c r="G67" s="1290"/>
      <c r="H67" s="951"/>
      <c r="I67" s="951"/>
      <c r="J67" s="951"/>
      <c r="K67" s="1290"/>
      <c r="L67" s="951"/>
      <c r="M67" s="951"/>
      <c r="N67" s="951"/>
      <c r="O67" s="1290"/>
      <c r="P67" s="951"/>
      <c r="Q67" s="951"/>
      <c r="R67" s="951"/>
      <c r="S67" s="1290"/>
      <c r="T67" s="951"/>
      <c r="U67" s="951"/>
      <c r="V67" s="951"/>
      <c r="W67" s="1290"/>
      <c r="X67" s="951"/>
      <c r="Y67" s="951"/>
      <c r="Z67" s="951"/>
      <c r="AA67" s="951"/>
      <c r="AB67" s="1290"/>
      <c r="AC67" s="951"/>
      <c r="AD67" s="951"/>
      <c r="AE67" s="951"/>
      <c r="AF67" s="1310"/>
      <c r="AG67" s="951"/>
      <c r="AH67" s="951"/>
      <c r="AI67" s="951"/>
      <c r="AJ67" s="951"/>
      <c r="AK67" s="1232"/>
      <c r="AL67" s="951"/>
      <c r="AM67" s="951"/>
      <c r="AN67" s="1232"/>
      <c r="AO67" s="1232"/>
      <c r="AP67" s="1232"/>
      <c r="AQ67" s="951"/>
      <c r="AR67" s="1226"/>
      <c r="AS67" s="1232"/>
      <c r="AT67" s="1232"/>
      <c r="AU67" s="951"/>
      <c r="AV67" s="1166"/>
      <c r="AW67" s="1159"/>
      <c r="AX67" s="1159"/>
      <c r="AY67" s="951"/>
      <c r="AZ67" s="1166"/>
      <c r="BA67" s="1159"/>
      <c r="BB67" s="1159"/>
      <c r="BC67" s="951"/>
      <c r="BD67" s="1166"/>
      <c r="BE67" s="1159"/>
      <c r="BF67" s="1159"/>
      <c r="BG67" s="1159"/>
      <c r="BH67" s="1166"/>
      <c r="BI67" s="1159"/>
      <c r="BJ67" s="1159"/>
      <c r="BK67" s="1159"/>
      <c r="BL67" s="1166"/>
      <c r="BM67" s="1159"/>
      <c r="BN67" s="1159"/>
      <c r="BO67" s="1159"/>
      <c r="BP67" s="1166"/>
      <c r="BQ67" s="1159"/>
      <c r="BR67" s="1159"/>
      <c r="BS67" s="1159"/>
      <c r="BT67" s="1166"/>
      <c r="BU67" s="1159"/>
      <c r="BV67" s="1159"/>
      <c r="BW67" s="1159"/>
      <c r="BX67" s="1159"/>
      <c r="BY67" s="1159"/>
      <c r="BZ67" s="1159"/>
      <c r="CA67" s="1159"/>
      <c r="CB67" s="1159"/>
      <c r="CC67" s="1159"/>
      <c r="CD67" s="1159"/>
      <c r="CE67" s="1159"/>
      <c r="CF67" s="1159"/>
      <c r="CG67" s="1159"/>
      <c r="CH67" s="1159"/>
      <c r="CI67" s="1159"/>
      <c r="CJ67" s="1159"/>
      <c r="CK67" s="1159"/>
      <c r="CL67" s="1159"/>
      <c r="CM67" s="1159"/>
      <c r="CN67" s="1159"/>
      <c r="CO67" s="1159"/>
      <c r="CP67" s="1159"/>
      <c r="CQ67" s="1159"/>
      <c r="CR67" s="1159"/>
      <c r="CS67" s="1159"/>
      <c r="CT67" s="1159"/>
      <c r="CU67" s="1185"/>
      <c r="CV67" s="1159"/>
      <c r="CW67" s="1185"/>
      <c r="CX67" s="1185"/>
      <c r="CY67" s="1159"/>
      <c r="CZ67" s="1159"/>
      <c r="DA67" s="1159"/>
      <c r="DB67" s="1232"/>
      <c r="DC67" s="1232"/>
      <c r="DD67" s="1232"/>
      <c r="DE67" s="1232"/>
      <c r="DF67" s="1232"/>
      <c r="DG67" s="1232"/>
      <c r="DH67" s="951"/>
      <c r="DI67" s="951"/>
      <c r="DJ67" s="951"/>
      <c r="DK67" s="951"/>
      <c r="DL67" s="951"/>
      <c r="DM67" s="951"/>
      <c r="DN67" s="951"/>
      <c r="DO67" s="951"/>
      <c r="DP67" s="951"/>
      <c r="DQ67" s="951"/>
      <c r="DR67" s="951"/>
      <c r="DS67" s="951"/>
      <c r="DT67" s="951"/>
      <c r="DU67" s="951"/>
      <c r="DV67" s="951"/>
      <c r="DW67" s="951"/>
      <c r="DX67" s="951"/>
      <c r="DY67" s="951"/>
    </row>
    <row r="68" spans="1:129" ht="12.75" outlineLevel="2">
      <c r="A68" s="1259"/>
      <c r="B68" s="1181"/>
      <c r="C68" s="1181"/>
      <c r="D68" s="1181"/>
      <c r="E68" s="1181"/>
      <c r="F68" s="1181"/>
      <c r="G68" s="1182"/>
      <c r="H68" s="1182"/>
      <c r="I68" s="1182"/>
      <c r="J68" s="1182"/>
      <c r="K68" s="1182"/>
      <c r="L68" s="1182"/>
      <c r="M68" s="1182"/>
      <c r="N68" s="1182"/>
      <c r="O68" s="1182"/>
      <c r="P68" s="1182"/>
      <c r="Q68" s="1182"/>
      <c r="R68" s="1182"/>
      <c r="S68" s="1259"/>
      <c r="T68" s="1182"/>
      <c r="U68" s="1182"/>
      <c r="V68" s="1182"/>
      <c r="W68" s="1259"/>
      <c r="X68" s="1182"/>
      <c r="Y68" s="1182"/>
      <c r="Z68" s="1182"/>
      <c r="AA68" s="1183"/>
      <c r="AB68" s="1182"/>
      <c r="AC68" s="1183"/>
      <c r="AD68" s="1183"/>
      <c r="AE68" s="1183"/>
      <c r="AF68" s="1182"/>
      <c r="AG68" s="1183"/>
      <c r="AH68" s="1183"/>
      <c r="AI68" s="1183"/>
      <c r="AJ68" s="1184"/>
      <c r="AK68" s="1183"/>
      <c r="AL68" s="1183"/>
      <c r="AM68" s="1183"/>
      <c r="AN68" s="1184"/>
      <c r="AO68" s="1183"/>
      <c r="AP68" s="1183"/>
      <c r="AQ68" s="1183"/>
      <c r="AR68" s="1184"/>
      <c r="AS68" s="1183"/>
      <c r="AT68" s="1183"/>
      <c r="AU68" s="1183"/>
      <c r="AV68" s="1182"/>
      <c r="AW68" s="1185"/>
      <c r="AX68" s="1185"/>
      <c r="AY68" s="1183"/>
      <c r="AZ68" s="1186"/>
      <c r="BA68" s="1185"/>
      <c r="BB68" s="1185"/>
      <c r="BC68" s="1183"/>
      <c r="BD68" s="1186"/>
      <c r="BE68" s="1185"/>
      <c r="BF68" s="1185"/>
      <c r="BG68" s="1185"/>
      <c r="BH68" s="1186"/>
      <c r="BI68" s="1185"/>
      <c r="BJ68" s="1185"/>
      <c r="BK68" s="1185"/>
      <c r="BL68" s="1186"/>
      <c r="BM68" s="1185"/>
      <c r="BN68" s="1185"/>
      <c r="BO68" s="1185"/>
      <c r="BP68" s="1186"/>
      <c r="BQ68" s="1182" t="s">
        <v>773</v>
      </c>
      <c r="BR68" s="1185"/>
      <c r="BS68" s="1185"/>
      <c r="BT68" s="1186"/>
      <c r="BU68" s="1185"/>
      <c r="BV68" s="1185"/>
      <c r="BW68" s="1185"/>
      <c r="BX68" s="1185"/>
      <c r="BY68" s="1185"/>
      <c r="BZ68" s="1185"/>
      <c r="CA68" s="1187"/>
      <c r="CB68" s="1185"/>
      <c r="CC68" s="1185"/>
      <c r="CD68" s="1185"/>
      <c r="CE68" s="1187"/>
      <c r="CF68" s="1185"/>
      <c r="CG68" s="1182" t="s">
        <v>773</v>
      </c>
      <c r="CH68" s="1185"/>
      <c r="CI68" s="1187"/>
      <c r="CJ68" s="1185"/>
      <c r="CK68" s="1185"/>
      <c r="CL68" s="1185"/>
      <c r="CM68" s="1187"/>
      <c r="CN68" s="1185"/>
      <c r="CO68" s="1185"/>
      <c r="CP68" s="1185"/>
      <c r="CQ68" s="1185"/>
      <c r="CR68" s="1185"/>
      <c r="CS68" s="1185"/>
      <c r="CT68" s="1185"/>
      <c r="CU68" s="1185"/>
      <c r="CV68" s="1185"/>
      <c r="CW68" s="1185"/>
      <c r="CX68" s="1185"/>
      <c r="CY68" s="1185"/>
      <c r="CZ68" s="1185"/>
      <c r="DA68" s="1185"/>
      <c r="DB68" s="1183"/>
      <c r="DC68" s="1183"/>
      <c r="DD68" s="1183"/>
      <c r="DE68" s="1183"/>
      <c r="DF68" s="1183"/>
      <c r="DG68" s="1183"/>
      <c r="DH68" s="1259"/>
      <c r="DI68" s="1259"/>
      <c r="DJ68" s="1259"/>
      <c r="DK68" s="1259"/>
      <c r="DL68" s="1259"/>
      <c r="DM68" s="1259"/>
      <c r="DN68" s="1259"/>
      <c r="DO68" s="1259"/>
      <c r="DP68" s="1259"/>
      <c r="DQ68" s="1259"/>
      <c r="DR68" s="1259"/>
      <c r="DS68" s="1259"/>
      <c r="DT68" s="1259"/>
      <c r="DU68" s="1259"/>
      <c r="DV68" s="1259"/>
      <c r="DW68" s="1259"/>
      <c r="DX68" s="1259"/>
      <c r="DY68" s="1259"/>
    </row>
    <row r="69" spans="1:129" ht="12.75" outlineLevel="2">
      <c r="A69" s="45"/>
      <c r="B69" s="1183"/>
      <c r="C69" s="1183"/>
      <c r="D69" s="1183"/>
      <c r="E69" s="1183"/>
      <c r="F69" s="1183"/>
      <c r="G69" s="1183"/>
      <c r="H69" s="1183"/>
      <c r="I69" s="1183"/>
      <c r="J69" s="1183"/>
      <c r="K69" s="1183"/>
      <c r="L69" s="1183"/>
      <c r="M69" s="1183"/>
      <c r="N69" s="45"/>
      <c r="O69" s="1183"/>
      <c r="P69" s="1183"/>
      <c r="Q69" s="1183"/>
      <c r="R69" s="45"/>
      <c r="S69" s="1183"/>
      <c r="T69" s="1183"/>
      <c r="U69" s="1183"/>
      <c r="V69" s="45"/>
      <c r="W69" s="1183"/>
      <c r="X69" s="1183"/>
      <c r="Y69" s="1183"/>
      <c r="Z69" s="1183"/>
      <c r="AA69" s="45"/>
      <c r="AB69" s="1183"/>
      <c r="AC69" s="1183"/>
      <c r="AD69" s="1183"/>
      <c r="AE69" s="45"/>
      <c r="AF69" s="1183"/>
      <c r="AG69" s="1183"/>
      <c r="AH69" s="1183"/>
      <c r="AI69" s="45"/>
      <c r="AJ69" s="1183"/>
      <c r="AK69" s="1261"/>
      <c r="AL69" s="1183"/>
      <c r="AM69" s="45"/>
      <c r="AN69" s="1183"/>
      <c r="AO69" s="1261"/>
      <c r="AP69" s="1183"/>
      <c r="AQ69" s="45"/>
      <c r="AR69" s="1183"/>
      <c r="AS69" s="1261"/>
      <c r="AT69" s="1183"/>
      <c r="AU69" s="45"/>
      <c r="AV69" s="1185"/>
      <c r="AW69" s="1311"/>
      <c r="AX69" s="1185"/>
      <c r="AY69" s="45"/>
      <c r="AZ69" s="1312"/>
      <c r="BA69" s="1312"/>
      <c r="BB69" s="1185"/>
      <c r="BC69" s="45"/>
      <c r="BD69" s="1185"/>
      <c r="BE69" s="1311"/>
      <c r="BF69" s="1185"/>
      <c r="BG69" s="1185"/>
      <c r="BH69" s="1313"/>
      <c r="BI69" s="1311"/>
      <c r="BJ69" s="1185"/>
      <c r="BK69" s="1185"/>
      <c r="BL69" s="1313"/>
      <c r="BM69" s="1311"/>
      <c r="BN69" s="1185"/>
      <c r="BO69" s="1185"/>
      <c r="BP69" s="1313"/>
      <c r="BQ69" s="1311"/>
      <c r="BR69" s="1185"/>
      <c r="BS69" s="1185"/>
      <c r="BT69" s="1313"/>
      <c r="BU69" s="1311"/>
      <c r="BV69" s="1185"/>
      <c r="BW69" s="1185"/>
      <c r="BX69" s="1185"/>
      <c r="BY69" s="1185"/>
      <c r="BZ69" s="1185"/>
      <c r="CA69" s="1185"/>
      <c r="CB69" s="1185"/>
      <c r="CC69" s="1185"/>
      <c r="CD69" s="1185"/>
      <c r="CE69" s="1185"/>
      <c r="CF69" s="1185"/>
      <c r="CG69" s="1185"/>
      <c r="CH69" s="1185"/>
      <c r="CI69" s="1185"/>
      <c r="CJ69" s="1185"/>
      <c r="CK69" s="1185"/>
      <c r="CL69" s="1185"/>
      <c r="CM69" s="1185"/>
      <c r="CN69" s="1311"/>
      <c r="CO69" s="1185"/>
      <c r="CP69" s="1185"/>
      <c r="CQ69" s="1185"/>
      <c r="CR69" s="1312"/>
      <c r="CS69" s="1185"/>
      <c r="CT69" s="1185"/>
      <c r="CU69" s="1316"/>
      <c r="CV69" s="1185"/>
      <c r="CW69" s="1271"/>
      <c r="CX69" s="1271"/>
      <c r="CY69" s="1185"/>
      <c r="CZ69" s="1185"/>
      <c r="DA69" s="1185"/>
      <c r="DB69" s="1183"/>
      <c r="DC69" s="1183"/>
      <c r="DD69" s="1183"/>
      <c r="DE69" s="1183"/>
      <c r="DF69" s="1183"/>
      <c r="DG69" s="1183"/>
      <c r="DH69" s="45"/>
      <c r="DI69" s="45"/>
      <c r="DJ69" s="45"/>
      <c r="DK69" s="45"/>
      <c r="DL69" s="45"/>
      <c r="DM69" s="45"/>
      <c r="DN69" s="45"/>
      <c r="DO69" s="45"/>
      <c r="DP69" s="45"/>
      <c r="DQ69" s="45"/>
      <c r="DR69" s="45"/>
      <c r="DS69" s="45"/>
      <c r="DT69" s="45"/>
      <c r="DU69" s="45"/>
      <c r="DV69" s="45"/>
      <c r="DW69" s="45"/>
      <c r="DX69" s="45"/>
      <c r="DY69" s="45"/>
    </row>
    <row r="70" spans="1:129" ht="12.75" outlineLevel="2">
      <c r="A70" s="1167" t="s">
        <v>734</v>
      </c>
      <c r="B70" s="951"/>
      <c r="C70" s="1222">
        <f>C10-C20-C30-C50</f>
        <v>-11.464499999999997</v>
      </c>
      <c r="D70" s="1241">
        <f t="shared" ref="D70:D76" si="115">C70/C10*100</f>
        <v>-23.678666584051051</v>
      </c>
      <c r="E70" s="1314"/>
      <c r="F70" s="951"/>
      <c r="G70" s="1222">
        <f>G10-G20-G30-G50</f>
        <v>-5.2430000000000012</v>
      </c>
      <c r="H70" s="1242">
        <f t="shared" ref="H70:H76" si="116">G70/G10*100</f>
        <v>-9.6385763659092607</v>
      </c>
      <c r="I70" s="1270">
        <f>(G70/(C70)-1)*100</f>
        <v>-54.267521479349277</v>
      </c>
      <c r="J70" s="951"/>
      <c r="K70" s="1222">
        <f>K10-K20-K30-K50</f>
        <v>-6.3260000000000005</v>
      </c>
      <c r="L70" s="1242">
        <f t="shared" ref="L70:L76" si="117">K70/K10*100</f>
        <v>-10.378658616616356</v>
      </c>
      <c r="M70" s="1270">
        <f t="shared" ref="M70:M75" si="118">(K70/(G70)-1)*100</f>
        <v>20.656112912454681</v>
      </c>
      <c r="N70" s="951"/>
      <c r="O70" s="1222">
        <f>O10-O20-O30-O50</f>
        <v>9.0190000000000072</v>
      </c>
      <c r="P70" s="1242">
        <f t="shared" ref="P70:P76" si="119">O70/O10*100</f>
        <v>9.0466828495195362</v>
      </c>
      <c r="Q70" s="1270">
        <f t="shared" ref="Q70:Q75" si="120">(O70/(K70)-1)*100</f>
        <v>-242.57034460954802</v>
      </c>
      <c r="R70" s="951"/>
      <c r="S70" s="1222">
        <f>S10-S20-S30-S50</f>
        <v>19.435000000000002</v>
      </c>
      <c r="T70" s="1242">
        <f t="shared" ref="T70:T76" si="121">S70/S10*100</f>
        <v>13.366207257021816</v>
      </c>
      <c r="U70" s="1270">
        <f t="shared" ref="U70:U75" si="122">(S70/(O70)-1)*100</f>
        <v>115.48952211996881</v>
      </c>
      <c r="V70" s="951"/>
      <c r="W70" s="1222">
        <f>W10-W20-W30-W50</f>
        <v>19.057999999999996</v>
      </c>
      <c r="X70" s="1242">
        <f t="shared" ref="X70:X76" si="123">W70/W10*100</f>
        <v>10.706801723605187</v>
      </c>
      <c r="Y70" s="1270">
        <f>(W70/(S70)-1)*100</f>
        <v>-1.9397993311037087</v>
      </c>
      <c r="Z70" s="1270"/>
      <c r="AA70" s="951"/>
      <c r="AB70" s="1222">
        <f>AB10-AB20-AB30-AB50</f>
        <v>24.157000000000011</v>
      </c>
      <c r="AC70" s="1242">
        <f t="shared" ref="AC70:AC76" si="124">AB70/AB10*100</f>
        <v>9.603336142604995</v>
      </c>
      <c r="AD70" s="1270">
        <f>(AB70/(W70)-1)*100</f>
        <v>26.755168433203981</v>
      </c>
      <c r="AE70" s="951"/>
      <c r="AF70" s="1222">
        <f>AF10-AF20-AF30-AF50</f>
        <v>19.921999999999983</v>
      </c>
      <c r="AG70" s="1242">
        <f t="shared" ref="AG70:AG76" si="125">AF70/AF10*100</f>
        <v>7.1689463210660165</v>
      </c>
      <c r="AH70" s="1270">
        <f>(AF70/(AB70)-1)*100</f>
        <v>-17.531150391191062</v>
      </c>
      <c r="AI70" s="951"/>
      <c r="AJ70" s="1222">
        <f>AJ10-AJ20-AJ30-AJ50</f>
        <v>9.7160000000000046</v>
      </c>
      <c r="AK70" s="1242">
        <f t="shared" ref="AK70:AK76" si="126">AJ70/AJ10*100</f>
        <v>3.3290161653955019</v>
      </c>
      <c r="AL70" s="1270">
        <f t="shared" ref="AL70:AL76" si="127">(AJ70/AF70-1)*100</f>
        <v>-51.229796205200216</v>
      </c>
      <c r="AM70" s="951"/>
      <c r="AN70" s="1222">
        <f>AN10-AN20-AN30-AN50</f>
        <v>43.131000000000029</v>
      </c>
      <c r="AO70" s="1242">
        <f t="shared" ref="AO70:AO76" si="128">AN70/AN10*100</f>
        <v>12.982271318062796</v>
      </c>
      <c r="AP70" s="1270">
        <f t="shared" ref="AP70:AP76" si="129">(AN70/AJ70-1)*100</f>
        <v>343.91724989707706</v>
      </c>
      <c r="AQ70" s="951"/>
      <c r="AR70" s="1222">
        <f>AR10-AR20-AR30-AR50</f>
        <v>86.968999999999966</v>
      </c>
      <c r="AS70" s="1242">
        <f t="shared" ref="AS70:AS76" si="130">AR70/AR10*100</f>
        <v>19.052219498463224</v>
      </c>
      <c r="AT70" s="1270">
        <f>(AR70/AN70-1)*100</f>
        <v>101.63919222832743</v>
      </c>
      <c r="AU70" s="1232"/>
      <c r="AV70" s="1201">
        <f>AV10-AV20-AV30-AV50</f>
        <v>98.265999999999963</v>
      </c>
      <c r="AW70" s="1243">
        <f t="shared" ref="AW70:AW76" si="131">AV70/AV10*100</f>
        <v>18.809481880756767</v>
      </c>
      <c r="AX70" s="1271">
        <f>(AV70/AR70-1)*100</f>
        <v>12.989685980061871</v>
      </c>
      <c r="AY70" s="1232"/>
      <c r="AZ70" s="1201">
        <f>AZ10-AZ20-AZ30-AZ50</f>
        <v>115.98799999999994</v>
      </c>
      <c r="BA70" s="1243">
        <f t="shared" ref="BA70:BA76" si="132">AZ70/AZ10*100</f>
        <v>18.940341549284266</v>
      </c>
      <c r="BB70" s="1271">
        <f>(AZ70/AV70-1)*100</f>
        <v>18.034722080882482</v>
      </c>
      <c r="BC70" s="1232"/>
      <c r="BD70" s="1201">
        <f>BD10-BD20-BD30-BD50</f>
        <v>64.479000000000028</v>
      </c>
      <c r="BE70" s="1243">
        <f t="shared" ref="BE70:BE76" si="133">BD70/BD10*100</f>
        <v>10.070091925372719</v>
      </c>
      <c r="BF70" s="1271">
        <f>(BD70/AZ70-1)*100</f>
        <v>-44.408904369417478</v>
      </c>
      <c r="BG70" s="1271"/>
      <c r="BH70" s="1201">
        <f>BH10-BH20-BH30-BH50+BH60</f>
        <v>38.826999999999998</v>
      </c>
      <c r="BI70" s="1243">
        <f t="shared" ref="BI70:BI76" si="134">BH70/BH10*100</f>
        <v>6.4531087174390338</v>
      </c>
      <c r="BJ70" s="1271">
        <f>(BH70/BD70-1)*100</f>
        <v>-39.783495401603652</v>
      </c>
      <c r="BK70" s="1271"/>
      <c r="BL70" s="1201">
        <f>BL10-BL20-BL30-BL50</f>
        <v>56.601999999999983</v>
      </c>
      <c r="BM70" s="1243">
        <f t="shared" ref="BM70:BM76" si="135">BL70/BL10*100</f>
        <v>8.773871527777775</v>
      </c>
      <c r="BN70" s="1271">
        <f>(BL70/BH70-1)*100</f>
        <v>45.779998454683565</v>
      </c>
      <c r="BO70" s="1271"/>
      <c r="BP70" s="1201">
        <f>BP10-BP20-BP30-BP50</f>
        <v>44.131000000000064</v>
      </c>
      <c r="BQ70" s="1243">
        <f t="shared" ref="BQ70:BQ76" si="136">BP70/BP10*100</f>
        <v>7.3175544368612098</v>
      </c>
      <c r="BR70" s="1271">
        <f t="shared" ref="BR70:BR76" si="137">(BP70/BL70-1)*100</f>
        <v>-22.032790360764498</v>
      </c>
      <c r="BS70" s="1271"/>
      <c r="BT70" s="1201">
        <f>BT10-BT20-BT30-BT50</f>
        <v>64.308000000000078</v>
      </c>
      <c r="BU70" s="1243">
        <f t="shared" ref="BU70:BU76" si="138">BT70/BT10*100</f>
        <v>9.0741433197638006</v>
      </c>
      <c r="BV70" s="1271">
        <f t="shared" ref="BV70:BV76" si="139">(BT70/BP70-1)*100</f>
        <v>45.720695202918549</v>
      </c>
      <c r="BW70" s="1271"/>
      <c r="BX70" s="1201">
        <f>BX10-BX20-BX30-BX50</f>
        <v>57.359999999999978</v>
      </c>
      <c r="BY70" s="1243">
        <f t="shared" ref="BY70:BY76" si="140">BX70/BX10*100</f>
        <v>8.4417868448821647</v>
      </c>
      <c r="BZ70" s="1271">
        <f t="shared" ref="BZ70:BZ76" si="141">(BX70/BT70-1)*100</f>
        <v>-10.804254525098111</v>
      </c>
      <c r="CA70" s="1315"/>
      <c r="CB70" s="1201">
        <f>CB10-CB20-CB30-CB50</f>
        <v>8.4250000000000327</v>
      </c>
      <c r="CC70" s="1243">
        <f t="shared" ref="CC70:CC76" si="142">CB70/CB10*100</f>
        <v>1.30391918641634</v>
      </c>
      <c r="CD70" s="1271">
        <f t="shared" ref="CD70:CD76" si="143">(CB70/BX70-1)*100</f>
        <v>-85.312064156206361</v>
      </c>
      <c r="CE70" s="1315"/>
      <c r="CF70" s="1201">
        <f>CF10-CF20-CF30-CF50</f>
        <v>41.993999999999978</v>
      </c>
      <c r="CG70" s="1243">
        <f t="shared" ref="CG70:CG76" si="144">CF70/CF10*100</f>
        <v>6.0032593778591004</v>
      </c>
      <c r="CH70" s="1271">
        <f t="shared" ref="CH70:CH76" si="145">(CF70/CB70-1)*100</f>
        <v>398.44510385756456</v>
      </c>
      <c r="CI70" s="1315"/>
      <c r="CJ70" s="1201">
        <f>CJ10-CJ20-CJ30-CJ50</f>
        <v>58.676000000000059</v>
      </c>
      <c r="CK70" s="1243">
        <f t="shared" ref="CK70:CK76" si="146">CJ70/CJ10*100</f>
        <v>7.8295632866125162</v>
      </c>
      <c r="CL70" s="1271">
        <f t="shared" ref="CL70:CL76" si="147">(CJ70/CF70-1)*100</f>
        <v>39.72472257941633</v>
      </c>
      <c r="CM70" s="1315"/>
      <c r="CN70" s="1201">
        <f>CN10-CN20-CN30-CN50</f>
        <v>42.396999999999991</v>
      </c>
      <c r="CO70" s="1243">
        <f t="shared" ref="CO70:CO76" si="148">CN70/CN10*100</f>
        <v>5.5651085010422179</v>
      </c>
      <c r="CP70" s="1271">
        <f t="shared" ref="CP70:CP76" si="149">(CN70/CJ70-1)*100</f>
        <v>-27.743881655191306</v>
      </c>
      <c r="CQ70" s="1271"/>
      <c r="CR70" s="1201">
        <f>CR10-CR20-CR30-CR50</f>
        <v>52.943194008840862</v>
      </c>
      <c r="CS70" s="1243">
        <f t="shared" ref="CS70:CS76" si="150">CR70/CR10*100</f>
        <v>6.5500000000000007</v>
      </c>
      <c r="CT70" s="1271">
        <f t="shared" ref="CT70:CT76" si="151">(CR70/CN70-1)*100</f>
        <v>24.874859091069833</v>
      </c>
      <c r="CU70" s="1316"/>
      <c r="CV70" s="1271"/>
      <c r="CW70" s="1271"/>
      <c r="CX70" s="1271"/>
      <c r="CY70" s="1271"/>
      <c r="CZ70" s="1271"/>
      <c r="DA70" s="1271"/>
      <c r="DB70" s="1273"/>
      <c r="DC70" s="1270"/>
      <c r="DD70" s="1270"/>
      <c r="DE70" s="1270"/>
      <c r="DF70" s="1270"/>
      <c r="DG70" s="1270"/>
      <c r="DH70" s="951"/>
      <c r="DI70" s="951"/>
      <c r="DJ70" s="951"/>
      <c r="DK70" s="951"/>
      <c r="DL70" s="951"/>
      <c r="DM70" s="951"/>
      <c r="DN70" s="951"/>
      <c r="DO70" s="951"/>
      <c r="DP70" s="951"/>
      <c r="DQ70" s="951"/>
      <c r="DR70" s="951"/>
      <c r="DS70" s="951"/>
      <c r="DT70" s="951"/>
      <c r="DU70" s="951"/>
      <c r="DV70" s="951"/>
      <c r="DW70" s="951"/>
      <c r="DX70" s="951"/>
      <c r="DY70" s="951"/>
    </row>
    <row r="71" spans="1:129" ht="12.75" outlineLevel="2">
      <c r="A71" s="1167" t="s">
        <v>735</v>
      </c>
      <c r="B71" s="951"/>
      <c r="C71" s="1226">
        <f>C11-C21-C31-C51</f>
        <v>-2.0575000000000001</v>
      </c>
      <c r="D71" s="1241">
        <f t="shared" si="115"/>
        <v>-3.1490579610327996</v>
      </c>
      <c r="E71" s="1270"/>
      <c r="F71" s="951"/>
      <c r="G71" s="1226">
        <f>G11-G21-G31-G51</f>
        <v>0.29400000000000048</v>
      </c>
      <c r="H71" s="1242">
        <f t="shared" si="116"/>
        <v>0.41846364063367414</v>
      </c>
      <c r="I71" s="1270">
        <f>(G71/(C71)-1)*100</f>
        <v>-114.28918590522481</v>
      </c>
      <c r="J71" s="951"/>
      <c r="K71" s="1226">
        <f>K11-K21-K31-K51</f>
        <v>1.8089999999999984</v>
      </c>
      <c r="L71" s="1242">
        <f t="shared" si="117"/>
        <v>2.0996065413943965</v>
      </c>
      <c r="M71" s="1270">
        <f t="shared" si="118"/>
        <v>515.30612244897804</v>
      </c>
      <c r="N71" s="951"/>
      <c r="O71" s="1226">
        <f>O11-O21-O31-O51</f>
        <v>15.196999999999989</v>
      </c>
      <c r="P71" s="1242">
        <f t="shared" si="119"/>
        <v>12.086915716887631</v>
      </c>
      <c r="Q71" s="1270">
        <f t="shared" si="120"/>
        <v>740.07739082365958</v>
      </c>
      <c r="R71" s="951"/>
      <c r="S71" s="1226">
        <f>S11-S21-S31-S51</f>
        <v>27.143000000000001</v>
      </c>
      <c r="T71" s="1242">
        <f t="shared" si="121"/>
        <v>15.199180208531656</v>
      </c>
      <c r="U71" s="1270">
        <f t="shared" si="122"/>
        <v>78.607619924985329</v>
      </c>
      <c r="V71" s="951"/>
      <c r="W71" s="1226">
        <f>W11-W21-W31-W51</f>
        <v>3.6220000000000052</v>
      </c>
      <c r="X71" s="1242">
        <f t="shared" si="123"/>
        <v>1.7332050895553124</v>
      </c>
      <c r="Y71" s="1270">
        <f>(W71/(S71)-1)*100</f>
        <v>-86.655859706001522</v>
      </c>
      <c r="Z71" s="1270"/>
      <c r="AA71" s="951"/>
      <c r="AB71" s="1226">
        <f>AB11-AB21-AB31-AB51</f>
        <v>22.853999999999999</v>
      </c>
      <c r="AC71" s="1242">
        <f t="shared" si="124"/>
        <v>7.8162193220060736</v>
      </c>
      <c r="AD71" s="1270">
        <f>(AB71/(W71)-1)*100</f>
        <v>530.97736057426744</v>
      </c>
      <c r="AE71" s="951"/>
      <c r="AF71" s="1226">
        <f>AF11-AF21-AF31-AF51</f>
        <v>16.089999999999996</v>
      </c>
      <c r="AG71" s="1242">
        <f t="shared" si="125"/>
        <v>5.0407268170426054</v>
      </c>
      <c r="AH71" s="1270">
        <f>(AF71/(AB71)-1)*100</f>
        <v>-29.596569528310155</v>
      </c>
      <c r="AI71" s="951"/>
      <c r="AJ71" s="1226">
        <f>AJ11-AJ21-AJ31-AJ51</f>
        <v>12.6</v>
      </c>
      <c r="AK71" s="1242">
        <f t="shared" si="126"/>
        <v>3.7382623014048146</v>
      </c>
      <c r="AL71" s="1270">
        <f t="shared" si="127"/>
        <v>-21.690490988191403</v>
      </c>
      <c r="AM71" s="951"/>
      <c r="AN71" s="1226">
        <f>AN11-AN21-AN31-AN51</f>
        <v>51.016999999999996</v>
      </c>
      <c r="AO71" s="1242">
        <f t="shared" si="128"/>
        <v>12.90256498449679</v>
      </c>
      <c r="AP71" s="1270">
        <f>(AN71/AJ71-1)*100</f>
        <v>304.89682539682536</v>
      </c>
      <c r="AQ71" s="951"/>
      <c r="AR71" s="1226">
        <f>AR11-AR21-AR31-AR51</f>
        <v>85.625000000000071</v>
      </c>
      <c r="AS71" s="1242">
        <f t="shared" si="130"/>
        <v>16.598238309024801</v>
      </c>
      <c r="AT71" s="1270">
        <f t="shared" ref="AT71:AT76" si="152">(AR71/AN71-1)*100</f>
        <v>67.836211458925604</v>
      </c>
      <c r="AU71" s="1232"/>
      <c r="AV71" s="1166">
        <f>AV11-AV21-AV31-AV51</f>
        <v>109.25200000000004</v>
      </c>
      <c r="AW71" s="1243">
        <f t="shared" si="131"/>
        <v>18.138350328559621</v>
      </c>
      <c r="AX71" s="1271">
        <f t="shared" ref="AX71:AX76" si="153">(AV71/AR71-1)*100</f>
        <v>27.593576642335705</v>
      </c>
      <c r="AY71" s="1232"/>
      <c r="AZ71" s="1166">
        <f>AZ11-AZ21-AZ31-AZ51</f>
        <v>122.68599999999995</v>
      </c>
      <c r="BA71" s="1243">
        <f t="shared" si="132"/>
        <v>17.44708748288155</v>
      </c>
      <c r="BB71" s="1271">
        <f t="shared" ref="BB71:BB76" si="154">(AZ71/AV71-1)*100</f>
        <v>12.29634240105435</v>
      </c>
      <c r="BC71" s="1232"/>
      <c r="BD71" s="1166">
        <f>BD11-BD21-BD31-BD51</f>
        <v>89.427000000000078</v>
      </c>
      <c r="BE71" s="1243">
        <f t="shared" si="133"/>
        <v>12.982731212299395</v>
      </c>
      <c r="BF71" s="1271">
        <f t="shared" ref="BF71:BF76" si="155">(BD71/AZ71-1)*100</f>
        <v>-27.109042596547194</v>
      </c>
      <c r="BG71" s="1271"/>
      <c r="BH71" s="1166">
        <f>BH11-BH21-BH31-BH51+BH61</f>
        <v>59.609000000000016</v>
      </c>
      <c r="BI71" s="1243">
        <f t="shared" si="134"/>
        <v>9.2160148918209419</v>
      </c>
      <c r="BJ71" s="1271">
        <f t="shared" ref="BJ71:BJ76" si="156">(BH71/BD71-1)*100</f>
        <v>-33.343397407941708</v>
      </c>
      <c r="BK71" s="1271"/>
      <c r="BL71" s="1166">
        <f>BL11-BL21-BL31-BL51</f>
        <v>41.618000000000016</v>
      </c>
      <c r="BM71" s="1243">
        <f t="shared" si="135"/>
        <v>6.4151949699494892</v>
      </c>
      <c r="BN71" s="1271">
        <f t="shared" ref="BN71:BN76" si="157">(BL71/BH71-1)*100</f>
        <v>-30.181683973896554</v>
      </c>
      <c r="BO71" s="1271"/>
      <c r="BP71" s="1166">
        <v>38.067999999999998</v>
      </c>
      <c r="BQ71" s="1243">
        <f t="shared" si="136"/>
        <v>5.6892635102821618</v>
      </c>
      <c r="BR71" s="1271">
        <f t="shared" si="137"/>
        <v>-8.5299629967802826</v>
      </c>
      <c r="BS71" s="1271"/>
      <c r="BT71" s="1166">
        <f>BT11-BT21-BT31-BT51</f>
        <v>66.872999999999962</v>
      </c>
      <c r="BU71" s="1243">
        <f>BT71/BT11*100</f>
        <v>9.0408014276443822</v>
      </c>
      <c r="BV71" s="1271">
        <f>(BT71/BP71-1)*100</f>
        <v>75.667227067353068</v>
      </c>
      <c r="BW71" s="1271"/>
      <c r="BX71" s="1166">
        <f>BX11-BX21-BX31-BX51</f>
        <v>29.42499999999999</v>
      </c>
      <c r="BY71" s="1243">
        <f t="shared" si="140"/>
        <v>4.0457134686166736</v>
      </c>
      <c r="BZ71" s="1271">
        <f t="shared" si="141"/>
        <v>-55.998684072794688</v>
      </c>
      <c r="CA71" s="1271"/>
      <c r="CB71" s="1166">
        <f>CB11-CB21-CB31-CB51</f>
        <v>12.047000000000025</v>
      </c>
      <c r="CC71" s="1243">
        <f t="shared" si="142"/>
        <v>1.695339820854358</v>
      </c>
      <c r="CD71" s="1271">
        <f t="shared" si="143"/>
        <v>-59.058623619371176</v>
      </c>
      <c r="CE71" s="1271"/>
      <c r="CF71" s="1166">
        <f>CF11-CF21-CF31-CF51</f>
        <v>53.138999999999989</v>
      </c>
      <c r="CG71" s="1243">
        <f t="shared" si="144"/>
        <v>6.6637991141519972</v>
      </c>
      <c r="CH71" s="1271">
        <f t="shared" si="145"/>
        <v>341.09736863949428</v>
      </c>
      <c r="CI71" s="1271"/>
      <c r="CJ71" s="1166">
        <f>CJ11-CJ21-CJ31-CJ51</f>
        <v>68.65900000000002</v>
      </c>
      <c r="CK71" s="1243">
        <f t="shared" si="146"/>
        <v>8.3466448819223107</v>
      </c>
      <c r="CL71" s="1271">
        <f t="shared" si="147"/>
        <v>29.206420896140383</v>
      </c>
      <c r="CM71" s="1271"/>
      <c r="CN71" s="1166">
        <f>CN11-CN21-CN31-CN51</f>
        <v>50.328999999999937</v>
      </c>
      <c r="CO71" s="1243">
        <f t="shared" si="148"/>
        <v>5.9592188567497439</v>
      </c>
      <c r="CP71" s="1271">
        <f t="shared" si="149"/>
        <v>-26.697155507653882</v>
      </c>
      <c r="CQ71" s="1271"/>
      <c r="CR71" s="1166">
        <f>CR11-CR21-CR31-CR51</f>
        <v>72.001949486360246</v>
      </c>
      <c r="CS71" s="1243">
        <f t="shared" si="150"/>
        <v>7.8999999999999977</v>
      </c>
      <c r="CT71" s="1271">
        <f t="shared" si="151"/>
        <v>43.06254741075788</v>
      </c>
      <c r="CU71" s="1316"/>
      <c r="CV71" s="1271"/>
      <c r="CW71" s="1271"/>
      <c r="CX71" s="1271"/>
      <c r="CY71" s="1271"/>
      <c r="CZ71" s="1271"/>
      <c r="DA71" s="1271"/>
      <c r="DB71" s="1273"/>
      <c r="DC71" s="1270"/>
      <c r="DD71" s="1270"/>
      <c r="DE71" s="1270"/>
      <c r="DF71" s="1270"/>
      <c r="DG71" s="1270"/>
      <c r="DH71" s="951"/>
      <c r="DI71" s="951"/>
      <c r="DJ71" s="951"/>
      <c r="DK71" s="951"/>
      <c r="DL71" s="951"/>
      <c r="DM71" s="951"/>
      <c r="DN71" s="951"/>
      <c r="DO71" s="951"/>
      <c r="DP71" s="951"/>
      <c r="DQ71" s="951"/>
      <c r="DR71" s="951"/>
      <c r="DS71" s="951"/>
      <c r="DT71" s="951"/>
      <c r="DU71" s="951"/>
      <c r="DV71" s="951"/>
      <c r="DW71" s="951"/>
      <c r="DX71" s="951"/>
      <c r="DY71" s="951"/>
    </row>
    <row r="72" spans="1:129" ht="12.75" outlineLevel="2">
      <c r="A72" s="1167" t="s">
        <v>736</v>
      </c>
      <c r="B72" s="951"/>
      <c r="C72" s="1247">
        <f>C12-C22-C32-C52</f>
        <v>1.0554999999999994</v>
      </c>
      <c r="D72" s="1241">
        <f t="shared" si="115"/>
        <v>1.2289689701344815</v>
      </c>
      <c r="E72" s="1270"/>
      <c r="F72" s="951"/>
      <c r="G72" s="1247">
        <f>G12-G22-G32-G52</f>
        <v>3.3240000000000034</v>
      </c>
      <c r="H72" s="1242">
        <f t="shared" si="116"/>
        <v>4.2158131040255729</v>
      </c>
      <c r="I72" s="1270">
        <f>(G72/(C72)-1)*100</f>
        <v>214.92183799147372</v>
      </c>
      <c r="J72" s="951"/>
      <c r="K72" s="1247">
        <f>K12-K22-K32-K52</f>
        <v>10.069000000000011</v>
      </c>
      <c r="L72" s="1242">
        <f t="shared" si="117"/>
        <v>9.5984823930907055</v>
      </c>
      <c r="M72" s="1270">
        <f t="shared" si="118"/>
        <v>202.9181708784597</v>
      </c>
      <c r="N72" s="951"/>
      <c r="O72" s="1247">
        <f>O12-O22-O32-O52</f>
        <v>22.092000000000017</v>
      </c>
      <c r="P72" s="1242">
        <f t="shared" si="119"/>
        <v>14.820082110177916</v>
      </c>
      <c r="Q72" s="1270">
        <f t="shared" si="120"/>
        <v>119.40609792432211</v>
      </c>
      <c r="R72" s="951"/>
      <c r="S72" s="1247">
        <f>S12-S22-S32-S52</f>
        <v>38.943000000000012</v>
      </c>
      <c r="T72" s="1242">
        <f t="shared" si="121"/>
        <v>17.487303148280372</v>
      </c>
      <c r="U72" s="1270">
        <f t="shared" si="122"/>
        <v>76.276480173818499</v>
      </c>
      <c r="V72" s="951"/>
      <c r="W72" s="1247">
        <f>W12-W22-W32-W52</f>
        <v>46.725999999999999</v>
      </c>
      <c r="X72" s="1242">
        <f t="shared" si="123"/>
        <v>16.524559089285525</v>
      </c>
      <c r="Y72" s="1270">
        <f>(W72/(S72)-1)*100</f>
        <v>19.985620008730677</v>
      </c>
      <c r="Z72" s="1270"/>
      <c r="AA72" s="951"/>
      <c r="AB72" s="1247">
        <f>AB12-AB22-AB32-AB52</f>
        <v>49.525999999999989</v>
      </c>
      <c r="AC72" s="1242">
        <f t="shared" si="124"/>
        <v>13.618802229561208</v>
      </c>
      <c r="AD72" s="1270">
        <f>(AB72/(W72)-1)*100</f>
        <v>5.9923811154389162</v>
      </c>
      <c r="AE72" s="951"/>
      <c r="AF72" s="1247">
        <f>AF12-AF22-AF32-AF52</f>
        <v>43.516000000000041</v>
      </c>
      <c r="AG72" s="1242">
        <f t="shared" si="125"/>
        <v>11.619945846929467</v>
      </c>
      <c r="AH72" s="1270">
        <f>(AF72/(AB72)-1)*100</f>
        <v>-12.135040180914968</v>
      </c>
      <c r="AI72" s="951"/>
      <c r="AJ72" s="1247">
        <f>AJ12-AJ22-AJ32-AJ52-AJ62</f>
        <v>21.164000000000009</v>
      </c>
      <c r="AK72" s="1242">
        <f t="shared" si="126"/>
        <v>5.6618512573568776</v>
      </c>
      <c r="AL72" s="1270">
        <f t="shared" si="127"/>
        <v>-51.365015166835214</v>
      </c>
      <c r="AM72" s="951"/>
      <c r="AN72" s="1247">
        <f>AN12-AN22-AN32-AN52</f>
        <v>96.870999999999981</v>
      </c>
      <c r="AO72" s="1242">
        <f t="shared" si="128"/>
        <v>20.198921984632541</v>
      </c>
      <c r="AP72" s="1270">
        <f>(AN72/AJ72-1)*100</f>
        <v>357.71593271593247</v>
      </c>
      <c r="AQ72" s="951"/>
      <c r="AR72" s="1247">
        <f>AR12-AR22-AR32-AR52</f>
        <v>112.83800000000004</v>
      </c>
      <c r="AS72" s="1242">
        <f t="shared" si="130"/>
        <v>19.436496958902559</v>
      </c>
      <c r="AT72" s="1270">
        <f t="shared" si="152"/>
        <v>16.482745093991035</v>
      </c>
      <c r="AU72" s="951"/>
      <c r="AV72" s="1166">
        <f>AV12-AV22-AV32-AV52</f>
        <v>152.50099999999995</v>
      </c>
      <c r="AW72" s="1243">
        <f t="shared" si="131"/>
        <v>21.901937411136156</v>
      </c>
      <c r="AX72" s="1271">
        <f t="shared" si="153"/>
        <v>35.150392598238092</v>
      </c>
      <c r="AY72" s="951"/>
      <c r="AZ72" s="1166">
        <f>AZ12-AZ22-AZ32-AZ52</f>
        <v>150.88899999999998</v>
      </c>
      <c r="BA72" s="1243">
        <f t="shared" si="132"/>
        <v>20.268710969140685</v>
      </c>
      <c r="BB72" s="1271">
        <f t="shared" si="154"/>
        <v>-1.0570422489032616</v>
      </c>
      <c r="BC72" s="951"/>
      <c r="BD72" s="1166">
        <f>BD12-BD22-BD32-BD52</f>
        <v>94.880999999999915</v>
      </c>
      <c r="BE72" s="1243">
        <f t="shared" si="133"/>
        <v>12.583086218695119</v>
      </c>
      <c r="BF72" s="1271">
        <f t="shared" si="155"/>
        <v>-37.118676643095306</v>
      </c>
      <c r="BG72" s="1271"/>
      <c r="BH72" s="1166">
        <f>BH12-BH22-BH32-BH52+BH62</f>
        <v>84.573999999999941</v>
      </c>
      <c r="BI72" s="1243">
        <f t="shared" si="134"/>
        <v>11.490860870285898</v>
      </c>
      <c r="BJ72" s="1271">
        <f t="shared" si="156"/>
        <v>-10.863081122669428</v>
      </c>
      <c r="BK72" s="1271"/>
      <c r="BL72" s="1166">
        <f>BL12-BL22-BL32-BL52</f>
        <v>98.344999999999942</v>
      </c>
      <c r="BM72" s="1243">
        <f t="shared" si="135"/>
        <v>13.203347255618247</v>
      </c>
      <c r="BN72" s="1271">
        <f t="shared" si="157"/>
        <v>16.282781942440948</v>
      </c>
      <c r="BO72" s="1271"/>
      <c r="BP72" s="1166">
        <f>BP12-BP22-BP32-BP52</f>
        <v>92.152999999999935</v>
      </c>
      <c r="BQ72" s="1243">
        <f t="shared" si="136"/>
        <v>11.246139032656057</v>
      </c>
      <c r="BR72" s="1271">
        <f t="shared" si="137"/>
        <v>-6.2962021455081674</v>
      </c>
      <c r="BS72" s="1271"/>
      <c r="BT72" s="1166">
        <f>BT12-BT22-BT32-BT52</f>
        <v>128.54100000000005</v>
      </c>
      <c r="BU72" s="1243">
        <f t="shared" si="138"/>
        <v>14.119581622498012</v>
      </c>
      <c r="BV72" s="1271">
        <f t="shared" si="139"/>
        <v>39.486506136533976</v>
      </c>
      <c r="BW72" s="1271"/>
      <c r="BX72" s="1166">
        <f>BX12-BX22-BX32-BX52</f>
        <v>61.152000000000001</v>
      </c>
      <c r="BY72" s="1243">
        <f t="shared" si="140"/>
        <v>7.1330506645826173</v>
      </c>
      <c r="BZ72" s="1271">
        <f t="shared" si="141"/>
        <v>-52.426074170887127</v>
      </c>
      <c r="CA72" s="1271"/>
      <c r="CB72" s="1166">
        <f>CB12-CB22-CB32-CB52</f>
        <v>74.302999999999997</v>
      </c>
      <c r="CC72" s="1243">
        <f t="shared" si="142"/>
        <v>8.6976319516791722</v>
      </c>
      <c r="CD72" s="1271">
        <f t="shared" si="143"/>
        <v>21.505429094714799</v>
      </c>
      <c r="CE72" s="1271"/>
      <c r="CF72" s="1166">
        <f>CF12-CF22-CF32-CF52</f>
        <v>109.11100000000005</v>
      </c>
      <c r="CG72" s="1243">
        <f t="shared" si="144"/>
        <v>11.871866404373112</v>
      </c>
      <c r="CH72" s="1271">
        <f t="shared" si="145"/>
        <v>46.846022367872166</v>
      </c>
      <c r="CI72" s="1271"/>
      <c r="CJ72" s="1166">
        <f>CJ12-CJ22-CJ32-CJ52</f>
        <v>118.26800000000003</v>
      </c>
      <c r="CK72" s="1243">
        <f t="shared" si="146"/>
        <v>12.573556068462031</v>
      </c>
      <c r="CL72" s="1271">
        <f t="shared" si="147"/>
        <v>8.3923710716609534</v>
      </c>
      <c r="CM72" s="1271"/>
      <c r="CN72" s="1166">
        <f>CN12-CN22-CN32-CN52</f>
        <v>114.61800000000002</v>
      </c>
      <c r="CO72" s="1243">
        <f t="shared" si="148"/>
        <v>11.933992272235546</v>
      </c>
      <c r="CP72" s="1271">
        <f t="shared" si="149"/>
        <v>-3.0862109784557168</v>
      </c>
      <c r="CQ72" s="1271"/>
      <c r="CR72" s="1166">
        <f>CR12-CR22-CR32-CR52</f>
        <v>99.398673830245173</v>
      </c>
      <c r="CS72" s="1243">
        <f t="shared" si="150"/>
        <v>10.350000000000001</v>
      </c>
      <c r="CT72" s="1271">
        <f t="shared" si="151"/>
        <v>-13.278303730439244</v>
      </c>
      <c r="CU72" s="1316"/>
      <c r="CV72" s="1271"/>
      <c r="CW72" s="1271"/>
      <c r="CX72" s="1271"/>
      <c r="CY72" s="1271"/>
      <c r="CZ72" s="1271"/>
      <c r="DA72" s="1271"/>
      <c r="DB72" s="1270"/>
      <c r="DC72" s="1270"/>
      <c r="DD72" s="1270"/>
      <c r="DE72" s="1270"/>
      <c r="DF72" s="1270"/>
      <c r="DG72" s="1270"/>
      <c r="DH72" s="1232">
        <f>+AC72-X72</f>
        <v>-2.9057568597243169</v>
      </c>
      <c r="DI72" s="951"/>
      <c r="DJ72" s="951"/>
      <c r="DK72" s="951"/>
      <c r="DL72" s="951"/>
      <c r="DM72" s="951"/>
      <c r="DN72" s="951"/>
      <c r="DO72" s="951"/>
      <c r="DP72" s="951"/>
      <c r="DQ72" s="951"/>
      <c r="DR72" s="951"/>
      <c r="DS72" s="951"/>
      <c r="DT72" s="951"/>
      <c r="DU72" s="951"/>
      <c r="DV72" s="951"/>
      <c r="DW72" s="951"/>
      <c r="DX72" s="951"/>
      <c r="DY72" s="951"/>
    </row>
    <row r="73" spans="1:129" ht="12.75" outlineLevel="2">
      <c r="A73" s="1167" t="s">
        <v>737</v>
      </c>
      <c r="B73" s="951"/>
      <c r="C73" s="1248">
        <f>C13-C23-C33-C53</f>
        <v>14.474499999999999</v>
      </c>
      <c r="D73" s="1241">
        <f t="shared" si="115"/>
        <v>10.288661112848652</v>
      </c>
      <c r="E73" s="1270"/>
      <c r="F73" s="951"/>
      <c r="G73" s="1248">
        <f>G13-G23-G33-G53</f>
        <v>10.484000000000002</v>
      </c>
      <c r="H73" s="1242">
        <f t="shared" si="116"/>
        <v>8.530165575037632</v>
      </c>
      <c r="I73" s="1270">
        <f>(G73/(C73)-1)*100</f>
        <v>-27.569173373864363</v>
      </c>
      <c r="J73" s="951"/>
      <c r="K73" s="1248">
        <f>K13-K23-K33-K53</f>
        <v>25.568000000000005</v>
      </c>
      <c r="L73" s="1242">
        <f t="shared" si="117"/>
        <v>16.635003253090442</v>
      </c>
      <c r="M73" s="1270">
        <f t="shared" si="118"/>
        <v>143.8763830599008</v>
      </c>
      <c r="N73" s="951"/>
      <c r="O73" s="1248">
        <f>O13-O23-O33-O53</f>
        <v>40.744999999999997</v>
      </c>
      <c r="P73" s="1242">
        <f t="shared" si="119"/>
        <v>19.119503348083356</v>
      </c>
      <c r="Q73" s="1270">
        <f t="shared" si="120"/>
        <v>59.359355444305351</v>
      </c>
      <c r="R73" s="951"/>
      <c r="S73" s="1248">
        <f>S13-S23-S33-S53</f>
        <v>63.993000000000002</v>
      </c>
      <c r="T73" s="1242">
        <f t="shared" si="121"/>
        <v>22.420250503634932</v>
      </c>
      <c r="U73" s="1269">
        <f t="shared" si="122"/>
        <v>57.05730764510983</v>
      </c>
      <c r="V73" s="951"/>
      <c r="W73" s="1248">
        <f>W13-W23-W33-W53</f>
        <v>77.144999999999968</v>
      </c>
      <c r="X73" s="1242">
        <f t="shared" si="123"/>
        <v>18.205997158594773</v>
      </c>
      <c r="Y73" s="1270">
        <f>(W73/(S73)-1)*100</f>
        <v>20.552247902114228</v>
      </c>
      <c r="Z73" s="1270"/>
      <c r="AA73" s="951"/>
      <c r="AB73" s="1248">
        <f>AB13-AB23-AB33-AB53</f>
        <v>69.936000000000035</v>
      </c>
      <c r="AC73" s="1242">
        <f t="shared" si="124"/>
        <v>15.062674994615557</v>
      </c>
      <c r="AD73" s="1270">
        <f>(AB73/(W73)-1)*100</f>
        <v>-9.3447404238770293</v>
      </c>
      <c r="AE73" s="951"/>
      <c r="AF73" s="1248">
        <f>AF13-AF23-AF33-AF53</f>
        <v>61.556999999999945</v>
      </c>
      <c r="AG73" s="1242">
        <f t="shared" si="125"/>
        <v>12.522937459566997</v>
      </c>
      <c r="AH73" s="1270">
        <f>(AF73/(AB73)-1)*100</f>
        <v>-11.980954015099643</v>
      </c>
      <c r="AI73" s="951"/>
      <c r="AJ73" s="1248">
        <f>AJ13-AJ23-AJ33-AJ53-AJ63</f>
        <v>69.293999999999983</v>
      </c>
      <c r="AK73" s="1242">
        <f t="shared" si="126"/>
        <v>14.124913367850297</v>
      </c>
      <c r="AL73" s="1270">
        <f t="shared" si="127"/>
        <v>12.568838637360557</v>
      </c>
      <c r="AM73" s="951"/>
      <c r="AN73" s="1248">
        <f>AN13-AN23-AN33-AN53</f>
        <v>171.68700000000001</v>
      </c>
      <c r="AO73" s="1242">
        <f t="shared" si="128"/>
        <v>25.47194165192931</v>
      </c>
      <c r="AP73" s="1270">
        <f t="shared" si="129"/>
        <v>147.76604034981392</v>
      </c>
      <c r="AQ73" s="951"/>
      <c r="AR73" s="1248">
        <f>AR13-AR23-AR33-AR53</f>
        <v>173.25600000000006</v>
      </c>
      <c r="AS73" s="1242">
        <f t="shared" si="130"/>
        <v>22.527988349565064</v>
      </c>
      <c r="AT73" s="1270">
        <f t="shared" si="152"/>
        <v>0.9138723374513269</v>
      </c>
      <c r="AU73" s="951"/>
      <c r="AV73" s="1218">
        <f>AV13-AV23-AV33-AV53</f>
        <v>226.77</v>
      </c>
      <c r="AW73" s="1243">
        <f t="shared" si="131"/>
        <v>23.297529703656902</v>
      </c>
      <c r="AX73" s="1271">
        <f t="shared" si="153"/>
        <v>30.887242000277016</v>
      </c>
      <c r="AY73" s="951"/>
      <c r="AZ73" s="1218">
        <f>AZ13-AZ23-AZ33-AZ53</f>
        <v>209.19199999999995</v>
      </c>
      <c r="BA73" s="1243">
        <f t="shared" si="132"/>
        <v>21.015851902901439</v>
      </c>
      <c r="BB73" s="1271">
        <f t="shared" si="154"/>
        <v>-7.7514662433302739</v>
      </c>
      <c r="BC73" s="951"/>
      <c r="BD73" s="1218">
        <f>BD13-BD23-BD33-BD53</f>
        <v>60.052999999999926</v>
      </c>
      <c r="BE73" s="1243">
        <f t="shared" si="133"/>
        <v>6.630466825583814</v>
      </c>
      <c r="BF73" s="1271">
        <f t="shared" si="155"/>
        <v>-71.29287926880572</v>
      </c>
      <c r="BG73" s="1271"/>
      <c r="BH73" s="1218">
        <f>BH13-BH23-BH33-BH53+BH63</f>
        <v>127.38199999999991</v>
      </c>
      <c r="BI73" s="1243">
        <f t="shared" si="134"/>
        <v>13.327530051340203</v>
      </c>
      <c r="BJ73" s="1271">
        <f t="shared" si="156"/>
        <v>112.11596423159551</v>
      </c>
      <c r="BK73" s="1271"/>
      <c r="BL73" s="1218">
        <f>BL13-BL23-BL33-BL53</f>
        <v>142.98660000000001</v>
      </c>
      <c r="BM73" s="1243">
        <f t="shared" si="135"/>
        <v>15.772018919372064</v>
      </c>
      <c r="BN73" s="1271">
        <f t="shared" si="157"/>
        <v>12.250239437283227</v>
      </c>
      <c r="BO73" s="1271"/>
      <c r="BP73" s="1218">
        <f>BP13-BP23-BP33-BP53</f>
        <v>119.6970000000001</v>
      </c>
      <c r="BQ73" s="1243">
        <f t="shared" si="136"/>
        <v>11.638672866335691</v>
      </c>
      <c r="BR73" s="1271">
        <f t="shared" si="137"/>
        <v>-16.287959850783153</v>
      </c>
      <c r="BS73" s="1271"/>
      <c r="BT73" s="1218">
        <f>BT13-BT23-BT33-BT53</f>
        <v>177.40200000000016</v>
      </c>
      <c r="BU73" s="1243">
        <f t="shared" si="138"/>
        <v>15.881251829590909</v>
      </c>
      <c r="BV73" s="1271">
        <f t="shared" si="139"/>
        <v>48.209228301461195</v>
      </c>
      <c r="BW73" s="1271"/>
      <c r="BX73" s="1218">
        <f>BX13-BX23-BX33-BX53</f>
        <v>85.771000000000043</v>
      </c>
      <c r="BY73" s="1243">
        <f t="shared" si="140"/>
        <v>8.2336971912447581</v>
      </c>
      <c r="BZ73" s="1271">
        <f t="shared" si="141"/>
        <v>-51.651616103538878</v>
      </c>
      <c r="CA73" s="1271"/>
      <c r="CB73" s="1218">
        <f>CB13-CB23-CB33-CB53</f>
        <v>112.21000000000006</v>
      </c>
      <c r="CC73" s="1243">
        <f>CB73/CB13*100</f>
        <v>10.46878629812111</v>
      </c>
      <c r="CD73" s="1271">
        <f t="shared" si="143"/>
        <v>30.825104056149534</v>
      </c>
      <c r="CE73" s="1271"/>
      <c r="CF73" s="1218">
        <f>CF13-CF23-CF33-CF53</f>
        <v>115.63600000000001</v>
      </c>
      <c r="CG73" s="1243">
        <f t="shared" si="144"/>
        <v>10.456960757007421</v>
      </c>
      <c r="CH73" s="1271">
        <f t="shared" si="145"/>
        <v>3.0532038142767615</v>
      </c>
      <c r="CI73" s="1271"/>
      <c r="CJ73" s="1218">
        <f>CJ13-CJ23-CJ33-CJ53</f>
        <v>107.04000000000008</v>
      </c>
      <c r="CK73" s="1243">
        <f t="shared" si="146"/>
        <v>9.7553328970896285</v>
      </c>
      <c r="CL73" s="1271">
        <f t="shared" si="147"/>
        <v>-7.4336711750665252</v>
      </c>
      <c r="CM73" s="1271"/>
      <c r="CN73" s="1218">
        <f>CN13-CN23-CN33-CN53</f>
        <v>117.73399999999998</v>
      </c>
      <c r="CO73" s="1243">
        <f t="shared" si="148"/>
        <v>9.5818178710742767</v>
      </c>
      <c r="CP73" s="1271">
        <f t="shared" si="149"/>
        <v>9.9906576980566939</v>
      </c>
      <c r="CQ73" s="1271"/>
      <c r="CR73" s="1218">
        <f>CR13-CR23-CR33-CR53</f>
        <v>95.632301037342728</v>
      </c>
      <c r="CS73" s="1243">
        <f t="shared" si="150"/>
        <v>8.199999999999994</v>
      </c>
      <c r="CT73" s="1271">
        <f t="shared" si="151"/>
        <v>-18.772571188150621</v>
      </c>
      <c r="CU73" s="1317"/>
      <c r="CV73" s="1271"/>
      <c r="CW73" s="1315"/>
      <c r="CX73" s="1271"/>
      <c r="CY73" s="1271"/>
      <c r="CZ73" s="1271"/>
      <c r="DA73" s="1271"/>
      <c r="DB73" s="1270"/>
      <c r="DC73" s="1270"/>
      <c r="DD73" s="1270"/>
      <c r="DE73" s="1270"/>
      <c r="DF73" s="1270"/>
      <c r="DG73" s="1270"/>
      <c r="DH73" s="951"/>
      <c r="DI73" s="951"/>
      <c r="DJ73" s="951"/>
      <c r="DK73" s="951"/>
      <c r="DL73" s="951"/>
      <c r="DM73" s="951"/>
      <c r="DN73" s="951"/>
      <c r="DO73" s="951"/>
      <c r="DP73" s="951"/>
      <c r="DQ73" s="951"/>
      <c r="DR73" s="951"/>
      <c r="DS73" s="951"/>
      <c r="DT73" s="951"/>
      <c r="DU73" s="951"/>
      <c r="DV73" s="951"/>
      <c r="DW73" s="951"/>
      <c r="DX73" s="951"/>
      <c r="DY73" s="951"/>
    </row>
    <row r="74" spans="1:129" ht="12.75" outlineLevel="2">
      <c r="A74" s="1167" t="s">
        <v>762</v>
      </c>
      <c r="B74" s="951"/>
      <c r="C74" s="1222">
        <f>SUM(C70:C73)</f>
        <v>2.0079999999999991</v>
      </c>
      <c r="D74" s="1241">
        <f t="shared" si="115"/>
        <v>0.59002770897059531</v>
      </c>
      <c r="E74" s="1270"/>
      <c r="F74" s="951"/>
      <c r="G74" s="1222">
        <f>G14-G24-G34-G54</f>
        <v>8.8589999999999698</v>
      </c>
      <c r="H74" s="1242">
        <f t="shared" si="116"/>
        <v>2.7141211504760876</v>
      </c>
      <c r="I74" s="1270">
        <f>(G74/(C74)-1)*100</f>
        <v>341.18525896414218</v>
      </c>
      <c r="J74" s="951"/>
      <c r="K74" s="1222">
        <f>K14-K24-K34-K54</f>
        <v>31.11999999999999</v>
      </c>
      <c r="L74" s="1242">
        <f t="shared" si="117"/>
        <v>7.6704468429653465</v>
      </c>
      <c r="M74" s="1270">
        <f t="shared" si="118"/>
        <v>251.28118297776382</v>
      </c>
      <c r="N74" s="951"/>
      <c r="O74" s="1222">
        <f>O14-O24-O34-O54</f>
        <v>87.053000000000011</v>
      </c>
      <c r="P74" s="1242">
        <f t="shared" si="119"/>
        <v>14.815010211027912</v>
      </c>
      <c r="Q74" s="1270">
        <f t="shared" si="120"/>
        <v>179.73329048843198</v>
      </c>
      <c r="R74" s="951"/>
      <c r="S74" s="1222">
        <f>S14-S24-S34-S54</f>
        <v>149.51400000000004</v>
      </c>
      <c r="T74" s="1242">
        <f t="shared" si="121"/>
        <v>17.968186668974074</v>
      </c>
      <c r="U74" s="1269">
        <f t="shared" si="122"/>
        <v>71.750542772793608</v>
      </c>
      <c r="V74" s="951"/>
      <c r="W74" s="1222">
        <f>SUM(W70:W73)</f>
        <v>146.55099999999999</v>
      </c>
      <c r="X74" s="1242">
        <f t="shared" si="123"/>
        <v>13.402293783957047</v>
      </c>
      <c r="Y74" s="1270">
        <f>(W74/S74-1)*100</f>
        <v>-1.9817542169964342</v>
      </c>
      <c r="Z74" s="1270"/>
      <c r="AA74" s="951"/>
      <c r="AB74" s="1222">
        <f>SUM(AB70:AB73)</f>
        <v>166.47300000000004</v>
      </c>
      <c r="AC74" s="1242">
        <f t="shared" si="124"/>
        <v>12.134493865802076</v>
      </c>
      <c r="AD74" s="1270">
        <f>(AB74/W74-1)*100</f>
        <v>13.593902463988684</v>
      </c>
      <c r="AE74" s="951"/>
      <c r="AF74" s="1222">
        <f>SUM(AF70:AF73)</f>
        <v>141.08499999999998</v>
      </c>
      <c r="AG74" s="1242">
        <f t="shared" si="125"/>
        <v>9.6426113409438994</v>
      </c>
      <c r="AH74" s="1270">
        <f>(AF74/AB74-1)*100</f>
        <v>-15.250521105524651</v>
      </c>
      <c r="AI74" s="951"/>
      <c r="AJ74" s="1222">
        <f>SUM(AJ70:AJ73)</f>
        <v>112.774</v>
      </c>
      <c r="AK74" s="1242">
        <f t="shared" si="126"/>
        <v>7.5520343294986318</v>
      </c>
      <c r="AL74" s="1270">
        <f t="shared" si="127"/>
        <v>-20.066626501754246</v>
      </c>
      <c r="AM74" s="951"/>
      <c r="AN74" s="1222">
        <f>SUM(AN70:AN73)</f>
        <v>362.70600000000002</v>
      </c>
      <c r="AO74" s="1242">
        <f t="shared" si="128"/>
        <v>19.280145393386601</v>
      </c>
      <c r="AP74" s="1270">
        <f>(AN74/AJ74-1)*100</f>
        <v>221.6220050720911</v>
      </c>
      <c r="AQ74" s="951"/>
      <c r="AR74" s="1222">
        <f>SUM(AR70:AR73)</f>
        <v>458.6880000000001</v>
      </c>
      <c r="AS74" s="1242">
        <f t="shared" si="130"/>
        <v>19.754328451542278</v>
      </c>
      <c r="AT74" s="1270">
        <f t="shared" si="152"/>
        <v>26.462754958561497</v>
      </c>
      <c r="AU74" s="951"/>
      <c r="AV74" s="1201">
        <f>SUM(AV70:AV73)</f>
        <v>586.78899999999999</v>
      </c>
      <c r="AW74" s="1243">
        <f t="shared" si="131"/>
        <v>20.99867986397124</v>
      </c>
      <c r="AX74" s="1271">
        <f t="shared" si="153"/>
        <v>27.927698130319477</v>
      </c>
      <c r="AY74" s="951"/>
      <c r="AZ74" s="1201">
        <f>SUM(AZ70:AZ73)</f>
        <v>598.75499999999988</v>
      </c>
      <c r="BA74" s="1243">
        <f t="shared" si="132"/>
        <v>19.596493966948554</v>
      </c>
      <c r="BB74" s="1271">
        <f t="shared" si="154"/>
        <v>2.0392338643021368</v>
      </c>
      <c r="BC74" s="951"/>
      <c r="BD74" s="1201">
        <f>SUM(BD70:BD73)</f>
        <v>308.83999999999997</v>
      </c>
      <c r="BE74" s="1243">
        <f t="shared" si="133"/>
        <v>10.333015933133167</v>
      </c>
      <c r="BF74" s="1271">
        <f t="shared" si="155"/>
        <v>-48.419637414301334</v>
      </c>
      <c r="BG74" s="1271"/>
      <c r="BH74" s="1201">
        <f>SUM(BH70:BH73)</f>
        <v>310.39199999999983</v>
      </c>
      <c r="BI74" s="1243">
        <f t="shared" si="134"/>
        <v>10.556585128775628</v>
      </c>
      <c r="BJ74" s="1271">
        <f t="shared" si="156"/>
        <v>0.50252557958809785</v>
      </c>
      <c r="BK74" s="1271"/>
      <c r="BL74" s="1201">
        <f>SUM(BL70:BL73)</f>
        <v>339.55159999999995</v>
      </c>
      <c r="BM74" s="1243">
        <f t="shared" si="135"/>
        <v>11.528614800423998</v>
      </c>
      <c r="BN74" s="1271">
        <f t="shared" si="157"/>
        <v>9.3944431557514854</v>
      </c>
      <c r="BO74" s="1271"/>
      <c r="BP74" s="1201">
        <f>SUM(BP70:BP73)</f>
        <v>294.04900000000009</v>
      </c>
      <c r="BQ74" s="1243">
        <f t="shared" si="136"/>
        <v>9.424451093166331</v>
      </c>
      <c r="BR74" s="1271">
        <f t="shared" si="137"/>
        <v>-13.400790925443983</v>
      </c>
      <c r="BS74" s="1271"/>
      <c r="BT74" s="1201">
        <f>SUM(BT70:BT73)</f>
        <v>437.12400000000025</v>
      </c>
      <c r="BU74" s="1243">
        <f t="shared" si="138"/>
        <v>12.576205434026457</v>
      </c>
      <c r="BV74" s="1271">
        <f t="shared" si="139"/>
        <v>48.656856510309552</v>
      </c>
      <c r="BW74" s="1271"/>
      <c r="BX74" s="1201">
        <f>SUM(BX70:BX73)</f>
        <v>233.708</v>
      </c>
      <c r="BY74" s="1243">
        <f t="shared" si="140"/>
        <v>7.069630909534208</v>
      </c>
      <c r="BZ74" s="1271">
        <f t="shared" si="141"/>
        <v>-46.535079291002127</v>
      </c>
      <c r="CA74" s="1271"/>
      <c r="CB74" s="1201">
        <f>SUM(CB70:CB73)</f>
        <v>206.98500000000013</v>
      </c>
      <c r="CC74" s="1243">
        <f t="shared" si="142"/>
        <v>6.3050071781768846</v>
      </c>
      <c r="CD74" s="1271">
        <f t="shared" si="143"/>
        <v>-11.434353980180346</v>
      </c>
      <c r="CE74" s="1271"/>
      <c r="CF74" s="1201">
        <f>SUM(CF70:CF73)</f>
        <v>319.88000000000005</v>
      </c>
      <c r="CG74" s="1243">
        <f t="shared" si="144"/>
        <v>9.0827315659278902</v>
      </c>
      <c r="CH74" s="1271">
        <f t="shared" si="145"/>
        <v>54.542599705292581</v>
      </c>
      <c r="CI74" s="1271"/>
      <c r="CJ74" s="1201">
        <f>SUM(CJ70:CJ73)</f>
        <v>352.6430000000002</v>
      </c>
      <c r="CK74" s="1243">
        <f t="shared" si="146"/>
        <v>9.7688694729581353</v>
      </c>
      <c r="CL74" s="1271">
        <f t="shared" si="147"/>
        <v>10.24227835438294</v>
      </c>
      <c r="CM74" s="1271"/>
      <c r="CN74" s="1201">
        <f>SUM(CN70:CN73)</f>
        <v>325.07799999999992</v>
      </c>
      <c r="CO74" s="1243">
        <f t="shared" si="148"/>
        <v>8.5647161978412054</v>
      </c>
      <c r="CP74" s="1271">
        <f t="shared" si="149"/>
        <v>-7.8166871311780683</v>
      </c>
      <c r="CQ74" s="1271"/>
      <c r="CR74" s="1201">
        <f>SUM(CR70:CR73)</f>
        <v>319.97611836278901</v>
      </c>
      <c r="CS74" s="1243">
        <f t="shared" si="150"/>
        <v>8.3189951383376233</v>
      </c>
      <c r="CT74" s="1271">
        <f t="shared" si="151"/>
        <v>-1.5694330705894877</v>
      </c>
      <c r="CU74" s="1271"/>
      <c r="CV74" s="1271"/>
      <c r="CW74" s="1271"/>
      <c r="CX74" s="1271"/>
      <c r="CY74" s="1271"/>
      <c r="CZ74" s="1271"/>
      <c r="DA74" s="1271"/>
      <c r="DB74" s="1270"/>
      <c r="DC74" s="1318"/>
      <c r="DD74" s="1318"/>
      <c r="DE74" s="1270"/>
      <c r="DF74" s="1270"/>
      <c r="DG74" s="1270"/>
      <c r="DH74" s="951"/>
      <c r="DI74" s="951"/>
      <c r="DJ74" s="951"/>
      <c r="DK74" s="951"/>
      <c r="DL74" s="951"/>
      <c r="DM74" s="951"/>
      <c r="DN74" s="951"/>
      <c r="DO74" s="951"/>
      <c r="DP74" s="951"/>
      <c r="DQ74" s="951"/>
      <c r="DR74" s="951"/>
      <c r="DS74" s="951"/>
      <c r="DT74" s="951"/>
      <c r="DU74" s="951"/>
      <c r="DV74" s="951"/>
      <c r="DW74" s="951"/>
      <c r="DX74" s="951"/>
      <c r="DY74" s="951"/>
    </row>
    <row r="75" spans="1:129" ht="12.75" hidden="1" customHeight="1" outlineLevel="3">
      <c r="A75" s="1167" t="s">
        <v>769</v>
      </c>
      <c r="B75" s="951"/>
      <c r="C75" s="1226">
        <f>C70+C71</f>
        <v>-13.521999999999998</v>
      </c>
      <c r="D75" s="1241">
        <f t="shared" si="115"/>
        <v>-11.887054521159694</v>
      </c>
      <c r="E75" s="1270"/>
      <c r="F75" s="951"/>
      <c r="G75" s="1226">
        <f>G70+G71</f>
        <v>-4.9490000000000007</v>
      </c>
      <c r="H75" s="1242">
        <f t="shared" si="116"/>
        <v>-3.9702213344243629</v>
      </c>
      <c r="I75" s="1270">
        <f>(G75/C75-1)*100</f>
        <v>-63.400384558497258</v>
      </c>
      <c r="J75" s="951"/>
      <c r="K75" s="1226">
        <f>K70+K71</f>
        <v>-4.5170000000000021</v>
      </c>
      <c r="L75" s="1242">
        <f t="shared" si="117"/>
        <v>-3.0704705970321746</v>
      </c>
      <c r="M75" s="1270">
        <f t="shared" si="118"/>
        <v>-8.7290361689229883</v>
      </c>
      <c r="N75" s="951"/>
      <c r="O75" s="1226">
        <f>O70+O71</f>
        <v>24.215999999999994</v>
      </c>
      <c r="P75" s="1242">
        <f t="shared" si="119"/>
        <v>10.742375512920036</v>
      </c>
      <c r="Q75" s="1270">
        <f t="shared" si="120"/>
        <v>-636.10803630728321</v>
      </c>
      <c r="R75" s="951"/>
      <c r="S75" s="1226">
        <f>S70+S71</f>
        <v>46.578000000000003</v>
      </c>
      <c r="T75" s="1242">
        <f t="shared" si="121"/>
        <v>14.376547134752737</v>
      </c>
      <c r="U75" s="1270">
        <f t="shared" si="122"/>
        <v>92.34390485629342</v>
      </c>
      <c r="V75" s="951"/>
      <c r="W75" s="1226">
        <f>W70+W71</f>
        <v>22.68</v>
      </c>
      <c r="X75" s="1242">
        <f t="shared" si="123"/>
        <v>5.8608285785164966</v>
      </c>
      <c r="Y75" s="1270">
        <f>(W75/(S75)-1)*100</f>
        <v>-51.30748422001804</v>
      </c>
      <c r="Z75" s="1270"/>
      <c r="AA75" s="951"/>
      <c r="AB75" s="1226">
        <f>AB70+AB71</f>
        <v>47.01100000000001</v>
      </c>
      <c r="AC75" s="1242">
        <f t="shared" si="124"/>
        <v>8.6426811780711112</v>
      </c>
      <c r="AD75" s="1270">
        <f>(AB75/(W75)-1)*100</f>
        <v>107.27954144620817</v>
      </c>
      <c r="AE75" s="951"/>
      <c r="AF75" s="1226">
        <f>AF70+AF71</f>
        <v>36.011999999999979</v>
      </c>
      <c r="AG75" s="1242">
        <f t="shared" si="125"/>
        <v>6.0312212670388003</v>
      </c>
      <c r="AH75" s="1270">
        <f>(AF75/(AB75)-1)*100</f>
        <v>-23.396651847440019</v>
      </c>
      <c r="AI75" s="951"/>
      <c r="AJ75" s="1226">
        <f>AJ70+AJ71</f>
        <v>22.316000000000003</v>
      </c>
      <c r="AK75" s="1242">
        <f t="shared" si="126"/>
        <v>3.5483445246003824</v>
      </c>
      <c r="AL75" s="1270">
        <f t="shared" si="127"/>
        <v>-38.031767188714824</v>
      </c>
      <c r="AM75" s="951"/>
      <c r="AN75" s="1226">
        <f>AN70+AN71</f>
        <v>94.148000000000025</v>
      </c>
      <c r="AO75" s="1242">
        <f t="shared" si="128"/>
        <v>12.938958154671596</v>
      </c>
      <c r="AP75" s="1270">
        <f t="shared" si="129"/>
        <v>321.88564258827751</v>
      </c>
      <c r="AQ75" s="951"/>
      <c r="AR75" s="1226">
        <f>AR70+AR71</f>
        <v>172.59400000000005</v>
      </c>
      <c r="AS75" s="1242">
        <f t="shared" si="130"/>
        <v>17.750284106978494</v>
      </c>
      <c r="AT75" s="1270">
        <f t="shared" si="152"/>
        <v>83.322003653821653</v>
      </c>
      <c r="AU75" s="951"/>
      <c r="AV75" s="1166">
        <f>AV70+AV71</f>
        <v>207.518</v>
      </c>
      <c r="AW75" s="1243">
        <f t="shared" si="131"/>
        <v>18.450078861688869</v>
      </c>
      <c r="AX75" s="1271">
        <f t="shared" si="153"/>
        <v>20.234770617750296</v>
      </c>
      <c r="AY75" s="951"/>
      <c r="AZ75" s="1166">
        <f>AZ70+AZ71</f>
        <v>238.67399999999989</v>
      </c>
      <c r="BA75" s="1243">
        <f t="shared" si="132"/>
        <v>18.142181175531604</v>
      </c>
      <c r="BB75" s="1271">
        <f t="shared" si="154"/>
        <v>15.01363737121595</v>
      </c>
      <c r="BC75" s="951"/>
      <c r="BD75" s="1166">
        <f>BD70+BD71</f>
        <v>153.90600000000012</v>
      </c>
      <c r="BE75" s="1243">
        <f t="shared" si="133"/>
        <v>11.579567487286679</v>
      </c>
      <c r="BF75" s="1271">
        <f t="shared" si="155"/>
        <v>-35.516227155031466</v>
      </c>
      <c r="BG75" s="1271"/>
      <c r="BH75" s="1166">
        <f>BH70+BH71</f>
        <v>98.436000000000007</v>
      </c>
      <c r="BI75" s="1243">
        <f t="shared" si="134"/>
        <v>7.8844864583007945</v>
      </c>
      <c r="BJ75" s="1271">
        <f t="shared" si="156"/>
        <v>-36.041479864332814</v>
      </c>
      <c r="BK75" s="1271"/>
      <c r="BL75" s="1166">
        <f>BL70+BL71</f>
        <v>98.22</v>
      </c>
      <c r="BM75" s="1243">
        <f t="shared" si="135"/>
        <v>7.5912327522044496</v>
      </c>
      <c r="BN75" s="1271">
        <f t="shared" si="157"/>
        <v>-0.21943191515300109</v>
      </c>
      <c r="BO75" s="1271"/>
      <c r="BP75" s="1166">
        <f>BP70+BP71</f>
        <v>82.199000000000069</v>
      </c>
      <c r="BQ75" s="1243">
        <f t="shared" si="136"/>
        <v>6.461149312531643</v>
      </c>
      <c r="BR75" s="1271">
        <f t="shared" si="137"/>
        <v>-16.311341885562946</v>
      </c>
      <c r="BS75" s="1271"/>
      <c r="BT75" s="1166">
        <f>BT70+BT71</f>
        <v>131.18100000000004</v>
      </c>
      <c r="BU75" s="1243">
        <f t="shared" si="138"/>
        <v>9.0571157331492227</v>
      </c>
      <c r="BV75" s="1271">
        <f t="shared" si="139"/>
        <v>59.589532719376059</v>
      </c>
      <c r="BW75" s="1271"/>
      <c r="BX75" s="1166">
        <f>BX70+BX71</f>
        <v>86.784999999999968</v>
      </c>
      <c r="BY75" s="1243">
        <f t="shared" si="140"/>
        <v>6.1690088783684827</v>
      </c>
      <c r="BZ75" s="1271">
        <f t="shared" si="141"/>
        <v>-33.843315724075943</v>
      </c>
      <c r="CA75" s="1271"/>
      <c r="CB75" s="1166">
        <f>CB70+CB71</f>
        <v>20.472000000000058</v>
      </c>
      <c r="CC75" s="1243">
        <f t="shared" si="142"/>
        <v>1.508928860991628</v>
      </c>
      <c r="CD75" s="1271">
        <f t="shared" si="143"/>
        <v>-76.410670046666979</v>
      </c>
      <c r="CE75" s="1271"/>
      <c r="CF75" s="1166">
        <f>CF70+CF71</f>
        <v>95.132999999999967</v>
      </c>
      <c r="CG75" s="1243">
        <f t="shared" si="144"/>
        <v>6.3551305723378482</v>
      </c>
      <c r="CH75" s="1271">
        <f t="shared" si="145"/>
        <v>364.69812426729044</v>
      </c>
      <c r="CI75" s="1271"/>
      <c r="CJ75" s="1166">
        <f>CJ70+CJ71</f>
        <v>127.33500000000008</v>
      </c>
      <c r="CK75" s="1243">
        <f t="shared" si="146"/>
        <v>8.100139312090894</v>
      </c>
      <c r="CL75" s="1271">
        <f t="shared" si="147"/>
        <v>33.849452871243543</v>
      </c>
      <c r="CM75" s="1271"/>
      <c r="CN75" s="1166">
        <f>CN70+CN71</f>
        <v>92.725999999999928</v>
      </c>
      <c r="CO75" s="1243">
        <f t="shared" si="148"/>
        <v>5.7723110098213777</v>
      </c>
      <c r="CP75" s="1271">
        <f t="shared" si="149"/>
        <v>-27.179487179487282</v>
      </c>
      <c r="CQ75" s="1271"/>
      <c r="CR75" s="2091">
        <f>CR70+CR71</f>
        <v>124.94514349520111</v>
      </c>
      <c r="CS75" s="2092">
        <f t="shared" si="150"/>
        <v>7.2654770133878248</v>
      </c>
      <c r="CT75" s="2093">
        <f t="shared" si="151"/>
        <v>34.746612056166782</v>
      </c>
      <c r="CU75" s="1271"/>
      <c r="CV75" s="1271"/>
      <c r="CW75" s="1271"/>
      <c r="CX75" s="1271"/>
      <c r="CY75" s="1271"/>
      <c r="CZ75" s="1271"/>
      <c r="DA75" s="1271"/>
      <c r="DB75" s="1270"/>
      <c r="DC75" s="1270"/>
      <c r="DD75" s="1270"/>
      <c r="DE75" s="1270"/>
      <c r="DF75" s="1270"/>
      <c r="DG75" s="1270"/>
      <c r="DH75" s="951"/>
      <c r="DI75" s="951"/>
      <c r="DJ75" s="951"/>
      <c r="DK75" s="951"/>
      <c r="DL75" s="951"/>
      <c r="DM75" s="951"/>
      <c r="DN75" s="951"/>
      <c r="DO75" s="951"/>
      <c r="DP75" s="951"/>
      <c r="DQ75" s="951"/>
      <c r="DR75" s="951"/>
      <c r="DS75" s="951"/>
      <c r="DT75" s="951"/>
      <c r="DU75" s="951"/>
      <c r="DV75" s="951"/>
      <c r="DW75" s="951"/>
      <c r="DX75" s="951"/>
      <c r="DY75" s="951"/>
    </row>
    <row r="76" spans="1:129" ht="12.75" hidden="1" customHeight="1" outlineLevel="3">
      <c r="A76" s="1167" t="s">
        <v>770</v>
      </c>
      <c r="B76" s="951"/>
      <c r="C76" s="1226">
        <f>C70+C71+C72</f>
        <v>-12.4665</v>
      </c>
      <c r="D76" s="1241">
        <f t="shared" si="115"/>
        <v>-6.244521361056707</v>
      </c>
      <c r="E76" s="1270"/>
      <c r="F76" s="951"/>
      <c r="G76" s="1226">
        <f>G70+G71+G72</f>
        <v>-1.6249999999999973</v>
      </c>
      <c r="H76" s="1242">
        <f t="shared" si="116"/>
        <v>-0.79852972250477738</v>
      </c>
      <c r="I76" s="1270">
        <f>(G76/C76-1)*100</f>
        <v>-86.965066377892768</v>
      </c>
      <c r="J76" s="951"/>
      <c r="K76" s="1226">
        <f>K70+K71+K72</f>
        <v>5.5520000000000094</v>
      </c>
      <c r="L76" s="1242">
        <f t="shared" si="117"/>
        <v>2.2030609532047989</v>
      </c>
      <c r="M76" s="1270">
        <f>(K76/G76-1)*100</f>
        <v>-441.66153846153958</v>
      </c>
      <c r="N76" s="951"/>
      <c r="O76" s="1226">
        <f>O70+O71+O72</f>
        <v>46.308000000000007</v>
      </c>
      <c r="P76" s="1242">
        <f t="shared" si="119"/>
        <v>12.365518180580144</v>
      </c>
      <c r="Q76" s="1270">
        <f>(O76/K76-1)*100</f>
        <v>734.07780979826964</v>
      </c>
      <c r="R76" s="951"/>
      <c r="S76" s="1226">
        <f>S70+S71+S72</f>
        <v>85.521000000000015</v>
      </c>
      <c r="T76" s="1242">
        <f t="shared" si="121"/>
        <v>15.643732427987908</v>
      </c>
      <c r="U76" s="1270">
        <f>(S76/O76-1)*100</f>
        <v>84.678673231407103</v>
      </c>
      <c r="V76" s="951"/>
      <c r="W76" s="1226">
        <f>W70+W71+W72</f>
        <v>69.406000000000006</v>
      </c>
      <c r="X76" s="1242">
        <f t="shared" si="123"/>
        <v>10.363079569327342</v>
      </c>
      <c r="Y76" s="1270">
        <f>(W76/S76-1)*100</f>
        <v>-18.84332503127888</v>
      </c>
      <c r="Z76" s="1270"/>
      <c r="AA76" s="951"/>
      <c r="AB76" s="1226">
        <f>AB70+AB71+AB72</f>
        <v>96.537000000000006</v>
      </c>
      <c r="AC76" s="1242">
        <f t="shared" si="124"/>
        <v>10.636525602165714</v>
      </c>
      <c r="AD76" s="1270">
        <f>(AB76/W76-1)*100</f>
        <v>39.090280379217937</v>
      </c>
      <c r="AE76" s="951"/>
      <c r="AF76" s="1226">
        <f>AF70+AF71+AF72</f>
        <v>79.52800000000002</v>
      </c>
      <c r="AG76" s="1242">
        <f t="shared" si="125"/>
        <v>8.1853709446503533</v>
      </c>
      <c r="AH76" s="1270">
        <f>(AF76/AB76-1)*100</f>
        <v>-17.61915120627323</v>
      </c>
      <c r="AI76" s="951"/>
      <c r="AJ76" s="1226">
        <f>AJ70+AJ71+AJ72</f>
        <v>43.480000000000011</v>
      </c>
      <c r="AK76" s="1242">
        <f t="shared" si="126"/>
        <v>4.3362357922955033</v>
      </c>
      <c r="AL76" s="1270">
        <f t="shared" si="127"/>
        <v>-45.327431847902623</v>
      </c>
      <c r="AM76" s="951"/>
      <c r="AN76" s="1226">
        <f>AN70+AN71+AN72</f>
        <v>191.01900000000001</v>
      </c>
      <c r="AO76" s="1242">
        <f t="shared" si="128"/>
        <v>15.823087315702148</v>
      </c>
      <c r="AP76" s="1270">
        <f t="shared" si="129"/>
        <v>339.32612695492173</v>
      </c>
      <c r="AQ76" s="951"/>
      <c r="AR76" s="1226">
        <f>AR70+AR71+AR72</f>
        <v>285.43200000000007</v>
      </c>
      <c r="AS76" s="1242">
        <f t="shared" si="130"/>
        <v>18.380672963734764</v>
      </c>
      <c r="AT76" s="1270">
        <f t="shared" si="152"/>
        <v>49.425973332495765</v>
      </c>
      <c r="AU76" s="951"/>
      <c r="AV76" s="1166">
        <f>AV70+AV71+AV72</f>
        <v>360.01899999999995</v>
      </c>
      <c r="AW76" s="1243">
        <f t="shared" si="131"/>
        <v>19.769923186919151</v>
      </c>
      <c r="AX76" s="1271">
        <f t="shared" si="153"/>
        <v>26.131267692480108</v>
      </c>
      <c r="AY76" s="951"/>
      <c r="AZ76" s="1166">
        <f>AZ70+AZ71+AZ72</f>
        <v>389.56299999999987</v>
      </c>
      <c r="BA76" s="1243">
        <f t="shared" si="132"/>
        <v>18.910660003941707</v>
      </c>
      <c r="BB76" s="1271">
        <f t="shared" si="154"/>
        <v>8.206233559895427</v>
      </c>
      <c r="BC76" s="951"/>
      <c r="BD76" s="1166">
        <f>BD70+BD71+BD72</f>
        <v>248.78700000000003</v>
      </c>
      <c r="BE76" s="1243">
        <f t="shared" si="133"/>
        <v>11.942809769613657</v>
      </c>
      <c r="BF76" s="1271">
        <f t="shared" si="155"/>
        <v>-36.136902118527658</v>
      </c>
      <c r="BG76" s="1271"/>
      <c r="BH76" s="1166">
        <f>BH70+BH71+BH72</f>
        <v>183.00999999999993</v>
      </c>
      <c r="BI76" s="1243">
        <f t="shared" si="134"/>
        <v>9.2220260339190752</v>
      </c>
      <c r="BJ76" s="1271">
        <f t="shared" si="156"/>
        <v>-26.439082427940409</v>
      </c>
      <c r="BK76" s="1271"/>
      <c r="BL76" s="1166">
        <f>BL70+BL71+BL72</f>
        <v>196.56499999999994</v>
      </c>
      <c r="BM76" s="1243">
        <f t="shared" si="135"/>
        <v>9.6416361326525095</v>
      </c>
      <c r="BN76" s="1271">
        <f t="shared" si="157"/>
        <v>7.4066990874815719</v>
      </c>
      <c r="BO76" s="1271"/>
      <c r="BP76" s="1166">
        <f>BP70+BP71+BP72</f>
        <v>174.352</v>
      </c>
      <c r="BQ76" s="1243">
        <f t="shared" si="136"/>
        <v>8.3357278056322777</v>
      </c>
      <c r="BR76" s="1271">
        <f t="shared" si="137"/>
        <v>-11.300587591890698</v>
      </c>
      <c r="BS76" s="1271"/>
      <c r="BT76" s="1166">
        <f>BT70+BT71+BT72</f>
        <v>259.72200000000009</v>
      </c>
      <c r="BU76" s="1243">
        <f t="shared" si="138"/>
        <v>11.011006257978281</v>
      </c>
      <c r="BV76" s="1271">
        <f t="shared" si="139"/>
        <v>48.964164448930944</v>
      </c>
      <c r="BW76" s="1271"/>
      <c r="BX76" s="1166">
        <f>BX70+BX71+BX72</f>
        <v>147.93699999999995</v>
      </c>
      <c r="BY76" s="1243">
        <f t="shared" si="140"/>
        <v>6.5340456120436627</v>
      </c>
      <c r="BZ76" s="1271">
        <f t="shared" si="141"/>
        <v>-43.040250729626329</v>
      </c>
      <c r="CA76" s="1271"/>
      <c r="CB76" s="1166">
        <f>CB70+CB71+CB72</f>
        <v>94.775000000000063</v>
      </c>
      <c r="CC76" s="1243">
        <f t="shared" si="142"/>
        <v>4.2864947937914479</v>
      </c>
      <c r="CD76" s="1271">
        <f t="shared" si="143"/>
        <v>-35.935567167104857</v>
      </c>
      <c r="CE76" s="1271"/>
      <c r="CF76" s="1166">
        <f>CF70+CF71+CF72</f>
        <v>204.24400000000003</v>
      </c>
      <c r="CG76" s="1243">
        <f t="shared" si="144"/>
        <v>8.4537379657453187</v>
      </c>
      <c r="CH76" s="1271">
        <f t="shared" si="145"/>
        <v>115.50408863096794</v>
      </c>
      <c r="CI76" s="1271"/>
      <c r="CJ76" s="1166">
        <f>CJ70+CJ71+CJ72</f>
        <v>245.60300000000012</v>
      </c>
      <c r="CK76" s="1243">
        <f t="shared" si="146"/>
        <v>9.7747808163513881</v>
      </c>
      <c r="CL76" s="1271">
        <f t="shared" si="147"/>
        <v>20.249799259709022</v>
      </c>
      <c r="CM76" s="1271"/>
      <c r="CN76" s="1166">
        <f>CN70+CN71+CN72</f>
        <v>207.34399999999994</v>
      </c>
      <c r="CO76" s="1243">
        <f t="shared" si="148"/>
        <v>8.0778362070510408</v>
      </c>
      <c r="CP76" s="1271">
        <f t="shared" si="149"/>
        <v>-15.577578449774709</v>
      </c>
      <c r="CQ76" s="1271"/>
      <c r="CR76" s="2091">
        <f>CR70+CR71+CR72</f>
        <v>224.34381732544628</v>
      </c>
      <c r="CS76" s="2092">
        <f t="shared" si="150"/>
        <v>8.3707762775556915</v>
      </c>
      <c r="CT76" s="2093">
        <f t="shared" si="151"/>
        <v>8.1988470008518952</v>
      </c>
      <c r="CU76" s="1158"/>
      <c r="CV76" s="1271"/>
      <c r="CW76" s="1158"/>
      <c r="CX76" s="1158"/>
      <c r="CY76" s="1271"/>
      <c r="CZ76" s="1271"/>
      <c r="DA76" s="1271"/>
      <c r="DB76" s="1270"/>
      <c r="DC76" s="1270"/>
      <c r="DD76" s="1270"/>
      <c r="DE76" s="1270"/>
      <c r="DF76" s="1270"/>
      <c r="DG76" s="1270"/>
      <c r="DH76" s="951"/>
      <c r="DI76" s="951"/>
      <c r="DJ76" s="951"/>
      <c r="DK76" s="951"/>
      <c r="DL76" s="951"/>
      <c r="DM76" s="951"/>
      <c r="DN76" s="951"/>
      <c r="DO76" s="951"/>
      <c r="DP76" s="951"/>
      <c r="DQ76" s="951"/>
      <c r="DR76" s="951"/>
      <c r="DS76" s="951"/>
      <c r="DT76" s="951"/>
      <c r="DU76" s="951"/>
      <c r="DV76" s="951"/>
      <c r="DW76" s="951"/>
      <c r="DX76" s="951"/>
      <c r="DY76" s="951"/>
    </row>
    <row r="77" spans="1:129" ht="12.75" outlineLevel="2" collapsed="1">
      <c r="A77" s="1167"/>
      <c r="B77" s="951"/>
      <c r="C77" s="1226"/>
      <c r="D77" s="1241"/>
      <c r="E77" s="1270"/>
      <c r="F77" s="951"/>
      <c r="G77" s="1319"/>
      <c r="H77" s="1241"/>
      <c r="I77" s="1270"/>
      <c r="J77" s="951"/>
      <c r="K77" s="1319"/>
      <c r="L77" s="1241"/>
      <c r="M77" s="1270"/>
      <c r="N77" s="951"/>
      <c r="O77" s="1319"/>
      <c r="P77" s="1241"/>
      <c r="Q77" s="1270"/>
      <c r="R77" s="951"/>
      <c r="S77" s="1319"/>
      <c r="T77" s="1241"/>
      <c r="U77" s="1270"/>
      <c r="V77" s="951"/>
      <c r="W77" s="951"/>
      <c r="X77" s="951"/>
      <c r="Y77" s="951"/>
      <c r="Z77" s="951"/>
      <c r="AA77" s="951"/>
      <c r="AB77" s="951"/>
      <c r="AC77" s="951"/>
      <c r="AD77" s="951"/>
      <c r="AE77" s="951"/>
      <c r="AF77" s="951"/>
      <c r="AG77" s="951"/>
      <c r="AH77" s="951"/>
      <c r="AI77" s="951"/>
      <c r="AJ77" s="951"/>
      <c r="AK77" s="951"/>
      <c r="AL77" s="951"/>
      <c r="AM77" s="951"/>
      <c r="AN77" s="951"/>
      <c r="AO77" s="951"/>
      <c r="AP77" s="1255"/>
      <c r="AQ77" s="951"/>
      <c r="AR77" s="951"/>
      <c r="AS77" s="1232"/>
      <c r="AT77" s="951"/>
      <c r="AU77" s="951"/>
      <c r="AV77" s="1158"/>
      <c r="AW77" s="1158"/>
      <c r="AX77" s="1158"/>
      <c r="AY77" s="951"/>
      <c r="AZ77" s="1158"/>
      <c r="BA77" s="1257"/>
      <c r="BB77" s="1158"/>
      <c r="BC77" s="951"/>
      <c r="BD77" s="1158"/>
      <c r="BE77" s="1257"/>
      <c r="BF77" s="1158"/>
      <c r="BG77" s="1158"/>
      <c r="BH77" s="1158"/>
      <c r="BI77" s="1257"/>
      <c r="BJ77" s="1158"/>
      <c r="BK77" s="1158"/>
      <c r="BL77" s="1158"/>
      <c r="BM77" s="1257"/>
      <c r="BN77" s="1158"/>
      <c r="BO77" s="1158"/>
      <c r="BP77" s="1158"/>
      <c r="BQ77" s="1257"/>
      <c r="BR77" s="1158"/>
      <c r="BS77" s="1158"/>
      <c r="BT77" s="1158"/>
      <c r="BU77" s="1257"/>
      <c r="BV77" s="1158"/>
      <c r="BW77" s="1158"/>
      <c r="BX77" s="1158"/>
      <c r="BY77" s="1158"/>
      <c r="BZ77" s="1158"/>
      <c r="CA77" s="1158"/>
      <c r="CB77" s="1158"/>
      <c r="CC77" s="1158"/>
      <c r="CD77" s="1158"/>
      <c r="CE77" s="1158"/>
      <c r="CF77" s="1158"/>
      <c r="CG77" s="1158"/>
      <c r="CH77" s="1158"/>
      <c r="CI77" s="1158"/>
      <c r="CJ77" s="1158"/>
      <c r="CK77" s="1158"/>
      <c r="CL77" s="1158"/>
      <c r="CM77" s="1158"/>
      <c r="CN77" s="1159"/>
      <c r="CO77" s="1158"/>
      <c r="CP77" s="1158"/>
      <c r="CQ77" s="1158"/>
      <c r="CR77" s="1158"/>
      <c r="CS77" s="1158"/>
      <c r="CT77" s="1158"/>
      <c r="CU77" s="1185"/>
      <c r="CV77" s="1158"/>
      <c r="CW77" s="1185"/>
      <c r="CX77" s="1185"/>
      <c r="CY77" s="1158"/>
      <c r="CZ77" s="1158"/>
      <c r="DA77" s="1158"/>
      <c r="DB77" s="951"/>
      <c r="DC77" s="951"/>
      <c r="DD77" s="951"/>
      <c r="DE77" s="951"/>
      <c r="DF77" s="951"/>
      <c r="DG77" s="951"/>
      <c r="DH77" s="951"/>
      <c r="DI77" s="951"/>
      <c r="DJ77" s="951"/>
      <c r="DK77" s="951"/>
      <c r="DL77" s="951"/>
      <c r="DM77" s="951"/>
      <c r="DN77" s="951"/>
      <c r="DO77" s="951"/>
      <c r="DP77" s="951"/>
      <c r="DQ77" s="951"/>
      <c r="DR77" s="951"/>
      <c r="DS77" s="951"/>
      <c r="DT77" s="951"/>
      <c r="DU77" s="951"/>
      <c r="DV77" s="951"/>
      <c r="DW77" s="951"/>
      <c r="DX77" s="951"/>
      <c r="DY77" s="951"/>
    </row>
    <row r="78" spans="1:129" ht="12.75" outlineLevel="2">
      <c r="A78" s="1259"/>
      <c r="B78" s="1181"/>
      <c r="C78" s="1181"/>
      <c r="D78" s="1181"/>
      <c r="E78" s="1181"/>
      <c r="F78" s="1181"/>
      <c r="G78" s="1182"/>
      <c r="H78" s="1182"/>
      <c r="I78" s="1182"/>
      <c r="J78" s="1182"/>
      <c r="K78" s="1182"/>
      <c r="L78" s="1182"/>
      <c r="M78" s="1182"/>
      <c r="N78" s="1182"/>
      <c r="O78" s="1182"/>
      <c r="P78" s="1182"/>
      <c r="Q78" s="1182"/>
      <c r="R78" s="1182"/>
      <c r="S78" s="1259"/>
      <c r="T78" s="1182"/>
      <c r="U78" s="1182"/>
      <c r="V78" s="1182"/>
      <c r="W78" s="1259"/>
      <c r="X78" s="1182"/>
      <c r="Y78" s="1182"/>
      <c r="Z78" s="1182"/>
      <c r="AA78" s="1183"/>
      <c r="AB78" s="1182"/>
      <c r="AC78" s="1183"/>
      <c r="AD78" s="1183"/>
      <c r="AE78" s="1183"/>
      <c r="AF78" s="1182"/>
      <c r="AG78" s="1183"/>
      <c r="AH78" s="1183"/>
      <c r="AI78" s="1183"/>
      <c r="AJ78" s="1184"/>
      <c r="AK78" s="1183"/>
      <c r="AL78" s="1183"/>
      <c r="AM78" s="1183"/>
      <c r="AN78" s="1184"/>
      <c r="AO78" s="1183"/>
      <c r="AP78" s="1183"/>
      <c r="AQ78" s="1183"/>
      <c r="AR78" s="1184"/>
      <c r="AS78" s="1183"/>
      <c r="AT78" s="1183"/>
      <c r="AU78" s="1183"/>
      <c r="AW78" s="1185"/>
      <c r="AX78" s="1185"/>
      <c r="AY78" s="1183"/>
      <c r="AZ78" s="1186"/>
      <c r="BA78" s="1185"/>
      <c r="BB78" s="1185"/>
      <c r="BC78" s="1183"/>
      <c r="BD78" s="1186"/>
      <c r="BE78" s="1185"/>
      <c r="BF78" s="1185"/>
      <c r="BG78" s="1185"/>
      <c r="BH78" s="1186"/>
      <c r="BI78" s="1185"/>
      <c r="BJ78" s="1185"/>
      <c r="BK78" s="1185"/>
      <c r="BL78" s="1186"/>
      <c r="BM78" s="1185"/>
      <c r="BN78" s="1185"/>
      <c r="BO78" s="1185"/>
      <c r="BP78" s="1186"/>
      <c r="BQ78" s="1185"/>
      <c r="BR78" s="1182" t="s">
        <v>468</v>
      </c>
      <c r="BS78" s="1185"/>
      <c r="BT78" s="1186"/>
      <c r="BU78" s="1185"/>
      <c r="BV78" s="1185"/>
      <c r="BW78" s="1185"/>
      <c r="BX78" s="1185"/>
      <c r="BY78" s="1185"/>
      <c r="BZ78" s="1185"/>
      <c r="CA78" s="1187"/>
      <c r="CB78" s="1185"/>
      <c r="CC78" s="1185"/>
      <c r="CD78" s="1185"/>
      <c r="CE78" s="1187"/>
      <c r="CF78" s="1185"/>
      <c r="CG78" s="1182" t="s">
        <v>468</v>
      </c>
      <c r="CH78" s="1185"/>
      <c r="CI78" s="1187"/>
      <c r="CJ78" s="1185"/>
      <c r="CK78" s="1185"/>
      <c r="CL78" s="1185"/>
      <c r="CM78" s="1187"/>
      <c r="CN78" s="1159"/>
      <c r="CO78" s="1185"/>
      <c r="CP78" s="1185"/>
      <c r="CQ78" s="1185"/>
      <c r="CR78" s="1185"/>
      <c r="CS78" s="1185"/>
      <c r="CT78" s="1185"/>
      <c r="CU78" s="1185"/>
      <c r="CV78" s="1185"/>
      <c r="CW78" s="1185"/>
      <c r="CX78" s="1185"/>
      <c r="CY78" s="1185"/>
      <c r="CZ78" s="1185"/>
      <c r="DA78" s="1185"/>
      <c r="DB78" s="1183"/>
      <c r="DC78" s="1183"/>
      <c r="DD78" s="1183"/>
      <c r="DE78" s="1183"/>
      <c r="DF78" s="1183"/>
      <c r="DG78" s="1183"/>
      <c r="DH78" s="1259"/>
      <c r="DI78" s="1259"/>
      <c r="DJ78" s="1259"/>
      <c r="DK78" s="1259"/>
      <c r="DL78" s="1259"/>
      <c r="DM78" s="1259"/>
      <c r="DN78" s="1259"/>
      <c r="DO78" s="1259"/>
      <c r="DP78" s="1259"/>
      <c r="DQ78" s="1259"/>
      <c r="DR78" s="1259"/>
      <c r="DS78" s="1259"/>
      <c r="DT78" s="1259"/>
      <c r="DU78" s="1259"/>
      <c r="DV78" s="1259"/>
      <c r="DW78" s="1259"/>
      <c r="DX78" s="1259"/>
      <c r="DY78" s="1259"/>
    </row>
    <row r="79" spans="1:129" ht="12.75" outlineLevel="2">
      <c r="A79" s="45"/>
      <c r="B79" s="1183"/>
      <c r="C79" s="1183"/>
      <c r="D79" s="1183"/>
      <c r="E79" s="1183"/>
      <c r="F79" s="1183"/>
      <c r="G79" s="1183"/>
      <c r="H79" s="1183"/>
      <c r="I79" s="1183"/>
      <c r="J79" s="1183"/>
      <c r="K79" s="1183"/>
      <c r="L79" s="1183"/>
      <c r="M79" s="1183"/>
      <c r="N79" s="45"/>
      <c r="O79" s="1183"/>
      <c r="P79" s="1183"/>
      <c r="Q79" s="1183"/>
      <c r="R79" s="45"/>
      <c r="S79" s="1183"/>
      <c r="T79" s="1183"/>
      <c r="U79" s="1183"/>
      <c r="V79" s="45"/>
      <c r="W79" s="1183"/>
      <c r="X79" s="1183"/>
      <c r="Y79" s="1183"/>
      <c r="Z79" s="1183"/>
      <c r="AA79" s="45"/>
      <c r="AB79" s="1183"/>
      <c r="AC79" s="1183"/>
      <c r="AD79" s="1183"/>
      <c r="AE79" s="45"/>
      <c r="AF79" s="1183"/>
      <c r="AG79" s="1183"/>
      <c r="AH79" s="1183"/>
      <c r="AI79" s="45"/>
      <c r="AJ79" s="1183"/>
      <c r="AK79" s="1183"/>
      <c r="AL79" s="1183"/>
      <c r="AM79" s="45"/>
      <c r="AN79" s="1183"/>
      <c r="AO79" s="951"/>
      <c r="AP79" s="1255"/>
      <c r="AQ79" s="45"/>
      <c r="AR79" s="1183"/>
      <c r="AS79" s="1183"/>
      <c r="AT79" s="1183"/>
      <c r="AU79" s="45"/>
      <c r="AV79" s="1185"/>
      <c r="AW79" s="1185"/>
      <c r="AX79" s="1185"/>
      <c r="AY79" s="45"/>
      <c r="AZ79" s="1185"/>
      <c r="BA79" s="1185"/>
      <c r="BB79" s="1185"/>
      <c r="BC79" s="45"/>
      <c r="BD79" s="1185"/>
      <c r="BE79" s="1185"/>
      <c r="BF79" s="1185"/>
      <c r="BG79" s="1185"/>
      <c r="BH79" s="1185"/>
      <c r="BI79" s="1185"/>
      <c r="BJ79" s="1185"/>
      <c r="BK79" s="1185"/>
      <c r="BL79" s="1185"/>
      <c r="BM79" s="1185"/>
      <c r="BN79" s="1185"/>
      <c r="BO79" s="1185"/>
      <c r="BP79" s="1185"/>
      <c r="BQ79" s="1185"/>
      <c r="BR79" s="1185"/>
      <c r="BS79" s="1185"/>
      <c r="BT79" s="1185"/>
      <c r="BU79" s="1185"/>
      <c r="BV79" s="1185"/>
      <c r="BW79" s="1185"/>
      <c r="BX79" s="1185"/>
      <c r="BY79" s="1185"/>
      <c r="BZ79" s="1185"/>
      <c r="CA79" s="1185"/>
      <c r="CB79" s="1185"/>
      <c r="CC79" s="1185"/>
      <c r="CD79" s="1185"/>
      <c r="CE79" s="1185"/>
      <c r="CF79" s="1185"/>
      <c r="CG79" s="1185"/>
      <c r="CH79" s="1185"/>
      <c r="CI79" s="1185"/>
      <c r="CJ79" s="1185"/>
      <c r="CK79" s="1185"/>
      <c r="CL79" s="1185"/>
      <c r="CM79" s="1185"/>
      <c r="CN79" s="1185"/>
      <c r="CO79" s="1185"/>
      <c r="CP79" s="1185"/>
      <c r="CQ79" s="1185"/>
      <c r="CR79" s="1185"/>
      <c r="CS79" s="1185"/>
      <c r="CT79" s="1185"/>
      <c r="CU79" s="1159"/>
      <c r="CV79" s="1185"/>
      <c r="CW79" s="1159"/>
      <c r="CX79" s="1159"/>
      <c r="CY79" s="1185"/>
      <c r="CZ79" s="1185"/>
      <c r="DA79" s="1185"/>
      <c r="DB79" s="1183"/>
      <c r="DC79" s="1183"/>
      <c r="DD79" s="1183"/>
      <c r="DE79" s="1183"/>
      <c r="DF79" s="1183"/>
      <c r="DG79" s="1183"/>
      <c r="DH79" s="45"/>
      <c r="DI79" s="45"/>
      <c r="DJ79" s="45"/>
      <c r="DK79" s="45"/>
      <c r="DL79" s="45"/>
      <c r="DM79" s="45"/>
      <c r="DN79" s="45"/>
      <c r="DO79" s="45"/>
      <c r="DP79" s="45"/>
      <c r="DQ79" s="45"/>
      <c r="DR79" s="45"/>
      <c r="DS79" s="45"/>
      <c r="DT79" s="45"/>
      <c r="DU79" s="45"/>
      <c r="DV79" s="45"/>
      <c r="DW79" s="45"/>
      <c r="DX79" s="45"/>
      <c r="DY79" s="45"/>
    </row>
    <row r="80" spans="1:129" ht="12.75" outlineLevel="2">
      <c r="A80" s="1167" t="s">
        <v>734</v>
      </c>
      <c r="B80" s="951"/>
      <c r="C80" s="1222">
        <f>1.366/4</f>
        <v>0.34150000000000003</v>
      </c>
      <c r="D80" s="1241">
        <f t="shared" ref="D80:D86" si="158">C80/C10*100</f>
        <v>0.70533077224941654</v>
      </c>
      <c r="E80" s="951" t="s">
        <v>91</v>
      </c>
      <c r="F80" s="951"/>
      <c r="G80" s="267">
        <v>-0.314</v>
      </c>
      <c r="H80" s="1242">
        <f t="shared" ref="H80:H86" si="159">G80/G10*100</f>
        <v>-0.57724832708287377</v>
      </c>
      <c r="I80" s="951"/>
      <c r="J80" s="951"/>
      <c r="K80" s="1222">
        <v>-0.33</v>
      </c>
      <c r="L80" s="1242">
        <f t="shared" ref="L80:L86" si="160">K80/K10*100</f>
        <v>-0.54140963381021134</v>
      </c>
      <c r="M80" s="951"/>
      <c r="N80" s="951"/>
      <c r="O80" s="1222">
        <v>-0.54200000000000004</v>
      </c>
      <c r="P80" s="1242">
        <f t="shared" ref="P80:P86" si="161">O80/O10*100</f>
        <v>-0.54366361064858471</v>
      </c>
      <c r="Q80" s="951"/>
      <c r="R80" s="951"/>
      <c r="S80" s="1222">
        <v>-0.73399999999999999</v>
      </c>
      <c r="T80" s="1242">
        <f t="shared" ref="T80:T86" si="162">S80/S10*100</f>
        <v>-0.50480041814530552</v>
      </c>
      <c r="U80" s="951"/>
      <c r="V80" s="951"/>
      <c r="W80" s="267">
        <v>-1.7130000000000001</v>
      </c>
      <c r="X80" s="1242">
        <f t="shared" ref="X80:X86" si="163">W80/W10*100</f>
        <v>-0.96236495710650072</v>
      </c>
      <c r="Y80" s="951"/>
      <c r="Z80" s="951"/>
      <c r="AA80" s="951"/>
      <c r="AB80" s="267">
        <v>-0.96899999999999997</v>
      </c>
      <c r="AC80" s="1242">
        <f t="shared" ref="AC80:AC86" si="164">AB80/AB10*100</f>
        <v>-0.38521475026635071</v>
      </c>
      <c r="AD80" s="951"/>
      <c r="AE80" s="951"/>
      <c r="AF80" s="267">
        <v>-0.66100000000000003</v>
      </c>
      <c r="AG80" s="1242">
        <f t="shared" ref="AG80:AG86" si="165">AF80/AF10*100</f>
        <v>-0.23786133511819302</v>
      </c>
      <c r="AH80" s="951"/>
      <c r="AI80" s="951"/>
      <c r="AJ80" s="267">
        <v>-0.64100000000000001</v>
      </c>
      <c r="AK80" s="1242">
        <f t="shared" ref="AK80:AK86" si="166">AJ80/AJ10*100</f>
        <v>-0.21962735302784231</v>
      </c>
      <c r="AL80" s="951"/>
      <c r="AM80" s="951"/>
      <c r="AN80" s="267">
        <v>-0.94</v>
      </c>
      <c r="AO80" s="1242">
        <f t="shared" ref="AO80:AO86" si="167">AN80/AN10*100</f>
        <v>-0.28293651988080543</v>
      </c>
      <c r="AP80" s="951"/>
      <c r="AQ80" s="951"/>
      <c r="AR80" s="267">
        <f>-8.389-AR81</f>
        <v>-3.5279999999999996</v>
      </c>
      <c r="AS80" s="1242">
        <f t="shared" ref="AS80:AS86" si="168">AR80/AR10*100</f>
        <v>-0.77287574182269858</v>
      </c>
      <c r="AT80" s="1232"/>
      <c r="AU80" s="951"/>
      <c r="AV80" s="577">
        <v>-8.0960000000000001</v>
      </c>
      <c r="AW80" s="1243">
        <f t="shared" ref="AW80:AW86" si="169">AV80/AV10*100</f>
        <v>-1.5496872296278148</v>
      </c>
      <c r="AX80" s="1159"/>
      <c r="AY80" s="951"/>
      <c r="AZ80" s="577">
        <v>-11.301</v>
      </c>
      <c r="BA80" s="1243">
        <f t="shared" ref="BA80:BA86" si="170">AZ80/AZ10*100</f>
        <v>-1.8454046957311239</v>
      </c>
      <c r="BB80" s="1159"/>
      <c r="BC80" s="951"/>
      <c r="BD80" s="577">
        <v>-6.4580000000000002</v>
      </c>
      <c r="BE80" s="1243">
        <f t="shared" ref="BE80:BE86" si="171">BD80/BD10*100</f>
        <v>-1.0085865732107662</v>
      </c>
      <c r="BF80" s="1159"/>
      <c r="BG80" s="1159"/>
      <c r="BH80" s="577">
        <f>2.308-2.749+0.003</f>
        <v>-0.43800000000000028</v>
      </c>
      <c r="BI80" s="1243">
        <f t="shared" ref="BI80:BI86" si="172">BH80/BH10*100</f>
        <v>-7.2796291710363878E-2</v>
      </c>
      <c r="BJ80" s="1159"/>
      <c r="BK80" s="1159"/>
      <c r="BL80" s="577">
        <v>-0.121</v>
      </c>
      <c r="BM80" s="1243">
        <f t="shared" ref="BM80:BM86" si="173">BL80/BL10*100</f>
        <v>-1.8756200396825396E-2</v>
      </c>
      <c r="BN80" s="1159"/>
      <c r="BO80" s="1159"/>
      <c r="BP80" s="577">
        <v>-4.5119999999999996</v>
      </c>
      <c r="BQ80" s="1243">
        <f t="shared" ref="BQ80:BQ86" si="174">BP80/BP10*100</f>
        <v>-0.74815448594225664</v>
      </c>
      <c r="BR80" s="1159"/>
      <c r="BS80" s="1159"/>
      <c r="BT80" s="577">
        <v>-3.5070000000000001</v>
      </c>
      <c r="BU80" s="1243">
        <f t="shared" ref="BU80:BU86" si="175">BT80/BT10*100</f>
        <v>-0.49485321612259148</v>
      </c>
      <c r="BV80" s="1159"/>
      <c r="BW80" s="1159"/>
      <c r="BX80" s="577">
        <v>0.68200000000000005</v>
      </c>
      <c r="BY80" s="1243">
        <f t="shared" ref="BY80:BY86" si="176">BX80/BX10*100</f>
        <v>0.10037131499668128</v>
      </c>
      <c r="BZ80" s="1159"/>
      <c r="CA80" s="1159"/>
      <c r="CB80" s="577">
        <v>-0.68600000000000005</v>
      </c>
      <c r="CC80" s="1243">
        <f t="shared" ref="CC80:CC86" si="177">CB80/CB10*100</f>
        <v>-0.10617074918476033</v>
      </c>
      <c r="CD80" s="1159"/>
      <c r="CE80" s="1159"/>
      <c r="CF80" s="577">
        <v>-5.97</v>
      </c>
      <c r="CG80" s="1243">
        <f t="shared" ref="CG80:CG86" si="178">CF80/CF10*100</f>
        <v>-0.85344236047575472</v>
      </c>
      <c r="CH80" s="1159"/>
      <c r="CI80" s="1159"/>
      <c r="CJ80" s="1210">
        <v>-4.9349999999999996</v>
      </c>
      <c r="CK80" s="1243">
        <f t="shared" ref="CK80:CK86" si="179">CJ80/CJ10*100</f>
        <v>-0.65851276193729513</v>
      </c>
      <c r="CL80" s="1159"/>
      <c r="CM80" s="1159"/>
      <c r="CN80" s="1210">
        <v>-0.40300000000000002</v>
      </c>
      <c r="CO80" s="1243">
        <f t="shared" ref="CO80:CO86" si="180">CN80/CN10*100</f>
        <v>-5.2898524091799286E-2</v>
      </c>
      <c r="CP80" s="1159"/>
      <c r="CQ80" s="1159"/>
      <c r="CR80" s="1210">
        <v>-0.5</v>
      </c>
      <c r="CS80" s="1243">
        <f t="shared" ref="CS80:CS86" si="181">CR80/CR10*100</f>
        <v>-6.1858753732408268E-2</v>
      </c>
      <c r="CT80" s="1159"/>
      <c r="CU80" s="1159"/>
      <c r="CV80" s="1159"/>
      <c r="CW80" s="1159"/>
      <c r="CX80" s="1159"/>
      <c r="CY80" s="1159"/>
      <c r="CZ80" s="1159"/>
      <c r="DA80" s="1159"/>
      <c r="DB80" s="1232"/>
      <c r="DC80" s="1232"/>
      <c r="DD80" s="1232"/>
      <c r="DE80" s="1232"/>
      <c r="DF80" s="1232"/>
      <c r="DG80" s="1232"/>
      <c r="DH80" s="951"/>
      <c r="DI80" s="951"/>
      <c r="DJ80" s="951"/>
      <c r="DK80" s="951"/>
      <c r="DL80" s="951"/>
      <c r="DM80" s="951"/>
      <c r="DN80" s="951"/>
      <c r="DO80" s="951"/>
      <c r="DP80" s="951"/>
      <c r="DQ80" s="951"/>
      <c r="DR80" s="951"/>
      <c r="DS80" s="951"/>
      <c r="DT80" s="951"/>
      <c r="DU80" s="951"/>
      <c r="DV80" s="951"/>
      <c r="DW80" s="951"/>
      <c r="DX80" s="951"/>
      <c r="DY80" s="951"/>
    </row>
    <row r="81" spans="1:129" ht="12.75" outlineLevel="2">
      <c r="A81" s="1167" t="s">
        <v>735</v>
      </c>
      <c r="B81" s="951"/>
      <c r="C81" s="1226">
        <f>1.366/4</f>
        <v>0.34150000000000003</v>
      </c>
      <c r="D81" s="1241">
        <f t="shared" si="158"/>
        <v>0.52267474784578416</v>
      </c>
      <c r="E81" s="1241" t="s">
        <v>91</v>
      </c>
      <c r="F81" s="951"/>
      <c r="G81" s="164">
        <v>-0.27500000000000002</v>
      </c>
      <c r="H81" s="1242">
        <f t="shared" si="159"/>
        <v>-0.39142007202129325</v>
      </c>
      <c r="I81" s="1241"/>
      <c r="J81" s="951"/>
      <c r="K81" s="1226">
        <v>-6.9000000000000006E-2</v>
      </c>
      <c r="L81" s="1242">
        <f t="shared" si="160"/>
        <v>-8.008449494539166E-2</v>
      </c>
      <c r="M81" s="951"/>
      <c r="N81" s="951"/>
      <c r="O81" s="1226">
        <v>-0.54100000000000004</v>
      </c>
      <c r="P81" s="1242">
        <f t="shared" si="161"/>
        <v>-0.43028370091703722</v>
      </c>
      <c r="Q81" s="951"/>
      <c r="R81" s="951"/>
      <c r="S81" s="1226">
        <v>-0.78500000000000003</v>
      </c>
      <c r="T81" s="1242">
        <f t="shared" si="162"/>
        <v>-0.43957397722054853</v>
      </c>
      <c r="U81" s="951"/>
      <c r="V81" s="951"/>
      <c r="W81" s="164">
        <v>-0.94799999999999995</v>
      </c>
      <c r="X81" s="1242">
        <f t="shared" si="163"/>
        <v>-0.45363843867985471</v>
      </c>
      <c r="Y81" s="951"/>
      <c r="Z81" s="951"/>
      <c r="AA81" s="951"/>
      <c r="AB81" s="164">
        <v>-0.876</v>
      </c>
      <c r="AC81" s="1242">
        <f t="shared" si="164"/>
        <v>-0.29959780021341215</v>
      </c>
      <c r="AD81" s="951"/>
      <c r="AE81" s="951"/>
      <c r="AF81" s="164">
        <v>-0.19600000000000001</v>
      </c>
      <c r="AG81" s="1242">
        <f t="shared" si="165"/>
        <v>-6.1403508771929828E-2</v>
      </c>
      <c r="AH81" s="951"/>
      <c r="AI81" s="951"/>
      <c r="AJ81" s="164">
        <v>-0.51400000000000001</v>
      </c>
      <c r="AK81" s="1242">
        <f t="shared" si="166"/>
        <v>-0.1524973668985774</v>
      </c>
      <c r="AL81" s="951"/>
      <c r="AM81" s="951"/>
      <c r="AN81" s="164">
        <v>-0.49099999999999999</v>
      </c>
      <c r="AO81" s="1242">
        <f t="shared" si="167"/>
        <v>-0.12417741943642167</v>
      </c>
      <c r="AP81" s="951"/>
      <c r="AQ81" s="951"/>
      <c r="AR81" s="164">
        <v>-4.8609999999999998</v>
      </c>
      <c r="AS81" s="1242">
        <f t="shared" si="168"/>
        <v>-0.94229531585599413</v>
      </c>
      <c r="AT81" s="1232"/>
      <c r="AU81" s="951"/>
      <c r="AV81" s="598">
        <v>-8.9689999999999994</v>
      </c>
      <c r="AW81" s="1243">
        <f t="shared" si="169"/>
        <v>-1.489060741193307</v>
      </c>
      <c r="AX81" s="1159"/>
      <c r="AY81" s="951"/>
      <c r="AZ81" s="598">
        <v>-8.766</v>
      </c>
      <c r="BA81" s="1243">
        <f t="shared" si="170"/>
        <v>-1.2466065311033023</v>
      </c>
      <c r="BB81" s="1159"/>
      <c r="BC81" s="951"/>
      <c r="BD81" s="598">
        <v>-3.9750000000000001</v>
      </c>
      <c r="BE81" s="1243">
        <f t="shared" si="171"/>
        <v>-0.57707802530432706</v>
      </c>
      <c r="BF81" s="1159"/>
      <c r="BG81" s="1159"/>
      <c r="BH81" s="598">
        <v>4.1509999999999998</v>
      </c>
      <c r="BI81" s="1243">
        <f t="shared" si="172"/>
        <v>0.64177687624266</v>
      </c>
      <c r="BJ81" s="1159"/>
      <c r="BK81" s="1159"/>
      <c r="BL81" s="598">
        <f>-0.138+1.248</f>
        <v>1.1099999999999999</v>
      </c>
      <c r="BM81" s="1243">
        <f t="shared" si="173"/>
        <v>0.17110063954644456</v>
      </c>
      <c r="BN81" s="1159"/>
      <c r="BO81" s="1159"/>
      <c r="BP81" s="598">
        <v>-1.431</v>
      </c>
      <c r="BQ81" s="1243">
        <f t="shared" si="174"/>
        <v>-0.21386298421807748</v>
      </c>
      <c r="BR81" s="1159"/>
      <c r="BS81" s="1159"/>
      <c r="BT81" s="598">
        <v>0.34300000000000003</v>
      </c>
      <c r="BU81" s="1243">
        <f t="shared" si="175"/>
        <v>4.6371403850313658E-2</v>
      </c>
      <c r="BV81" s="1159"/>
      <c r="BW81" s="1159"/>
      <c r="BX81" s="598">
        <v>-1.149</v>
      </c>
      <c r="BY81" s="1243">
        <f t="shared" si="176"/>
        <v>-0.15797875192661207</v>
      </c>
      <c r="BZ81" s="1159"/>
      <c r="CA81" s="1159"/>
      <c r="CB81" s="598">
        <v>-0.85</v>
      </c>
      <c r="CC81" s="1243">
        <f t="shared" si="177"/>
        <v>-0.11961806654986312</v>
      </c>
      <c r="CD81" s="1159"/>
      <c r="CE81" s="1159"/>
      <c r="CF81" s="598">
        <f>2.237</f>
        <v>2.2370000000000001</v>
      </c>
      <c r="CG81" s="1243">
        <f t="shared" si="178"/>
        <v>0.28052689396409458</v>
      </c>
      <c r="CH81" s="1159"/>
      <c r="CI81" s="1159"/>
      <c r="CJ81" s="1210">
        <v>3.1339999999999999</v>
      </c>
      <c r="CK81" s="1243">
        <f t="shared" si="179"/>
        <v>0.38098989294840463</v>
      </c>
      <c r="CL81" s="1159"/>
      <c r="CM81" s="1159"/>
      <c r="CN81" s="1210">
        <f>6.734-9.311</f>
        <v>-2.577</v>
      </c>
      <c r="CO81" s="1243">
        <f t="shared" si="180"/>
        <v>-0.30513038196356196</v>
      </c>
      <c r="CP81" s="1159"/>
      <c r="CQ81" s="1159"/>
      <c r="CR81" s="1210">
        <v>-0.5</v>
      </c>
      <c r="CS81" s="1243">
        <f t="shared" si="181"/>
        <v>-5.4859625720943432E-2</v>
      </c>
      <c r="CT81" s="1159"/>
      <c r="CU81" s="1320"/>
      <c r="CV81" s="1159"/>
      <c r="CW81" s="1320"/>
      <c r="CX81" s="1320"/>
      <c r="CY81" s="1159"/>
      <c r="CZ81" s="1159"/>
      <c r="DA81" s="1159"/>
      <c r="DB81" s="1232"/>
      <c r="DC81" s="1232"/>
      <c r="DD81" s="1232"/>
      <c r="DE81" s="1232"/>
      <c r="DF81" s="1232"/>
      <c r="DG81" s="1232"/>
      <c r="DH81" s="951"/>
      <c r="DI81" s="951"/>
      <c r="DJ81" s="951"/>
      <c r="DK81" s="951"/>
      <c r="DL81" s="951"/>
      <c r="DM81" s="951"/>
      <c r="DN81" s="951"/>
      <c r="DO81" s="951"/>
      <c r="DP81" s="951"/>
      <c r="DQ81" s="951"/>
      <c r="DR81" s="951"/>
      <c r="DS81" s="951"/>
      <c r="DT81" s="951"/>
      <c r="DU81" s="951"/>
      <c r="DV81" s="951"/>
      <c r="DW81" s="951"/>
      <c r="DX81" s="951"/>
      <c r="DY81" s="951"/>
    </row>
    <row r="82" spans="1:129" ht="12.75" outlineLevel="2">
      <c r="A82" s="1167" t="s">
        <v>736</v>
      </c>
      <c r="B82" s="951"/>
      <c r="C82" s="1247">
        <f>1.366/4</f>
        <v>0.34150000000000003</v>
      </c>
      <c r="D82" s="1241">
        <f t="shared" si="158"/>
        <v>0.39762473074460031</v>
      </c>
      <c r="E82" s="1241" t="s">
        <v>91</v>
      </c>
      <c r="F82" s="951"/>
      <c r="G82" s="169">
        <v>-0.21099999999999999</v>
      </c>
      <c r="H82" s="1242">
        <f t="shared" si="159"/>
        <v>-0.26761027826395756</v>
      </c>
      <c r="I82" s="1241"/>
      <c r="J82" s="951"/>
      <c r="K82" s="1247">
        <v>-0.27</v>
      </c>
      <c r="L82" s="1242">
        <f t="shared" si="160"/>
        <v>-0.25738308135211913</v>
      </c>
      <c r="M82" s="951"/>
      <c r="N82" s="951"/>
      <c r="O82" s="1247">
        <v>-0.59299999999999997</v>
      </c>
      <c r="P82" s="1242">
        <f t="shared" si="161"/>
        <v>-0.39780502857756189</v>
      </c>
      <c r="Q82" s="951"/>
      <c r="R82" s="951"/>
      <c r="S82" s="1247">
        <v>-1.153</v>
      </c>
      <c r="T82" s="1242">
        <f t="shared" si="162"/>
        <v>-0.51775313997296735</v>
      </c>
      <c r="U82" s="951"/>
      <c r="V82" s="951"/>
      <c r="W82" s="169">
        <v>-1.1859999999999999</v>
      </c>
      <c r="X82" s="1242">
        <f t="shared" si="163"/>
        <v>-0.41942659504114693</v>
      </c>
      <c r="Y82" s="951"/>
      <c r="Z82" s="951"/>
      <c r="AA82" s="951"/>
      <c r="AB82" s="169">
        <v>-5.2999999999999999E-2</v>
      </c>
      <c r="AC82" s="1242">
        <f t="shared" si="164"/>
        <v>-1.457409276272552E-2</v>
      </c>
      <c r="AD82" s="951"/>
      <c r="AE82" s="951"/>
      <c r="AF82" s="169">
        <v>-0.28399999999999997</v>
      </c>
      <c r="AG82" s="1242">
        <f t="shared" si="165"/>
        <v>-7.5835660918465969E-2</v>
      </c>
      <c r="AH82" s="951"/>
      <c r="AI82" s="951"/>
      <c r="AJ82" s="169">
        <v>-0.48299999999999998</v>
      </c>
      <c r="AK82" s="1242">
        <f t="shared" si="166"/>
        <v>-0.1292134831460674</v>
      </c>
      <c r="AL82" s="951"/>
      <c r="AM82" s="951"/>
      <c r="AN82" s="169">
        <v>0.64500000000000002</v>
      </c>
      <c r="AO82" s="1242">
        <f t="shared" si="167"/>
        <v>0.1344912789182314</v>
      </c>
      <c r="AP82" s="951"/>
      <c r="AQ82" s="951"/>
      <c r="AR82" s="169">
        <v>-4.5419999999999998</v>
      </c>
      <c r="AS82" s="1242">
        <f t="shared" si="168"/>
        <v>-0.78236559658391125</v>
      </c>
      <c r="AT82" s="951"/>
      <c r="AU82" s="951"/>
      <c r="AV82" s="1210">
        <v>-9.08</v>
      </c>
      <c r="AW82" s="1243">
        <f t="shared" si="169"/>
        <v>-1.3040543451722701</v>
      </c>
      <c r="AX82" s="1158"/>
      <c r="AY82" s="951"/>
      <c r="AZ82" s="1210">
        <v>-6.9050000000000002</v>
      </c>
      <c r="BA82" s="1243">
        <f t="shared" si="170"/>
        <v>-0.92753911313559267</v>
      </c>
      <c r="BB82" s="1158"/>
      <c r="BC82" s="951"/>
      <c r="BD82" s="1210">
        <f>15.432-19.9</f>
        <v>-4.4679999999999982</v>
      </c>
      <c r="BE82" s="1243">
        <f t="shared" si="171"/>
        <v>-0.59254465304043824</v>
      </c>
      <c r="BF82" s="1158"/>
      <c r="BG82" s="1158"/>
      <c r="BH82" s="1210">
        <v>0.45100000000000001</v>
      </c>
      <c r="BI82" s="1243">
        <f t="shared" si="172"/>
        <v>6.1276258099403409E-2</v>
      </c>
      <c r="BJ82" s="1320"/>
      <c r="BK82" s="1320"/>
      <c r="BL82" s="1210">
        <v>-1.986</v>
      </c>
      <c r="BM82" s="1243">
        <f t="shared" si="173"/>
        <v>-0.26663122324122074</v>
      </c>
      <c r="BN82" s="1320"/>
      <c r="BO82" s="1320"/>
      <c r="BP82" s="1210">
        <v>0.40699999999999997</v>
      </c>
      <c r="BQ82" s="1243">
        <f t="shared" si="174"/>
        <v>4.9669338885234539E-2</v>
      </c>
      <c r="BR82" s="1320"/>
      <c r="BS82" s="1320"/>
      <c r="BT82" s="1210">
        <v>-2.8220000000000001</v>
      </c>
      <c r="BU82" s="1243">
        <f t="shared" si="175"/>
        <v>-0.30998249071260825</v>
      </c>
      <c r="BV82" s="1320"/>
      <c r="BW82" s="1320"/>
      <c r="BX82" s="1210">
        <v>-0.52</v>
      </c>
      <c r="BY82" s="1243">
        <f t="shared" si="176"/>
        <v>-6.065519272604266E-2</v>
      </c>
      <c r="BZ82" s="1320"/>
      <c r="CA82" s="1320"/>
      <c r="CB82" s="1210">
        <f>BX82</f>
        <v>-0.52</v>
      </c>
      <c r="CC82" s="1243">
        <f t="shared" si="177"/>
        <v>-6.0869259853211448E-2</v>
      </c>
      <c r="CD82" s="1320"/>
      <c r="CE82" s="1320"/>
      <c r="CF82" s="1210">
        <v>-0.52100000000000002</v>
      </c>
      <c r="CG82" s="1243">
        <f t="shared" si="178"/>
        <v>-5.6687615333727938E-2</v>
      </c>
      <c r="CH82" s="1320"/>
      <c r="CI82" s="1320"/>
      <c r="CJ82" s="1210">
        <v>-0.60299999999999998</v>
      </c>
      <c r="CK82" s="1243">
        <f t="shared" si="179"/>
        <v>-6.4107402757149878E-2</v>
      </c>
      <c r="CL82" s="1320"/>
      <c r="CM82" s="1320"/>
      <c r="CN82" s="1210">
        <v>13.243</v>
      </c>
      <c r="CO82" s="1243">
        <f t="shared" si="180"/>
        <v>1.3788572445969685</v>
      </c>
      <c r="CP82" s="1320"/>
      <c r="CQ82" s="1320"/>
      <c r="CR82" s="1210">
        <v>-0.5</v>
      </c>
      <c r="CS82" s="1243">
        <f t="shared" si="181"/>
        <v>-5.2063068857819542E-2</v>
      </c>
      <c r="CT82" s="1320"/>
      <c r="CU82" s="1158"/>
      <c r="CV82" s="1320"/>
      <c r="CW82" s="1158"/>
      <c r="CX82" s="1158"/>
      <c r="CY82" s="1320"/>
      <c r="CZ82" s="1158"/>
      <c r="DA82" s="1158"/>
      <c r="DB82" s="951"/>
      <c r="DC82" s="951"/>
      <c r="DD82" s="951"/>
      <c r="DE82" s="951"/>
      <c r="DF82" s="951"/>
      <c r="DG82" s="951"/>
      <c r="DH82" s="951"/>
      <c r="DI82" s="951"/>
      <c r="DJ82" s="951"/>
      <c r="DK82" s="951"/>
      <c r="DL82" s="951"/>
      <c r="DM82" s="951"/>
      <c r="DN82" s="951"/>
      <c r="DO82" s="951"/>
      <c r="DP82" s="951"/>
      <c r="DQ82" s="951"/>
      <c r="DR82" s="951"/>
      <c r="DS82" s="951"/>
      <c r="DT82" s="951"/>
      <c r="DU82" s="951"/>
      <c r="DV82" s="951"/>
      <c r="DW82" s="951"/>
      <c r="DX82" s="951"/>
      <c r="DY82" s="951"/>
    </row>
    <row r="83" spans="1:129" ht="12.75" outlineLevel="2">
      <c r="A83" s="1167" t="s">
        <v>737</v>
      </c>
      <c r="B83" s="951"/>
      <c r="C83" s="1248">
        <f>1.366/4</f>
        <v>0.34150000000000003</v>
      </c>
      <c r="D83" s="1241">
        <f t="shared" si="158"/>
        <v>0.24274260043786075</v>
      </c>
      <c r="E83" s="1241" t="s">
        <v>91</v>
      </c>
      <c r="F83" s="951"/>
      <c r="G83" s="256">
        <v>-0.17299999999999999</v>
      </c>
      <c r="H83" s="1242">
        <f t="shared" si="159"/>
        <v>-0.14075912289980064</v>
      </c>
      <c r="I83" s="1241"/>
      <c r="J83" s="951"/>
      <c r="K83" s="1248">
        <f>-1.158+0.669</f>
        <v>-0.48899999999999988</v>
      </c>
      <c r="L83" s="1242">
        <f t="shared" si="160"/>
        <v>-0.31815224463240072</v>
      </c>
      <c r="M83" s="951"/>
      <c r="N83" s="951"/>
      <c r="O83" s="1248">
        <f>-2.436+1.676</f>
        <v>-0.76</v>
      </c>
      <c r="P83" s="1242">
        <f t="shared" si="161"/>
        <v>-0.35662836040111306</v>
      </c>
      <c r="Q83" s="951"/>
      <c r="R83" s="951"/>
      <c r="S83" s="1248">
        <v>2.8319999999999999</v>
      </c>
      <c r="T83" s="1242">
        <f t="shared" si="162"/>
        <v>0.99220460716475423</v>
      </c>
      <c r="U83" s="1226"/>
      <c r="V83" s="951"/>
      <c r="W83" s="256">
        <v>-2.4020000000000001</v>
      </c>
      <c r="X83" s="1242">
        <f t="shared" si="163"/>
        <v>-0.5668650615716464</v>
      </c>
      <c r="Y83" s="951"/>
      <c r="Z83" s="951"/>
      <c r="AA83" s="951"/>
      <c r="AB83" s="256">
        <v>-0.874</v>
      </c>
      <c r="AC83" s="1242">
        <f t="shared" si="164"/>
        <v>-0.18824036183502046</v>
      </c>
      <c r="AD83" s="1303"/>
      <c r="AE83" s="951"/>
      <c r="AF83" s="256">
        <v>-1.387</v>
      </c>
      <c r="AG83" s="1242">
        <f t="shared" si="165"/>
        <v>-0.2821663540526575</v>
      </c>
      <c r="AH83" s="951"/>
      <c r="AI83" s="951"/>
      <c r="AJ83" s="256">
        <v>-0.46899999999999997</v>
      </c>
      <c r="AK83" s="1242">
        <f t="shared" si="166"/>
        <v>-9.5601125198744336E-2</v>
      </c>
      <c r="AL83" s="951"/>
      <c r="AM83" s="951"/>
      <c r="AN83" s="256">
        <v>-3.343</v>
      </c>
      <c r="AO83" s="1242">
        <f t="shared" si="167"/>
        <v>-0.49597640440103025</v>
      </c>
      <c r="AP83" s="1291"/>
      <c r="AQ83" s="951"/>
      <c r="AR83" s="256">
        <v>-5.3479999999999999</v>
      </c>
      <c r="AS83" s="1242">
        <f t="shared" si="168"/>
        <v>-0.69538533553512683</v>
      </c>
      <c r="AT83" s="951"/>
      <c r="AU83" s="951"/>
      <c r="AV83" s="1217">
        <v>-16.132999999999999</v>
      </c>
      <c r="AW83" s="1243">
        <f t="shared" si="169"/>
        <v>-1.6574460762406702</v>
      </c>
      <c r="AX83" s="1158"/>
      <c r="AY83" s="951"/>
      <c r="AZ83" s="1217">
        <v>-10.654</v>
      </c>
      <c r="BA83" s="1243">
        <f t="shared" si="170"/>
        <v>-1.0703224127763584</v>
      </c>
      <c r="BB83" s="1158"/>
      <c r="BC83" s="1158"/>
      <c r="BD83" s="1217">
        <v>-2.9049999999999998</v>
      </c>
      <c r="BE83" s="1243">
        <f t="shared" si="171"/>
        <v>-0.32074178023281102</v>
      </c>
      <c r="BF83" s="1158"/>
      <c r="BG83" s="1158"/>
      <c r="BH83" s="1217">
        <f>-1.611+0.715</f>
        <v>-0.89600000000000002</v>
      </c>
      <c r="BI83" s="1243">
        <f t="shared" si="172"/>
        <v>-9.3745324504253588E-2</v>
      </c>
      <c r="BJ83" s="1158"/>
      <c r="BK83" s="1158"/>
      <c r="BL83" s="1217">
        <v>-1.0269999999999999</v>
      </c>
      <c r="BM83" s="1243">
        <f t="shared" si="173"/>
        <v>-0.11328238751180254</v>
      </c>
      <c r="BN83" s="1158"/>
      <c r="BO83" s="1158"/>
      <c r="BP83" s="1217">
        <v>-0.33800000000000002</v>
      </c>
      <c r="BQ83" s="1243">
        <f t="shared" si="174"/>
        <v>-3.2865246654648489E-2</v>
      </c>
      <c r="BR83" s="1158"/>
      <c r="BS83" s="1158"/>
      <c r="BT83" s="1217">
        <v>-1.446</v>
      </c>
      <c r="BU83" s="1243">
        <f t="shared" si="175"/>
        <v>-0.1294477522552645</v>
      </c>
      <c r="BV83" s="1158"/>
      <c r="BW83" s="1158"/>
      <c r="BX83" s="1217">
        <f>-0.35-1.2</f>
        <v>-1.5499999999999998</v>
      </c>
      <c r="BY83" s="1243">
        <f t="shared" si="176"/>
        <v>-0.148794238687078</v>
      </c>
      <c r="BZ83" s="1158"/>
      <c r="CA83" s="1158"/>
      <c r="CB83" s="1217">
        <v>-1.552</v>
      </c>
      <c r="CC83" s="1243">
        <f t="shared" si="177"/>
        <v>-0.14479597482117418</v>
      </c>
      <c r="CD83" s="1158"/>
      <c r="CE83" s="1158"/>
      <c r="CF83" s="1217">
        <v>2.262</v>
      </c>
      <c r="CG83" s="1243">
        <f t="shared" si="178"/>
        <v>0.20455260673450121</v>
      </c>
      <c r="CH83" s="1158"/>
      <c r="CI83" s="1158"/>
      <c r="CJ83" s="1217">
        <v>-1.38</v>
      </c>
      <c r="CK83" s="1243">
        <f t="shared" si="179"/>
        <v>-0.1257694263638236</v>
      </c>
      <c r="CL83" s="1158"/>
      <c r="CM83" s="1158"/>
      <c r="CN83" s="1217">
        <v>-2.6120000000000001</v>
      </c>
      <c r="CO83" s="1243">
        <f t="shared" si="180"/>
        <v>-0.21257842491757706</v>
      </c>
      <c r="CP83" s="1158"/>
      <c r="CQ83" s="1158"/>
      <c r="CR83" s="1217">
        <v>-0.5</v>
      </c>
      <c r="CS83" s="1243">
        <f t="shared" si="181"/>
        <v>-4.2872543644003926E-2</v>
      </c>
      <c r="CT83" s="1158"/>
      <c r="CU83" s="1243"/>
      <c r="CV83" s="1158"/>
      <c r="CW83" s="1243"/>
      <c r="CX83" s="1243"/>
      <c r="CY83" s="1158"/>
      <c r="CZ83" s="1158"/>
      <c r="DA83" s="1158"/>
      <c r="DB83" s="1158"/>
      <c r="DC83" s="1158"/>
      <c r="DD83" s="1158"/>
      <c r="DE83" s="1158"/>
      <c r="DF83" s="951"/>
      <c r="DG83" s="951"/>
      <c r="DH83" s="951"/>
      <c r="DI83" s="951"/>
      <c r="DJ83" s="951"/>
      <c r="DK83" s="951"/>
      <c r="DL83" s="951"/>
      <c r="DM83" s="951"/>
      <c r="DN83" s="951"/>
      <c r="DO83" s="951"/>
      <c r="DP83" s="951"/>
      <c r="DQ83" s="951"/>
      <c r="DR83" s="951"/>
      <c r="DS83" s="951"/>
      <c r="DT83" s="951"/>
      <c r="DU83" s="951"/>
      <c r="DV83" s="951"/>
      <c r="DW83" s="951"/>
      <c r="DX83" s="951"/>
      <c r="DY83" s="951"/>
    </row>
    <row r="84" spans="1:129" ht="12.75" outlineLevel="2">
      <c r="A84" s="1167" t="s">
        <v>762</v>
      </c>
      <c r="B84" s="951"/>
      <c r="C84" s="1222">
        <f>SUM(C80:C83)</f>
        <v>1.3660000000000001</v>
      </c>
      <c r="D84" s="1241">
        <f t="shared" si="158"/>
        <v>0.40138339166027576</v>
      </c>
      <c r="E84" s="1241"/>
      <c r="F84" s="951"/>
      <c r="G84" s="1222">
        <f>SUM(G80:G83)</f>
        <v>-0.97299999999999986</v>
      </c>
      <c r="H84" s="1242">
        <f t="shared" si="159"/>
        <v>-0.29809683704856554</v>
      </c>
      <c r="I84" s="1241"/>
      <c r="J84" s="951"/>
      <c r="K84" s="1222">
        <f>SUM(K80:K83)</f>
        <v>-1.1579999999999999</v>
      </c>
      <c r="L84" s="1242">
        <f t="shared" si="160"/>
        <v>-0.28542343972216816</v>
      </c>
      <c r="M84" s="1242"/>
      <c r="N84" s="951"/>
      <c r="O84" s="1222">
        <f>SUM(O80:O83)</f>
        <v>-2.4359999999999999</v>
      </c>
      <c r="P84" s="1242">
        <f t="shared" si="161"/>
        <v>-0.4145677331518039</v>
      </c>
      <c r="Q84" s="1242"/>
      <c r="R84" s="951"/>
      <c r="S84" s="1222">
        <f>SUM(S80:S83)</f>
        <v>0.1599999999999997</v>
      </c>
      <c r="T84" s="1242">
        <f t="shared" si="162"/>
        <v>1.9228365685058559E-2</v>
      </c>
      <c r="U84" s="1242"/>
      <c r="V84" s="951"/>
      <c r="W84" s="1283">
        <f>SUM(W80:W83)</f>
        <v>-6.2490000000000006</v>
      </c>
      <c r="X84" s="1242">
        <f t="shared" si="163"/>
        <v>-0.57147978421128209</v>
      </c>
      <c r="Y84" s="1242"/>
      <c r="Z84" s="1242"/>
      <c r="AA84" s="951"/>
      <c r="AB84" s="1283">
        <f>SUM(AB80:AB83)</f>
        <v>-2.7719999999999998</v>
      </c>
      <c r="AC84" s="1242">
        <f t="shared" si="164"/>
        <v>-0.20205569068860021</v>
      </c>
      <c r="AD84" s="1242"/>
      <c r="AE84" s="951"/>
      <c r="AF84" s="1283">
        <f>SUM(AF80:AF83)</f>
        <v>-2.528</v>
      </c>
      <c r="AG84" s="1242">
        <f t="shared" si="165"/>
        <v>-0.17277897345505319</v>
      </c>
      <c r="AH84" s="1242"/>
      <c r="AI84" s="951"/>
      <c r="AJ84" s="1283">
        <f>SUM(AJ80:AJ83)</f>
        <v>-2.1069999999999998</v>
      </c>
      <c r="AK84" s="1242">
        <f t="shared" si="166"/>
        <v>-0.14109756089394379</v>
      </c>
      <c r="AL84" s="1242"/>
      <c r="AM84" s="951"/>
      <c r="AN84" s="1283">
        <f>SUM(AN80:AN83)</f>
        <v>-4.1289999999999996</v>
      </c>
      <c r="AO84" s="1242">
        <f t="shared" si="167"/>
        <v>-0.21948277759202567</v>
      </c>
      <c r="AP84" s="1242"/>
      <c r="AQ84" s="951"/>
      <c r="AR84" s="1297">
        <f>SUM(AR80:AR83)</f>
        <v>-18.279</v>
      </c>
      <c r="AS84" s="1242">
        <f t="shared" si="168"/>
        <v>-0.78722218537598809</v>
      </c>
      <c r="AT84" s="1242"/>
      <c r="AU84" s="951"/>
      <c r="AV84" s="1297">
        <f>SUM(AV80:AV83)</f>
        <v>-42.277999999999992</v>
      </c>
      <c r="AW84" s="1243">
        <f t="shared" si="169"/>
        <v>-1.5129496075914441</v>
      </c>
      <c r="AX84" s="1243"/>
      <c r="AY84" s="951"/>
      <c r="AZ84" s="1297">
        <f>SUM(AZ80:AZ83)</f>
        <v>-37.626000000000005</v>
      </c>
      <c r="BA84" s="1243">
        <f t="shared" si="170"/>
        <v>-1.231451398318856</v>
      </c>
      <c r="BB84" s="1243"/>
      <c r="BC84" s="951"/>
      <c r="BD84" s="1297">
        <f>SUM(BD80:BD83)</f>
        <v>-17.805999999999997</v>
      </c>
      <c r="BE84" s="1243">
        <f t="shared" si="171"/>
        <v>-0.59574433915739278</v>
      </c>
      <c r="BF84" s="1243"/>
      <c r="BG84" s="1243"/>
      <c r="BH84" s="1297">
        <f>SUM(BH80:BH83)</f>
        <v>3.2679999999999998</v>
      </c>
      <c r="BI84" s="1243">
        <f t="shared" si="172"/>
        <v>0.11114629307726606</v>
      </c>
      <c r="BJ84" s="1243"/>
      <c r="BK84" s="1243"/>
      <c r="BL84" s="1297">
        <f>SUM(BL80:BL83)</f>
        <v>-2.024</v>
      </c>
      <c r="BM84" s="1243">
        <f t="shared" si="173"/>
        <v>-6.8719795035741771E-2</v>
      </c>
      <c r="BN84" s="1243"/>
      <c r="BO84" s="1243"/>
      <c r="BP84" s="1297">
        <f>SUM(BP80:BP83)</f>
        <v>-5.8739999999999997</v>
      </c>
      <c r="BQ84" s="1243">
        <f t="shared" si="174"/>
        <v>-0.1882653085753021</v>
      </c>
      <c r="BR84" s="1243"/>
      <c r="BS84" s="1243"/>
      <c r="BT84" s="1297">
        <f>SUM(BT80:BT83)</f>
        <v>-7.4320000000000004</v>
      </c>
      <c r="BU84" s="1243">
        <f t="shared" si="175"/>
        <v>-0.21382115552036626</v>
      </c>
      <c r="BV84" s="1243"/>
      <c r="BW84" s="1243"/>
      <c r="BX84" s="1297">
        <f>SUM(BX80:BX83)</f>
        <v>-2.5369999999999999</v>
      </c>
      <c r="BY84" s="1243">
        <f t="shared" si="176"/>
        <v>-7.6743858222603767E-2</v>
      </c>
      <c r="BZ84" s="1243"/>
      <c r="CA84" s="1243"/>
      <c r="CB84" s="1297">
        <f>SUM(CB80:CB83)</f>
        <v>-3.6080000000000001</v>
      </c>
      <c r="CC84" s="1243">
        <f t="shared" si="177"/>
        <v>-0.10990393457913462</v>
      </c>
      <c r="CD84" s="1243"/>
      <c r="CE84" s="1243"/>
      <c r="CF84" s="1297">
        <f>SUM(CF80:CF83)</f>
        <v>-1.9919999999999995</v>
      </c>
      <c r="CG84" s="1243">
        <f t="shared" si="178"/>
        <v>-5.6561214453321088E-2</v>
      </c>
      <c r="CH84" s="1243"/>
      <c r="CI84" s="1243"/>
      <c r="CJ84" s="1297">
        <f>SUM(CJ80:CJ83)</f>
        <v>-3.7839999999999998</v>
      </c>
      <c r="CK84" s="1243">
        <f t="shared" si="179"/>
        <v>-0.104823864604355</v>
      </c>
      <c r="CL84" s="1243"/>
      <c r="CM84" s="1243"/>
      <c r="CN84" s="1297">
        <f>SUM(CN80:CN83)</f>
        <v>7.6509999999999998</v>
      </c>
      <c r="CO84" s="1243">
        <f t="shared" si="180"/>
        <v>0.20157821701155745</v>
      </c>
      <c r="CP84" s="1243"/>
      <c r="CQ84" s="1243"/>
      <c r="CR84" s="1297">
        <f>SUM(CR80:CR83)</f>
        <v>-2</v>
      </c>
      <c r="CS84" s="1243">
        <f t="shared" si="181"/>
        <v>-5.1997600201559691E-2</v>
      </c>
      <c r="CT84" s="1243"/>
      <c r="CU84" s="1158"/>
      <c r="CV84" s="1243"/>
      <c r="CW84" s="1158"/>
      <c r="CX84" s="1158"/>
      <c r="CY84" s="1243"/>
      <c r="CZ84" s="1243"/>
      <c r="DA84" s="1243"/>
      <c r="DB84" s="1242"/>
      <c r="DC84" s="1321"/>
      <c r="DD84" s="1321"/>
      <c r="DE84" s="1242"/>
      <c r="DF84" s="1242"/>
      <c r="DG84" s="1242"/>
      <c r="DH84" s="951"/>
      <c r="DI84" s="951"/>
      <c r="DJ84" s="951"/>
      <c r="DK84" s="951"/>
      <c r="DL84" s="951"/>
      <c r="DM84" s="951"/>
      <c r="DN84" s="951"/>
      <c r="DO84" s="951"/>
      <c r="DP84" s="951"/>
      <c r="DQ84" s="951"/>
      <c r="DR84" s="951"/>
      <c r="DS84" s="951"/>
      <c r="DT84" s="951"/>
      <c r="DU84" s="951"/>
      <c r="DV84" s="951"/>
      <c r="DW84" s="951"/>
      <c r="DX84" s="951"/>
      <c r="DY84" s="951"/>
    </row>
    <row r="85" spans="1:129" ht="12.75" hidden="1" customHeight="1" outlineLevel="3">
      <c r="A85" s="1167" t="s">
        <v>769</v>
      </c>
      <c r="B85" s="951"/>
      <c r="C85" s="1226">
        <f>C80+C81</f>
        <v>0.68300000000000005</v>
      </c>
      <c r="D85" s="1241">
        <f t="shared" si="158"/>
        <v>0.60041844682384793</v>
      </c>
      <c r="E85" s="1241" t="s">
        <v>91</v>
      </c>
      <c r="F85" s="951"/>
      <c r="G85" s="1226">
        <f>G80+G81</f>
        <v>-0.58899999999999997</v>
      </c>
      <c r="H85" s="1242">
        <f t="shared" si="159"/>
        <v>-0.47251169245826408</v>
      </c>
      <c r="I85" s="1241"/>
      <c r="J85" s="951"/>
      <c r="K85" s="1226">
        <f>K80+K81</f>
        <v>-0.39900000000000002</v>
      </c>
      <c r="L85" s="1242">
        <f t="shared" si="160"/>
        <v>-0.27122376980647267</v>
      </c>
      <c r="M85" s="951"/>
      <c r="N85" s="951"/>
      <c r="O85" s="1226">
        <f>O80+O81</f>
        <v>-1.0830000000000002</v>
      </c>
      <c r="P85" s="1242">
        <f t="shared" si="161"/>
        <v>-0.48042586226017525</v>
      </c>
      <c r="Q85" s="951"/>
      <c r="R85" s="951"/>
      <c r="S85" s="1226">
        <f>S80+S81</f>
        <v>-1.5190000000000001</v>
      </c>
      <c r="T85" s="1242">
        <f t="shared" si="162"/>
        <v>-0.46884741933293417</v>
      </c>
      <c r="U85" s="951"/>
      <c r="V85" s="951"/>
      <c r="W85" s="1226">
        <f>W80+W81</f>
        <v>-2.661</v>
      </c>
      <c r="X85" s="1242">
        <f t="shared" si="163"/>
        <v>-0.68763954353758372</v>
      </c>
      <c r="Y85" s="951"/>
      <c r="Z85" s="951"/>
      <c r="AA85" s="951"/>
      <c r="AB85" s="1226">
        <f>AB80+AB81</f>
        <v>-1.845</v>
      </c>
      <c r="AC85" s="1242">
        <f t="shared" si="164"/>
        <v>-0.33919182262749564</v>
      </c>
      <c r="AD85" s="951"/>
      <c r="AE85" s="951"/>
      <c r="AF85" s="1226">
        <f>AF80+AF81</f>
        <v>-0.85699999999999998</v>
      </c>
      <c r="AG85" s="1242">
        <f t="shared" si="165"/>
        <v>-0.14352873003033029</v>
      </c>
      <c r="AH85" s="951"/>
      <c r="AI85" s="951"/>
      <c r="AJ85" s="1226">
        <f>AJ80+AJ81</f>
        <v>-1.155</v>
      </c>
      <c r="AK85" s="1242">
        <f t="shared" si="166"/>
        <v>-0.18365020281024561</v>
      </c>
      <c r="AL85" s="951"/>
      <c r="AM85" s="951"/>
      <c r="AN85" s="1226">
        <f>AN80+AN81</f>
        <v>-1.431</v>
      </c>
      <c r="AO85" s="1242">
        <f t="shared" si="167"/>
        <v>-0.19666534731842469</v>
      </c>
      <c r="AP85" s="951"/>
      <c r="AQ85" s="951"/>
      <c r="AR85" s="1226">
        <f>AR80+AR81</f>
        <v>-8.3889999999999993</v>
      </c>
      <c r="AS85" s="1242">
        <f t="shared" si="168"/>
        <v>-0.86275961721405459</v>
      </c>
      <c r="AT85" s="951"/>
      <c r="AU85" s="951"/>
      <c r="AV85" s="1166">
        <f>AV80+AV81</f>
        <v>-17.064999999999998</v>
      </c>
      <c r="AW85" s="1243">
        <f t="shared" si="169"/>
        <v>-1.5172206544720002</v>
      </c>
      <c r="AX85" s="1158"/>
      <c r="AY85" s="951"/>
      <c r="AZ85" s="1166">
        <f>AZ80+AZ81</f>
        <v>-20.067</v>
      </c>
      <c r="BA85" s="1243">
        <f t="shared" si="170"/>
        <v>-1.5253406305227755</v>
      </c>
      <c r="BB85" s="1158"/>
      <c r="BC85" s="951"/>
      <c r="BD85" s="1166">
        <f>BD80+BD81</f>
        <v>-10.433</v>
      </c>
      <c r="BE85" s="1243">
        <f t="shared" si="171"/>
        <v>-0.78495723100374148</v>
      </c>
      <c r="BF85" s="1158"/>
      <c r="BG85" s="1158"/>
      <c r="BH85" s="1166">
        <f>BH80+BH81</f>
        <v>3.7129999999999996</v>
      </c>
      <c r="BI85" s="1243">
        <f t="shared" si="172"/>
        <v>0.29740235502936779</v>
      </c>
      <c r="BJ85" s="1158"/>
      <c r="BK85" s="1158"/>
      <c r="BL85" s="1166">
        <f>BL80+BL81</f>
        <v>0.98899999999999988</v>
      </c>
      <c r="BM85" s="1243">
        <f t="shared" si="173"/>
        <v>7.6437886295359386E-2</v>
      </c>
      <c r="BN85" s="1158"/>
      <c r="BO85" s="1158"/>
      <c r="BP85" s="1166">
        <f>BP80+BP81</f>
        <v>-5.9429999999999996</v>
      </c>
      <c r="BQ85" s="1243">
        <f t="shared" si="174"/>
        <v>-0.4671420621221124</v>
      </c>
      <c r="BR85" s="1158"/>
      <c r="BS85" s="1158"/>
      <c r="BT85" s="1166">
        <f>BT80+BT81</f>
        <v>-3.1640000000000001</v>
      </c>
      <c r="BU85" s="1243">
        <f t="shared" si="175"/>
        <v>-0.21845171312678005</v>
      </c>
      <c r="BV85" s="1158"/>
      <c r="BW85" s="1158"/>
      <c r="BX85" s="1166">
        <f>BX80+BX81</f>
        <v>-0.46699999999999997</v>
      </c>
      <c r="BY85" s="1243">
        <f t="shared" si="176"/>
        <v>-3.3196141570525806E-2</v>
      </c>
      <c r="BZ85" s="1158"/>
      <c r="CA85" s="1158"/>
      <c r="CB85" s="1166">
        <f>CB80+CB81</f>
        <v>-1.536</v>
      </c>
      <c r="CC85" s="1243">
        <f t="shared" si="177"/>
        <v>-0.11321388874966462</v>
      </c>
      <c r="CD85" s="1158"/>
      <c r="CE85" s="1158"/>
      <c r="CF85" s="1166">
        <f>CF80+CF81</f>
        <v>-3.7329999999999997</v>
      </c>
      <c r="CG85" s="1243">
        <f t="shared" si="178"/>
        <v>-0.2493740597535786</v>
      </c>
      <c r="CH85" s="1158"/>
      <c r="CI85" s="1158"/>
      <c r="CJ85" s="1166">
        <f>CJ80+CJ81</f>
        <v>-1.8009999999999997</v>
      </c>
      <c r="CK85" s="1243">
        <f t="shared" si="179"/>
        <v>-0.11456670122963591</v>
      </c>
      <c r="CL85" s="1158"/>
      <c r="CM85" s="1158"/>
      <c r="CN85" s="1166">
        <f>CN80+CN81</f>
        <v>-2.98</v>
      </c>
      <c r="CO85" s="1243">
        <f t="shared" si="180"/>
        <v>-0.18550877649491748</v>
      </c>
      <c r="CP85" s="1158"/>
      <c r="CQ85" s="1158"/>
      <c r="CR85" s="1166">
        <f>CR80+CR81</f>
        <v>-1</v>
      </c>
      <c r="CS85" s="1243">
        <f t="shared" si="181"/>
        <v>-5.8149335061325344E-2</v>
      </c>
      <c r="CT85" s="1158"/>
      <c r="CU85" s="1158"/>
      <c r="CV85" s="1158"/>
      <c r="CW85" s="1158"/>
      <c r="CX85" s="1158"/>
      <c r="CY85" s="1158"/>
      <c r="CZ85" s="1158"/>
      <c r="DA85" s="1158"/>
      <c r="DB85" s="951"/>
      <c r="DC85" s="951"/>
      <c r="DD85" s="951"/>
      <c r="DE85" s="951"/>
      <c r="DF85" s="951"/>
      <c r="DG85" s="951"/>
      <c r="DH85" s="951"/>
      <c r="DI85" s="951"/>
      <c r="DJ85" s="951"/>
      <c r="DK85" s="951"/>
      <c r="DL85" s="951"/>
      <c r="DM85" s="951"/>
      <c r="DN85" s="951"/>
      <c r="DO85" s="951"/>
      <c r="DP85" s="951"/>
      <c r="DQ85" s="951"/>
      <c r="DR85" s="951"/>
      <c r="DS85" s="951"/>
      <c r="DT85" s="951"/>
      <c r="DU85" s="951"/>
      <c r="DV85" s="951"/>
      <c r="DW85" s="951"/>
      <c r="DX85" s="951"/>
      <c r="DY85" s="951"/>
    </row>
    <row r="86" spans="1:129" ht="12.75" hidden="1" customHeight="1" outlineLevel="3">
      <c r="A86" s="1167" t="s">
        <v>770</v>
      </c>
      <c r="B86" s="951"/>
      <c r="C86" s="1226">
        <f>C80+C81+C82</f>
        <v>1.0245000000000002</v>
      </c>
      <c r="D86" s="1241">
        <f t="shared" si="158"/>
        <v>0.51317628319116015</v>
      </c>
      <c r="E86" s="1241" t="s">
        <v>91</v>
      </c>
      <c r="F86" s="951"/>
      <c r="G86" s="1226">
        <f>G80+G81+G82</f>
        <v>-0.79999999999999993</v>
      </c>
      <c r="H86" s="1242">
        <f t="shared" si="159"/>
        <v>-0.39312232492542953</v>
      </c>
      <c r="I86" s="1241"/>
      <c r="J86" s="951"/>
      <c r="K86" s="1226">
        <f>K80+K81+K82</f>
        <v>-0.66900000000000004</v>
      </c>
      <c r="L86" s="1242">
        <f t="shared" si="160"/>
        <v>-0.26546249598235017</v>
      </c>
      <c r="M86" s="951"/>
      <c r="N86" s="951"/>
      <c r="O86" s="1226">
        <f>O80+O81+O82</f>
        <v>-1.6760000000000002</v>
      </c>
      <c r="P86" s="1242">
        <f t="shared" si="161"/>
        <v>-0.44753840525724109</v>
      </c>
      <c r="Q86" s="951"/>
      <c r="R86" s="951"/>
      <c r="S86" s="1226">
        <f>S80+S81+S82</f>
        <v>-2.6720000000000002</v>
      </c>
      <c r="T86" s="1242">
        <f t="shared" si="162"/>
        <v>-0.48876946068899668</v>
      </c>
      <c r="U86" s="951"/>
      <c r="V86" s="951"/>
      <c r="W86" s="1226">
        <f>W80+W81+W82</f>
        <v>-3.847</v>
      </c>
      <c r="X86" s="1242">
        <f t="shared" si="163"/>
        <v>-0.57439943381267144</v>
      </c>
      <c r="Y86" s="951"/>
      <c r="Z86" s="951"/>
      <c r="AA86" s="951"/>
      <c r="AB86" s="1226">
        <f>AB80+AB81+AB82</f>
        <v>-1.8979999999999999</v>
      </c>
      <c r="AC86" s="1242">
        <f t="shared" si="164"/>
        <v>-0.20912319207050689</v>
      </c>
      <c r="AD86" s="951"/>
      <c r="AE86" s="951"/>
      <c r="AF86" s="1226">
        <f>AF80+AF81+AF82</f>
        <v>-1.141</v>
      </c>
      <c r="AG86" s="1242">
        <f t="shared" si="165"/>
        <v>-0.11743672980391874</v>
      </c>
      <c r="AH86" s="951"/>
      <c r="AI86" s="951"/>
      <c r="AJ86" s="1226">
        <f>AJ80+AJ81+AJ82</f>
        <v>-1.6379999999999999</v>
      </c>
      <c r="AK86" s="1242">
        <f t="shared" si="166"/>
        <v>-0.1633568129664221</v>
      </c>
      <c r="AL86" s="951"/>
      <c r="AM86" s="951"/>
      <c r="AN86" s="1226">
        <f>AN80+AN81+AN82</f>
        <v>-0.78600000000000003</v>
      </c>
      <c r="AO86" s="1242">
        <f t="shared" si="167"/>
        <v>-6.5108427068207297E-2</v>
      </c>
      <c r="AP86" s="951"/>
      <c r="AQ86" s="951"/>
      <c r="AR86" s="1226">
        <f>AR80+AR81+AR82</f>
        <v>-12.930999999999999</v>
      </c>
      <c r="AS86" s="1242">
        <f t="shared" si="168"/>
        <v>-0.83270439927567386</v>
      </c>
      <c r="AT86" s="951"/>
      <c r="AU86" s="951"/>
      <c r="AV86" s="1166">
        <f>AV80+AV81+AV82</f>
        <v>-26.144999999999996</v>
      </c>
      <c r="AW86" s="1243">
        <f t="shared" si="169"/>
        <v>-1.435714897608185</v>
      </c>
      <c r="AX86" s="1158"/>
      <c r="AY86" s="951"/>
      <c r="AZ86" s="1166">
        <f>AZ80+AZ81+AZ82</f>
        <v>-26.972000000000001</v>
      </c>
      <c r="BA86" s="1243">
        <f t="shared" si="170"/>
        <v>-1.3093089477858932</v>
      </c>
      <c r="BB86" s="1158"/>
      <c r="BC86" s="951"/>
      <c r="BD86" s="1166">
        <f>BD80+BD81+BD82</f>
        <v>-14.900999999999998</v>
      </c>
      <c r="BE86" s="1243">
        <f t="shared" si="171"/>
        <v>-0.71530991722643489</v>
      </c>
      <c r="BF86" s="1158"/>
      <c r="BG86" s="1158"/>
      <c r="BH86" s="1166">
        <f>BH80+BH81+BH82</f>
        <v>4.1639999999999997</v>
      </c>
      <c r="BI86" s="1243">
        <f t="shared" si="172"/>
        <v>0.20982742148100672</v>
      </c>
      <c r="BJ86" s="1158"/>
      <c r="BK86" s="1158"/>
      <c r="BL86" s="1166">
        <f>BL80+BL81+BL82</f>
        <v>-0.99700000000000011</v>
      </c>
      <c r="BM86" s="1243">
        <f t="shared" si="173"/>
        <v>-4.8903473274766893E-2</v>
      </c>
      <c r="BN86" s="1158"/>
      <c r="BO86" s="1158"/>
      <c r="BP86" s="1166">
        <f>BP80+BP81+BP82</f>
        <v>-5.5359999999999996</v>
      </c>
      <c r="BQ86" s="1243">
        <f t="shared" si="174"/>
        <v>-0.26467484819204989</v>
      </c>
      <c r="BR86" s="1158"/>
      <c r="BS86" s="1158"/>
      <c r="BT86" s="1166">
        <f>BT80+BT81+BT82</f>
        <v>-5.9860000000000007</v>
      </c>
      <c r="BU86" s="1243">
        <f t="shared" si="175"/>
        <v>-0.25377859195700775</v>
      </c>
      <c r="BV86" s="1158"/>
      <c r="BW86" s="1158"/>
      <c r="BX86" s="1166">
        <f>BX80+BX81+BX82</f>
        <v>-0.98699999999999999</v>
      </c>
      <c r="BY86" s="1243">
        <f t="shared" si="176"/>
        <v>-4.359357712463479E-2</v>
      </c>
      <c r="BZ86" s="1158"/>
      <c r="CA86" s="1158"/>
      <c r="CB86" s="1166">
        <f>CB80+CB81+CB82</f>
        <v>-2.056</v>
      </c>
      <c r="CC86" s="1243">
        <f t="shared" si="177"/>
        <v>-9.2989008662993533E-2</v>
      </c>
      <c r="CD86" s="1158"/>
      <c r="CE86" s="1158"/>
      <c r="CF86" s="1166">
        <f>CF80+CF81+CF82</f>
        <v>-4.2539999999999996</v>
      </c>
      <c r="CG86" s="1243">
        <f t="shared" si="178"/>
        <v>-0.17607470136836614</v>
      </c>
      <c r="CH86" s="1158"/>
      <c r="CI86" s="1158"/>
      <c r="CJ86" s="1166">
        <f>CJ80+CJ81+CJ82</f>
        <v>-2.4039999999999999</v>
      </c>
      <c r="CK86" s="1243">
        <f t="shared" si="179"/>
        <v>-9.5677060469573777E-2</v>
      </c>
      <c r="CL86" s="1158"/>
      <c r="CM86" s="1158"/>
      <c r="CN86" s="1166">
        <f>CN80+CN81+CN82</f>
        <v>10.263</v>
      </c>
      <c r="CO86" s="1243">
        <f t="shared" si="180"/>
        <v>0.39983232209740749</v>
      </c>
      <c r="CP86" s="1158"/>
      <c r="CQ86" s="1158"/>
      <c r="CR86" s="1166">
        <f>CR80+CR81+CR82</f>
        <v>-1.5</v>
      </c>
      <c r="CS86" s="1243">
        <f t="shared" si="181"/>
        <v>-5.5968399602110849E-2</v>
      </c>
      <c r="CT86" s="1158"/>
      <c r="CU86" s="1158"/>
      <c r="CV86" s="1158"/>
      <c r="CW86" s="1158"/>
      <c r="CX86" s="1158"/>
      <c r="CY86" s="1158"/>
      <c r="CZ86" s="1158"/>
      <c r="DA86" s="1158"/>
      <c r="DB86" s="951"/>
      <c r="DC86" s="951"/>
      <c r="DD86" s="951"/>
      <c r="DE86" s="951"/>
      <c r="DF86" s="951"/>
      <c r="DG86" s="951"/>
      <c r="DH86" s="951"/>
      <c r="DI86" s="951"/>
      <c r="DJ86" s="951"/>
      <c r="DK86" s="951"/>
      <c r="DL86" s="951"/>
      <c r="DM86" s="951"/>
      <c r="DN86" s="951"/>
      <c r="DO86" s="951"/>
      <c r="DP86" s="951"/>
      <c r="DQ86" s="951"/>
      <c r="DR86" s="951"/>
      <c r="DS86" s="951"/>
      <c r="DT86" s="951"/>
      <c r="DU86" s="951"/>
      <c r="DV86" s="951"/>
      <c r="DW86" s="951"/>
      <c r="DX86" s="951"/>
      <c r="DY86" s="951"/>
    </row>
    <row r="87" spans="1:129" ht="12.75" outlineLevel="2" collapsed="1">
      <c r="A87" s="1167"/>
      <c r="B87" s="951"/>
      <c r="C87" s="1226"/>
      <c r="D87" s="1241"/>
      <c r="E87" s="1241"/>
      <c r="F87" s="951"/>
      <c r="G87" s="1226"/>
      <c r="H87" s="1241"/>
      <c r="I87" s="1241"/>
      <c r="J87" s="951"/>
      <c r="K87" s="1226"/>
      <c r="L87" s="1322"/>
      <c r="M87" s="951"/>
      <c r="N87" s="951"/>
      <c r="O87" s="1226"/>
      <c r="P87" s="1322"/>
      <c r="Q87" s="951"/>
      <c r="R87" s="951"/>
      <c r="S87" s="1226"/>
      <c r="T87" s="1322"/>
      <c r="U87" s="951"/>
      <c r="V87" s="951"/>
      <c r="W87" s="1226"/>
      <c r="X87" s="1322"/>
      <c r="Y87" s="951"/>
      <c r="Z87" s="951"/>
      <c r="AA87" s="951"/>
      <c r="AB87" s="951"/>
      <c r="AC87" s="951"/>
      <c r="AD87" s="951"/>
      <c r="AE87" s="951"/>
      <c r="AF87" s="951"/>
      <c r="AG87" s="951"/>
      <c r="AH87" s="951"/>
      <c r="AI87" s="951"/>
      <c r="AJ87" s="951"/>
      <c r="AK87" s="951"/>
      <c r="AL87" s="951"/>
      <c r="AM87" s="951"/>
      <c r="AN87" s="951"/>
      <c r="AO87" s="951"/>
      <c r="AP87" s="951"/>
      <c r="AQ87" s="951"/>
      <c r="AR87" s="1323"/>
      <c r="AS87" s="1158"/>
      <c r="AT87" s="1158"/>
      <c r="AU87" s="951"/>
      <c r="AV87" s="1166"/>
      <c r="AW87" s="1158"/>
      <c r="AX87" s="1158"/>
      <c r="AY87" s="951"/>
      <c r="AZ87" s="1158"/>
      <c r="BA87" s="1158"/>
      <c r="BB87" s="1158"/>
      <c r="BC87" s="951"/>
      <c r="BD87" s="1160"/>
      <c r="BE87" s="1158"/>
      <c r="BF87" s="1158"/>
      <c r="BG87" s="1158"/>
      <c r="BH87" s="1160"/>
      <c r="BI87" s="1158"/>
      <c r="BJ87" s="1158"/>
      <c r="BK87" s="1158"/>
      <c r="BL87" s="1160"/>
      <c r="BM87" s="1158"/>
      <c r="BN87" s="1158"/>
      <c r="BO87" s="1158"/>
      <c r="BP87" s="1160"/>
      <c r="BQ87" s="1158"/>
      <c r="BR87" s="1158"/>
      <c r="BS87" s="1158"/>
      <c r="BT87" s="1160"/>
      <c r="BU87" s="1158"/>
      <c r="BV87" s="1158"/>
      <c r="BW87" s="1158"/>
      <c r="BX87" s="1158"/>
      <c r="BY87" s="1158"/>
      <c r="BZ87" s="1158"/>
      <c r="CA87" s="1158"/>
      <c r="CB87" s="1158"/>
      <c r="CC87" s="1158"/>
      <c r="CD87" s="1158"/>
      <c r="CE87" s="1158"/>
      <c r="CF87" s="1158"/>
      <c r="CG87" s="1158"/>
      <c r="CH87" s="1158"/>
      <c r="CI87" s="1158"/>
      <c r="CJ87" s="1158"/>
      <c r="CK87" s="1158"/>
      <c r="CL87" s="1158"/>
      <c r="CM87" s="1158"/>
      <c r="CN87" s="1158"/>
      <c r="CO87" s="1158"/>
      <c r="CP87" s="1158"/>
      <c r="CQ87" s="1158"/>
      <c r="CR87" s="1158"/>
      <c r="CS87" s="1158"/>
      <c r="CT87" s="1158"/>
      <c r="CU87" s="1185"/>
      <c r="CV87" s="1158"/>
      <c r="CW87" s="1185"/>
      <c r="CX87" s="1185"/>
      <c r="CY87" s="1158"/>
      <c r="CZ87" s="1158"/>
      <c r="DA87" s="1158"/>
      <c r="DB87" s="951"/>
      <c r="DC87" s="951"/>
      <c r="DD87" s="951"/>
      <c r="DE87" s="951"/>
      <c r="DF87" s="951"/>
      <c r="DG87" s="951"/>
      <c r="DH87" s="951"/>
      <c r="DI87" s="951"/>
      <c r="DJ87" s="951"/>
      <c r="DK87" s="951"/>
      <c r="DL87" s="951"/>
      <c r="DM87" s="951"/>
      <c r="DN87" s="951"/>
      <c r="DO87" s="951"/>
      <c r="DP87" s="951"/>
      <c r="DQ87" s="951"/>
      <c r="DR87" s="951"/>
      <c r="DS87" s="951"/>
      <c r="DT87" s="951"/>
      <c r="DU87" s="951"/>
      <c r="DV87" s="951"/>
      <c r="DW87" s="951"/>
      <c r="DX87" s="951"/>
      <c r="DY87" s="951"/>
    </row>
    <row r="88" spans="1:129" ht="12.75" outlineLevel="2">
      <c r="A88" s="1259"/>
      <c r="B88" s="1181"/>
      <c r="C88" s="1181"/>
      <c r="D88" s="1181"/>
      <c r="E88" s="1181"/>
      <c r="F88" s="1181"/>
      <c r="G88" s="1182"/>
      <c r="H88" s="1182"/>
      <c r="I88" s="1182"/>
      <c r="J88" s="1182"/>
      <c r="K88" s="1182"/>
      <c r="L88" s="1182"/>
      <c r="M88" s="1182"/>
      <c r="N88" s="1182"/>
      <c r="O88" s="1182"/>
      <c r="P88" s="1182"/>
      <c r="Q88" s="1182"/>
      <c r="R88" s="1182"/>
      <c r="S88" s="1259"/>
      <c r="T88" s="1182"/>
      <c r="U88" s="1182"/>
      <c r="V88" s="1182"/>
      <c r="W88" s="1259"/>
      <c r="X88" s="1182"/>
      <c r="Y88" s="1182"/>
      <c r="Z88" s="1182"/>
      <c r="AA88" s="1183"/>
      <c r="AB88" s="1182"/>
      <c r="AC88" s="1183"/>
      <c r="AD88" s="1183"/>
      <c r="AE88" s="1183"/>
      <c r="AF88" s="1182"/>
      <c r="AG88" s="1183"/>
      <c r="AH88" s="1183"/>
      <c r="AI88" s="1183"/>
      <c r="AJ88" s="1184"/>
      <c r="AK88" s="1183"/>
      <c r="AL88" s="1183"/>
      <c r="AM88" s="1183"/>
      <c r="AN88" s="1184"/>
      <c r="AO88" s="1183"/>
      <c r="AP88" s="1183"/>
      <c r="AQ88" s="1183"/>
      <c r="AR88" s="1184"/>
      <c r="AS88" s="1183"/>
      <c r="AT88" s="1183"/>
      <c r="AU88" s="1183"/>
      <c r="AW88" s="1185"/>
      <c r="AX88" s="1185"/>
      <c r="AY88" s="1183"/>
      <c r="AZ88" s="1186"/>
      <c r="BA88" s="1185"/>
      <c r="BB88" s="1185"/>
      <c r="BC88" s="1183"/>
      <c r="BD88" s="1186"/>
      <c r="BE88" s="1185"/>
      <c r="BF88" s="1185"/>
      <c r="BG88" s="1185"/>
      <c r="BH88" s="1186"/>
      <c r="BI88" s="1185"/>
      <c r="BJ88" s="1185"/>
      <c r="BK88" s="1185"/>
      <c r="BL88" s="1186"/>
      <c r="BM88" s="1185"/>
      <c r="BN88" s="1185"/>
      <c r="BO88" s="1185"/>
      <c r="BP88" s="1186"/>
      <c r="BQ88" s="1185"/>
      <c r="BR88" s="1182" t="s">
        <v>431</v>
      </c>
      <c r="BS88" s="1185"/>
      <c r="BT88" s="1186"/>
      <c r="BU88" s="1185"/>
      <c r="BV88" s="1185"/>
      <c r="BW88" s="1185"/>
      <c r="BX88" s="1185"/>
      <c r="BY88" s="1185"/>
      <c r="BZ88" s="1185"/>
      <c r="CA88" s="1187"/>
      <c r="CB88" s="1185"/>
      <c r="CC88" s="1185"/>
      <c r="CD88" s="1185"/>
      <c r="CE88" s="1187"/>
      <c r="CF88" s="1185"/>
      <c r="CG88" s="1182" t="s">
        <v>431</v>
      </c>
      <c r="CH88" s="1185"/>
      <c r="CI88" s="1187"/>
      <c r="CJ88" s="1185"/>
      <c r="CK88" s="1185"/>
      <c r="CL88" s="1185"/>
      <c r="CM88" s="1187"/>
      <c r="CN88" s="1185"/>
      <c r="CO88" s="1185"/>
      <c r="CP88" s="1185"/>
      <c r="CQ88" s="1185"/>
      <c r="CR88" s="1185"/>
      <c r="CS88" s="1185"/>
      <c r="CT88" s="1185"/>
      <c r="CU88" s="1325"/>
      <c r="CV88" s="1185"/>
      <c r="CW88" s="1325"/>
      <c r="CX88" s="1325"/>
      <c r="CY88" s="1185"/>
      <c r="CZ88" s="1185"/>
      <c r="DA88" s="1185"/>
      <c r="DB88" s="1183"/>
      <c r="DC88" s="1183"/>
      <c r="DD88" s="1183"/>
      <c r="DE88" s="1183"/>
      <c r="DF88" s="1183"/>
      <c r="DG88" s="1183"/>
      <c r="DH88" s="1259"/>
      <c r="DI88" s="1259"/>
      <c r="DJ88" s="1259"/>
      <c r="DK88" s="1259"/>
      <c r="DL88" s="1259"/>
      <c r="DM88" s="1259"/>
      <c r="DN88" s="1259"/>
      <c r="DO88" s="1259"/>
      <c r="DP88" s="1259"/>
      <c r="DQ88" s="1259"/>
      <c r="DR88" s="1259"/>
      <c r="DS88" s="1259"/>
      <c r="DT88" s="1259"/>
      <c r="DU88" s="1259"/>
      <c r="DV88" s="1259"/>
      <c r="DW88" s="1259"/>
      <c r="DX88" s="1259"/>
      <c r="DY88" s="1259"/>
    </row>
    <row r="89" spans="1:129" ht="12.75" outlineLevel="1">
      <c r="A89" s="45"/>
      <c r="B89" s="1183"/>
      <c r="C89" s="1183"/>
      <c r="D89" s="1183"/>
      <c r="E89" s="1324"/>
      <c r="F89" s="1183"/>
      <c r="G89" s="1183"/>
      <c r="H89" s="1183"/>
      <c r="I89" s="1324"/>
      <c r="J89" s="1183"/>
      <c r="K89" s="1183"/>
      <c r="L89" s="1183"/>
      <c r="M89" s="1324"/>
      <c r="N89" s="45"/>
      <c r="O89" s="1183"/>
      <c r="P89" s="1183"/>
      <c r="Q89" s="1324"/>
      <c r="R89" s="45"/>
      <c r="S89" s="1183"/>
      <c r="T89" s="1183"/>
      <c r="U89" s="1324"/>
      <c r="V89" s="45"/>
      <c r="W89" s="1183"/>
      <c r="X89" s="1183"/>
      <c r="Y89" s="1324"/>
      <c r="Z89" s="1324"/>
      <c r="AA89" s="45"/>
      <c r="AB89" s="1183"/>
      <c r="AC89" s="1183"/>
      <c r="AD89" s="1324"/>
      <c r="AE89" s="45"/>
      <c r="AF89" s="1183"/>
      <c r="AG89" s="1183"/>
      <c r="AH89" s="1324"/>
      <c r="AI89" s="45"/>
      <c r="AJ89" s="1183"/>
      <c r="AK89" s="1183"/>
      <c r="AL89" s="1324"/>
      <c r="AM89" s="45"/>
      <c r="AN89" s="1183"/>
      <c r="AO89" s="1183"/>
      <c r="AP89" s="1324"/>
      <c r="AQ89" s="45"/>
      <c r="AR89" s="1183"/>
      <c r="AS89" s="1183"/>
      <c r="AT89" s="1324"/>
      <c r="AU89" s="45"/>
      <c r="AV89" s="1185"/>
      <c r="AW89" s="1185"/>
      <c r="AX89" s="1325"/>
      <c r="AY89" s="45"/>
      <c r="AZ89" s="1185"/>
      <c r="BA89" s="1185"/>
      <c r="BB89" s="1325"/>
      <c r="BC89" s="45"/>
      <c r="BD89" s="1185"/>
      <c r="BE89" s="1185"/>
      <c r="BF89" s="1325"/>
      <c r="BG89" s="1325"/>
      <c r="BH89" s="1185"/>
      <c r="BI89" s="1185"/>
      <c r="BJ89" s="1325"/>
      <c r="BK89" s="1325"/>
      <c r="BL89" s="1185"/>
      <c r="BM89" s="1185"/>
      <c r="BN89" s="1325"/>
      <c r="BO89" s="1325"/>
      <c r="BP89" s="1185"/>
      <c r="BQ89" s="1185"/>
      <c r="BR89" s="1325"/>
      <c r="BS89" s="1325"/>
      <c r="BT89" s="1185"/>
      <c r="BU89" s="1185"/>
      <c r="BV89" s="1325"/>
      <c r="BW89" s="1325"/>
      <c r="BX89" s="1325"/>
      <c r="BY89" s="1325"/>
      <c r="BZ89" s="1325"/>
      <c r="CA89" s="1325"/>
      <c r="CB89" s="1325"/>
      <c r="CC89" s="1325"/>
      <c r="CD89" s="1325"/>
      <c r="CE89" s="1325"/>
      <c r="CF89" s="1325"/>
      <c r="CG89" s="1325"/>
      <c r="CH89" s="1325"/>
      <c r="CI89" s="1325"/>
      <c r="CJ89" s="1325"/>
      <c r="CK89" s="1325"/>
      <c r="CL89" s="1325"/>
      <c r="CM89" s="1325"/>
      <c r="CN89" s="1325"/>
      <c r="CO89" s="1325"/>
      <c r="CP89" s="1325"/>
      <c r="CQ89" s="1325"/>
      <c r="CR89" s="1325"/>
      <c r="CS89" s="1325"/>
      <c r="CT89" s="1325"/>
      <c r="CU89" s="1271"/>
      <c r="CV89" s="1325"/>
      <c r="CW89" s="1271"/>
      <c r="CX89" s="1271"/>
      <c r="CY89" s="1325"/>
      <c r="CZ89" s="1325"/>
      <c r="DA89" s="1325"/>
      <c r="DB89" s="1324"/>
      <c r="DC89" s="1324"/>
      <c r="DD89" s="1324"/>
      <c r="DE89" s="1324"/>
      <c r="DF89" s="1324"/>
      <c r="DG89" s="1324"/>
      <c r="DH89" s="45"/>
      <c r="DI89" s="45"/>
      <c r="DJ89" s="45"/>
      <c r="DK89" s="45"/>
      <c r="DL89" s="45"/>
      <c r="DM89" s="45"/>
      <c r="DN89" s="45"/>
      <c r="DO89" s="45"/>
      <c r="DP89" s="45"/>
      <c r="DQ89" s="45"/>
      <c r="DR89" s="45"/>
      <c r="DS89" s="45"/>
      <c r="DT89" s="45"/>
      <c r="DU89" s="45"/>
      <c r="DV89" s="45"/>
      <c r="DW89" s="45"/>
      <c r="DX89" s="45"/>
      <c r="DY89" s="45"/>
    </row>
    <row r="90" spans="1:129" ht="12.75" outlineLevel="1">
      <c r="A90" s="1167" t="s">
        <v>734</v>
      </c>
      <c r="B90" s="951"/>
      <c r="C90" s="1222">
        <f>C70-C80</f>
        <v>-11.805999999999997</v>
      </c>
      <c r="D90" s="1241">
        <f t="shared" ref="D90:D96" si="182">C90/C10*100</f>
        <v>-24.383997356300465</v>
      </c>
      <c r="E90" s="1314"/>
      <c r="F90" s="951"/>
      <c r="G90" s="1222">
        <f>G70-G80</f>
        <v>-4.9290000000000012</v>
      </c>
      <c r="H90" s="1242">
        <f t="shared" ref="H90:H96" si="183">G90/G10*100</f>
        <v>-9.0613280388263853</v>
      </c>
      <c r="I90" s="1269">
        <f>(G90/C90-1)*100</f>
        <v>-58.250042351346757</v>
      </c>
      <c r="J90" s="951"/>
      <c r="K90" s="1222">
        <f>K70-K80</f>
        <v>-5.9960000000000004</v>
      </c>
      <c r="L90" s="1242">
        <f t="shared" ref="L90:L96" si="184">K90/K10*100</f>
        <v>-9.8372489828061429</v>
      </c>
      <c r="M90" s="1326" t="s">
        <v>714</v>
      </c>
      <c r="N90" s="951"/>
      <c r="O90" s="1222">
        <f>O70-O80</f>
        <v>9.561000000000007</v>
      </c>
      <c r="P90" s="1242">
        <f t="shared" ref="P90:P96" si="185">O90/O10*100</f>
        <v>9.5903464601681208</v>
      </c>
      <c r="Q90" s="1326" t="s">
        <v>714</v>
      </c>
      <c r="R90" s="951"/>
      <c r="S90" s="1222">
        <f>S70-S80</f>
        <v>20.169000000000004</v>
      </c>
      <c r="T90" s="1242">
        <f t="shared" ref="T90:T96" si="186">S90/S10*100</f>
        <v>13.871007675167125</v>
      </c>
      <c r="U90" s="1270">
        <f t="shared" ref="U90:U96" si="187">(S90/O90-1)*100</f>
        <v>110.95073737056782</v>
      </c>
      <c r="V90" s="951"/>
      <c r="W90" s="1222">
        <f>W70-W80</f>
        <v>20.770999999999997</v>
      </c>
      <c r="X90" s="1242">
        <f t="shared" ref="X90:X96" si="188">W90/W10*100</f>
        <v>11.669166680711688</v>
      </c>
      <c r="Y90" s="1270">
        <f t="shared" ref="Y90:Y96" si="189">(W90/S90-1)*100</f>
        <v>2.9847786206554261</v>
      </c>
      <c r="Z90" s="1270"/>
      <c r="AA90" s="951"/>
      <c r="AB90" s="1222">
        <f>AB70-AB80</f>
        <v>25.126000000000012</v>
      </c>
      <c r="AC90" s="1242">
        <f t="shared" ref="AC90:AC96" si="190">AB90/AB10*100</f>
        <v>9.9885508928713449</v>
      </c>
      <c r="AD90" s="1270">
        <f t="shared" ref="AD90:AD96" si="191">(AB90/W90-1)*100</f>
        <v>20.966732463530956</v>
      </c>
      <c r="AE90" s="951"/>
      <c r="AF90" s="1222">
        <f>AF70-AF80</f>
        <v>20.582999999999984</v>
      </c>
      <c r="AG90" s="1242">
        <f t="shared" ref="AG90:AG96" si="192">AF90/AF10*100</f>
        <v>7.4068076561842098</v>
      </c>
      <c r="AH90" s="1270">
        <f t="shared" ref="AH90:AH96" si="193">(AF90/AB90-1)*100</f>
        <v>-18.080872403088534</v>
      </c>
      <c r="AI90" s="951"/>
      <c r="AJ90" s="1222">
        <f>AJ70-AJ80</f>
        <v>10.357000000000005</v>
      </c>
      <c r="AK90" s="1242">
        <f t="shared" ref="AK90:AK96" si="194">AJ90/AJ10*100</f>
        <v>3.5486435184233445</v>
      </c>
      <c r="AL90" s="1270">
        <f t="shared" ref="AL90:AL96" si="195">(AJ90/AF90-1)*100</f>
        <v>-49.681776223096676</v>
      </c>
      <c r="AM90" s="951"/>
      <c r="AN90" s="1222">
        <f>AN70-AN80</f>
        <v>44.071000000000026</v>
      </c>
      <c r="AO90" s="1242">
        <f t="shared" ref="AO90:AO96" si="196">AN90/AN10*100</f>
        <v>13.265207837943601</v>
      </c>
      <c r="AP90" s="1270">
        <f t="shared" ref="AP90:AP96" si="197">(AN90/AJ90-1)*100</f>
        <v>325.51897267548526</v>
      </c>
      <c r="AQ90" s="951"/>
      <c r="AR90" s="1222">
        <f>AR70-AR80</f>
        <v>90.496999999999971</v>
      </c>
      <c r="AS90" s="1242">
        <f t="shared" ref="AS90:AS96" si="198">AR90/AR10*100</f>
        <v>19.825095240285922</v>
      </c>
      <c r="AT90" s="1270">
        <f t="shared" ref="AT90:AT96" si="199">(AR90/AN90-1)*100</f>
        <v>105.34365001928686</v>
      </c>
      <c r="AU90" s="951"/>
      <c r="AV90" s="1201">
        <f>AV70-AV80</f>
        <v>106.36199999999997</v>
      </c>
      <c r="AW90" s="1243">
        <f t="shared" ref="AW90:AW96" si="200">AV90/AV10*100</f>
        <v>20.359169110384581</v>
      </c>
      <c r="AX90" s="1271">
        <f t="shared" ref="AX90:AX96" si="201">(AV90/AR90-1)*100</f>
        <v>17.530967877388193</v>
      </c>
      <c r="AY90" s="951"/>
      <c r="AZ90" s="1201">
        <f>AZ70-AZ80</f>
        <v>127.28899999999994</v>
      </c>
      <c r="BA90" s="1243">
        <f t="shared" ref="BA90:BA96" si="202">AZ90/AZ10*100</f>
        <v>20.785746245015389</v>
      </c>
      <c r="BB90" s="1271">
        <f t="shared" ref="BB90:BB96" si="203">(AZ90/AV90-1)*100</f>
        <v>19.675259961264359</v>
      </c>
      <c r="BC90" s="951"/>
      <c r="BD90" s="1201">
        <f>BD70-BD80</f>
        <v>70.937000000000026</v>
      </c>
      <c r="BE90" s="1243">
        <f t="shared" ref="BE90:BE96" si="204">BD90/BD10*100</f>
        <v>11.078678498583484</v>
      </c>
      <c r="BF90" s="1271">
        <f t="shared" ref="BF90:BF96" si="205">(BD90/AZ90-1)*100</f>
        <v>-44.27091107636948</v>
      </c>
      <c r="BG90" s="1271"/>
      <c r="BH90" s="1201">
        <f>BH70-BH80</f>
        <v>39.265000000000001</v>
      </c>
      <c r="BI90" s="1243">
        <f t="shared" ref="BI90:BI96" si="206">BH90/BH10*100</f>
        <v>6.5259050091493975</v>
      </c>
      <c r="BJ90" s="1271">
        <f t="shared" ref="BJ90:BJ96" si="207">(BH90/BD90-1)*100</f>
        <v>-44.648068004003569</v>
      </c>
      <c r="BK90" s="1271"/>
      <c r="BL90" s="1201">
        <f>BL70-BL80</f>
        <v>56.722999999999985</v>
      </c>
      <c r="BM90" s="1243">
        <f t="shared" ref="BM90:BM96" si="208">BL90/BL10*100</f>
        <v>8.792627728174601</v>
      </c>
      <c r="BN90" s="1271">
        <f t="shared" ref="BN90:BN96" si="209">(BL90/BH90-1)*100</f>
        <v>44.461989048771123</v>
      </c>
      <c r="BO90" s="1271"/>
      <c r="BP90" s="1201">
        <f>BP70-BP80</f>
        <v>48.643000000000065</v>
      </c>
      <c r="BQ90" s="1243">
        <f t="shared" ref="BQ90:BQ96" si="210">BP90/BP10*100</f>
        <v>8.0657089228034664</v>
      </c>
      <c r="BR90" s="1271">
        <f t="shared" ref="BR90:BR96" si="211">(BP90/BL90-1)*100</f>
        <v>-14.244662658886032</v>
      </c>
      <c r="BS90" s="1271"/>
      <c r="BT90" s="1201">
        <f>BT70-BT80</f>
        <v>67.815000000000083</v>
      </c>
      <c r="BU90" s="1243">
        <f t="shared" ref="BU90:BU96" si="212">BT90/BT10*100</f>
        <v>9.5689965358863933</v>
      </c>
      <c r="BV90" s="1271">
        <f t="shared" ref="BV90:BV96" si="213">(BT90/BP90-1)*100</f>
        <v>39.413687478157165</v>
      </c>
      <c r="BW90" s="1271"/>
      <c r="BX90" s="1201">
        <f>BX70-BX80</f>
        <v>56.677999999999976</v>
      </c>
      <c r="BY90" s="1243">
        <f t="shared" ref="BY90:BY96" si="214">BX90/BX10*100</f>
        <v>8.3414155298854826</v>
      </c>
      <c r="BZ90" s="1271">
        <f t="shared" ref="BZ90:BZ96" si="215">(BX90/BT90-1)*100</f>
        <v>-16.422620364226336</v>
      </c>
      <c r="CA90" s="1271"/>
      <c r="CB90" s="1201">
        <f>CB70-CB80</f>
        <v>9.1110000000000326</v>
      </c>
      <c r="CC90" s="1243">
        <f t="shared" ref="CC90:CC96" si="216">CB90/CB10*100</f>
        <v>1.4100899356011003</v>
      </c>
      <c r="CD90" s="1271">
        <f t="shared" ref="CD90:CD96" si="217">(CB90/BX90-1)*100</f>
        <v>-83.924979709940303</v>
      </c>
      <c r="CE90" s="1271"/>
      <c r="CF90" s="1201">
        <f>CF70-CF80</f>
        <v>47.963999999999977</v>
      </c>
      <c r="CG90" s="1243">
        <f t="shared" ref="CG90:CG96" si="218">CF90/CF10*100</f>
        <v>6.8567017383348556</v>
      </c>
      <c r="CH90" s="1271">
        <f t="shared" ref="CH90:CH96" si="219">(CF90/CB90-1)*100</f>
        <v>426.44056634836795</v>
      </c>
      <c r="CI90" s="1271"/>
      <c r="CJ90" s="1201">
        <f>CJ70-CJ80</f>
        <v>63.611000000000061</v>
      </c>
      <c r="CK90" s="1243">
        <f t="shared" ref="CK90:CK96" si="220">CJ90/CJ10*100</f>
        <v>8.4880760485498108</v>
      </c>
      <c r="CL90" s="1271">
        <f t="shared" ref="CL90:CL96" si="221">(CJ90/CF90-1)*100</f>
        <v>32.622383454257545</v>
      </c>
      <c r="CM90" s="1271"/>
      <c r="CN90" s="1201">
        <f>CN70-CN80</f>
        <v>42.79999999999999</v>
      </c>
      <c r="CO90" s="1243">
        <f t="shared" ref="CO90:CO96" si="222">CN90/CN10*100</f>
        <v>5.6180070251340171</v>
      </c>
      <c r="CP90" s="1271">
        <f t="shared" ref="CP90:CP96" si="223">(CN90/CJ90-1)*100</f>
        <v>-32.716039678672004</v>
      </c>
      <c r="CQ90" s="1271"/>
      <c r="CR90" s="1201">
        <f>CR70-CR80</f>
        <v>53.443194008840862</v>
      </c>
      <c r="CS90" s="1243">
        <f t="shared" ref="CS90:CS96" si="224">CR90/CR10*100</f>
        <v>6.6118587537324078</v>
      </c>
      <c r="CT90" s="1271">
        <f t="shared" ref="CT90:CT96" si="225">(CR90/CN90-1)*100</f>
        <v>24.867275721590822</v>
      </c>
      <c r="CU90" s="1271"/>
      <c r="CV90" s="1271"/>
      <c r="CW90" s="1271"/>
      <c r="CX90" s="1271"/>
      <c r="CY90" s="1271"/>
      <c r="CZ90" s="1271"/>
      <c r="DA90" s="1271"/>
      <c r="DB90" s="1270"/>
      <c r="DC90" s="1270"/>
      <c r="DD90" s="1270"/>
      <c r="DE90" s="1270"/>
      <c r="DF90" s="1270"/>
      <c r="DG90" s="1270"/>
      <c r="DH90" s="951"/>
      <c r="DI90" s="951"/>
      <c r="DJ90" s="951"/>
      <c r="DK90" s="951"/>
      <c r="DL90" s="951"/>
      <c r="DM90" s="951"/>
      <c r="DN90" s="951"/>
      <c r="DO90" s="951"/>
      <c r="DP90" s="951"/>
      <c r="DQ90" s="951"/>
      <c r="DR90" s="951"/>
      <c r="DS90" s="951"/>
      <c r="DT90" s="951"/>
      <c r="DU90" s="951"/>
      <c r="DV90" s="951"/>
      <c r="DW90" s="951"/>
      <c r="DX90" s="951"/>
      <c r="DY90" s="951"/>
    </row>
    <row r="91" spans="1:129" ht="12.75" outlineLevel="1">
      <c r="A91" s="1167" t="s">
        <v>735</v>
      </c>
      <c r="B91" s="951"/>
      <c r="C91" s="1226">
        <f>C71-C81</f>
        <v>-2.399</v>
      </c>
      <c r="D91" s="1241">
        <f t="shared" si="182"/>
        <v>-3.6717327088785834</v>
      </c>
      <c r="E91" s="1269"/>
      <c r="F91" s="951"/>
      <c r="G91" s="1226">
        <f>G71-G81</f>
        <v>0.56900000000000051</v>
      </c>
      <c r="H91" s="1242">
        <f t="shared" si="183"/>
        <v>0.8098837126549675</v>
      </c>
      <c r="I91" s="1269">
        <f>(G91/C91-1)*100</f>
        <v>-123.71821592330139</v>
      </c>
      <c r="J91" s="951"/>
      <c r="K91" s="1226">
        <f>K71-K81</f>
        <v>1.8779999999999983</v>
      </c>
      <c r="L91" s="1242">
        <f t="shared" si="184"/>
        <v>2.1796910363397886</v>
      </c>
      <c r="M91" s="1269">
        <f>(K91/G91-1)*100</f>
        <v>230.05272407732807</v>
      </c>
      <c r="N91" s="951"/>
      <c r="O91" s="1226">
        <f>O71-O81</f>
        <v>15.737999999999989</v>
      </c>
      <c r="P91" s="1242">
        <f t="shared" si="185"/>
        <v>12.517199417804669</v>
      </c>
      <c r="Q91" s="1270">
        <f>(O91/(K91)-1)*100</f>
        <v>738.01916932907363</v>
      </c>
      <c r="R91" s="951"/>
      <c r="S91" s="1226">
        <f>S71-S81</f>
        <v>27.928000000000001</v>
      </c>
      <c r="T91" s="1242">
        <f t="shared" si="186"/>
        <v>15.638754185752205</v>
      </c>
      <c r="U91" s="1270">
        <f t="shared" si="187"/>
        <v>77.455839369678614</v>
      </c>
      <c r="V91" s="951"/>
      <c r="W91" s="1226">
        <f>W71-W81</f>
        <v>4.5700000000000056</v>
      </c>
      <c r="X91" s="1242">
        <f t="shared" si="188"/>
        <v>2.1868435282351673</v>
      </c>
      <c r="Y91" s="1270">
        <f t="shared" si="189"/>
        <v>-83.636493841306205</v>
      </c>
      <c r="Z91" s="1270"/>
      <c r="AA91" s="951"/>
      <c r="AB91" s="1226">
        <f>AB71-AB81</f>
        <v>23.73</v>
      </c>
      <c r="AC91" s="1242">
        <f t="shared" si="190"/>
        <v>8.1158171222194859</v>
      </c>
      <c r="AD91" s="1270">
        <f t="shared" si="191"/>
        <v>419.2560175054698</v>
      </c>
      <c r="AE91" s="951"/>
      <c r="AF91" s="1226">
        <f>AF71-AF81</f>
        <v>16.285999999999998</v>
      </c>
      <c r="AG91" s="1242">
        <f t="shared" si="192"/>
        <v>5.1021303258145352</v>
      </c>
      <c r="AH91" s="1270">
        <f t="shared" si="193"/>
        <v>-31.369574378423948</v>
      </c>
      <c r="AI91" s="951"/>
      <c r="AJ91" s="1226">
        <f>AJ71-AJ81</f>
        <v>13.113999999999999</v>
      </c>
      <c r="AK91" s="1242">
        <f t="shared" si="194"/>
        <v>3.8907596683033923</v>
      </c>
      <c r="AL91" s="1270">
        <f t="shared" si="195"/>
        <v>-19.476851283310815</v>
      </c>
      <c r="AM91" s="951"/>
      <c r="AN91" s="1226">
        <f>AN71-AN81</f>
        <v>51.507999999999996</v>
      </c>
      <c r="AO91" s="1242">
        <f t="shared" si="196"/>
        <v>13.026742403933211</v>
      </c>
      <c r="AP91" s="1270">
        <f t="shared" si="197"/>
        <v>292.77108433734941</v>
      </c>
      <c r="AQ91" s="951"/>
      <c r="AR91" s="1226">
        <f>AR71-AR81</f>
        <v>90.486000000000075</v>
      </c>
      <c r="AS91" s="1242">
        <f t="shared" si="198"/>
        <v>17.540533624880798</v>
      </c>
      <c r="AT91" s="1270">
        <f t="shared" si="199"/>
        <v>75.673681758173643</v>
      </c>
      <c r="AU91" s="951"/>
      <c r="AV91" s="1166">
        <f>AV71-AV81</f>
        <v>118.22100000000003</v>
      </c>
      <c r="AW91" s="1243">
        <f t="shared" si="200"/>
        <v>19.627411069752927</v>
      </c>
      <c r="AX91" s="1271">
        <f t="shared" si="201"/>
        <v>30.651150454213848</v>
      </c>
      <c r="AY91" s="951"/>
      <c r="AZ91" s="1166">
        <f>AZ71-AZ81</f>
        <v>131.45199999999994</v>
      </c>
      <c r="BA91" s="1243">
        <f t="shared" si="202"/>
        <v>18.693694013984853</v>
      </c>
      <c r="BB91" s="1271">
        <f t="shared" si="203"/>
        <v>11.19175104253889</v>
      </c>
      <c r="BC91" s="951"/>
      <c r="BD91" s="1166">
        <f>BD71-BD81</f>
        <v>93.402000000000072</v>
      </c>
      <c r="BE91" s="1243">
        <f t="shared" si="204"/>
        <v>13.559809237603721</v>
      </c>
      <c r="BF91" s="1271">
        <f t="shared" si="205"/>
        <v>-28.945927030398842</v>
      </c>
      <c r="BG91" s="1271"/>
      <c r="BH91" s="1166">
        <f>BH71-BH81</f>
        <v>55.458000000000013</v>
      </c>
      <c r="BI91" s="1243">
        <f t="shared" si="206"/>
        <v>8.5742380155782811</v>
      </c>
      <c r="BJ91" s="1271">
        <f t="shared" si="207"/>
        <v>-40.624397764501865</v>
      </c>
      <c r="BK91" s="1271"/>
      <c r="BL91" s="1166">
        <f>BL71-BL81</f>
        <v>40.508000000000017</v>
      </c>
      <c r="BM91" s="1243">
        <f t="shared" si="208"/>
        <v>6.244094330403045</v>
      </c>
      <c r="BN91" s="1271">
        <f t="shared" si="209"/>
        <v>-26.957337083919352</v>
      </c>
      <c r="BO91" s="1271"/>
      <c r="BP91" s="1166">
        <f>BP71-BP81</f>
        <v>39.498999999999995</v>
      </c>
      <c r="BQ91" s="1243">
        <f t="shared" si="210"/>
        <v>5.9031264945002384</v>
      </c>
      <c r="BR91" s="1271">
        <f t="shared" si="211"/>
        <v>-2.4908660017774809</v>
      </c>
      <c r="BS91" s="1271"/>
      <c r="BT91" s="1166">
        <f>BT71-BT81</f>
        <v>66.529999999999959</v>
      </c>
      <c r="BU91" s="1243">
        <f t="shared" si="212"/>
        <v>8.9944300237940684</v>
      </c>
      <c r="BV91" s="1271">
        <f t="shared" si="213"/>
        <v>68.434643915035736</v>
      </c>
      <c r="BW91" s="1271"/>
      <c r="BX91" s="1166">
        <f>BX71-BX81</f>
        <v>30.573999999999991</v>
      </c>
      <c r="BY91" s="1243">
        <f t="shared" si="214"/>
        <v>4.2036922205432861</v>
      </c>
      <c r="BZ91" s="1271">
        <f t="shared" si="215"/>
        <v>-54.044791823237624</v>
      </c>
      <c r="CA91" s="1271"/>
      <c r="CB91" s="1166">
        <f>CB71-CB81</f>
        <v>12.897000000000025</v>
      </c>
      <c r="CC91" s="1243">
        <f t="shared" si="216"/>
        <v>1.8149578874042209</v>
      </c>
      <c r="CD91" s="1271">
        <f t="shared" si="217"/>
        <v>-57.81709949630396</v>
      </c>
      <c r="CE91" s="1271"/>
      <c r="CF91" s="1166">
        <f>CF71-CF81</f>
        <v>50.901999999999987</v>
      </c>
      <c r="CG91" s="1243">
        <f t="shared" si="218"/>
        <v>6.3832722201879024</v>
      </c>
      <c r="CH91" s="1271">
        <f t="shared" si="219"/>
        <v>294.6809335504372</v>
      </c>
      <c r="CI91" s="1271"/>
      <c r="CJ91" s="1166">
        <f>CJ71-CJ81</f>
        <v>65.52500000000002</v>
      </c>
      <c r="CK91" s="1243">
        <f t="shared" si="220"/>
        <v>7.965654988973907</v>
      </c>
      <c r="CL91" s="1271">
        <f t="shared" si="221"/>
        <v>28.727751365368825</v>
      </c>
      <c r="CM91" s="1271"/>
      <c r="CN91" s="1166">
        <f>CN71-CN81</f>
        <v>52.905999999999935</v>
      </c>
      <c r="CO91" s="1243">
        <f t="shared" si="222"/>
        <v>6.2643492387133053</v>
      </c>
      <c r="CP91" s="1271">
        <f t="shared" si="223"/>
        <v>-19.258298359404936</v>
      </c>
      <c r="CQ91" s="1271"/>
      <c r="CR91" s="1166">
        <f>CR71-CR81</f>
        <v>72.501949486360246</v>
      </c>
      <c r="CS91" s="1243">
        <f t="shared" si="224"/>
        <v>7.9548596257209407</v>
      </c>
      <c r="CT91" s="1271">
        <f t="shared" si="225"/>
        <v>37.039181730541593</v>
      </c>
      <c r="CU91" s="1271"/>
      <c r="CV91" s="1271"/>
      <c r="CW91" s="1271"/>
      <c r="CX91" s="1271"/>
      <c r="CY91" s="1271"/>
      <c r="CZ91" s="1271"/>
      <c r="DA91" s="1271"/>
      <c r="DB91" s="1270"/>
      <c r="DC91" s="1270"/>
      <c r="DD91" s="1270"/>
      <c r="DE91" s="1270"/>
      <c r="DF91" s="1270"/>
      <c r="DG91" s="1270"/>
      <c r="DH91" s="951"/>
      <c r="DI91" s="951"/>
      <c r="DJ91" s="951"/>
      <c r="DK91" s="951"/>
      <c r="DL91" s="951"/>
      <c r="DM91" s="951"/>
      <c r="DN91" s="951"/>
      <c r="DO91" s="951"/>
      <c r="DP91" s="951"/>
      <c r="DQ91" s="951"/>
      <c r="DR91" s="951"/>
      <c r="DS91" s="951"/>
      <c r="DT91" s="951"/>
      <c r="DU91" s="951"/>
      <c r="DV91" s="951"/>
      <c r="DW91" s="951"/>
      <c r="DX91" s="951"/>
      <c r="DY91" s="951"/>
    </row>
    <row r="92" spans="1:129" ht="12.75" outlineLevel="1">
      <c r="A92" s="1167" t="s">
        <v>736</v>
      </c>
      <c r="B92" s="951"/>
      <c r="C92" s="1247">
        <f>C72-C82</f>
        <v>0.71399999999999941</v>
      </c>
      <c r="D92" s="1241">
        <f t="shared" si="182"/>
        <v>0.831344239389881</v>
      </c>
      <c r="E92" s="1269"/>
      <c r="F92" s="951"/>
      <c r="G92" s="1247">
        <f>G72-G82</f>
        <v>3.5350000000000033</v>
      </c>
      <c r="H92" s="1242">
        <f t="shared" si="183"/>
        <v>4.48342338228953</v>
      </c>
      <c r="I92" s="1269">
        <f>(G92/C92-1)*100</f>
        <v>395.09803921568721</v>
      </c>
      <c r="J92" s="951"/>
      <c r="K92" s="1247">
        <f>K72-K82</f>
        <v>10.339000000000011</v>
      </c>
      <c r="L92" s="1242">
        <f t="shared" si="184"/>
        <v>9.8558654744428242</v>
      </c>
      <c r="M92" s="1269">
        <f>(K92/G92-1)*100</f>
        <v>192.47524752475252</v>
      </c>
      <c r="N92" s="951"/>
      <c r="O92" s="1247">
        <f>O72-O82</f>
        <v>22.685000000000016</v>
      </c>
      <c r="P92" s="1242">
        <f t="shared" si="185"/>
        <v>15.217887138755476</v>
      </c>
      <c r="Q92" s="1270">
        <f>(O92/(K92)-1)*100</f>
        <v>119.4119353902698</v>
      </c>
      <c r="R92" s="951"/>
      <c r="S92" s="1247">
        <f>S72-S82</f>
        <v>40.096000000000011</v>
      </c>
      <c r="T92" s="1242">
        <f t="shared" si="186"/>
        <v>18.005056288253339</v>
      </c>
      <c r="U92" s="1270">
        <f t="shared" si="187"/>
        <v>76.751157152303207</v>
      </c>
      <c r="V92" s="951"/>
      <c r="W92" s="1247">
        <f>W72-W82</f>
        <v>47.911999999999999</v>
      </c>
      <c r="X92" s="1242">
        <f t="shared" si="188"/>
        <v>16.94398568432667</v>
      </c>
      <c r="Y92" s="1270">
        <f t="shared" si="189"/>
        <v>19.493216280925751</v>
      </c>
      <c r="Z92" s="1270"/>
      <c r="AA92" s="951"/>
      <c r="AB92" s="1247">
        <f>AB72-AB82</f>
        <v>49.578999999999986</v>
      </c>
      <c r="AC92" s="1242">
        <f t="shared" si="190"/>
        <v>13.633376322323931</v>
      </c>
      <c r="AD92" s="1270">
        <f t="shared" si="191"/>
        <v>3.4792953748538746</v>
      </c>
      <c r="AE92" s="951"/>
      <c r="AF92" s="1247">
        <f>AF72-AF82</f>
        <v>43.80000000000004</v>
      </c>
      <c r="AG92" s="1242">
        <f t="shared" si="192"/>
        <v>11.695781507847933</v>
      </c>
      <c r="AH92" s="1270">
        <f t="shared" si="193"/>
        <v>-11.656144738699748</v>
      </c>
      <c r="AI92" s="951"/>
      <c r="AJ92" s="1247">
        <f>AJ72-AJ82</f>
        <v>21.647000000000009</v>
      </c>
      <c r="AK92" s="1242">
        <f t="shared" si="194"/>
        <v>5.7910647405029447</v>
      </c>
      <c r="AL92" s="1270">
        <f t="shared" si="195"/>
        <v>-50.577625570776277</v>
      </c>
      <c r="AM92" s="951"/>
      <c r="AN92" s="1247">
        <f>AN72-AN82</f>
        <v>96.225999999999985</v>
      </c>
      <c r="AO92" s="1242">
        <f t="shared" si="196"/>
        <v>20.064430705714315</v>
      </c>
      <c r="AP92" s="1270">
        <f t="shared" si="197"/>
        <v>344.52349055296321</v>
      </c>
      <c r="AQ92" s="951"/>
      <c r="AR92" s="1247">
        <f>AR72-AR82</f>
        <v>117.38000000000004</v>
      </c>
      <c r="AS92" s="1242">
        <f t="shared" si="198"/>
        <v>20.218862555486471</v>
      </c>
      <c r="AT92" s="1270">
        <f t="shared" si="199"/>
        <v>21.983663458940473</v>
      </c>
      <c r="AU92" s="951"/>
      <c r="AV92" s="1327">
        <f>AV72-AV82</f>
        <v>161.58099999999996</v>
      </c>
      <c r="AW92" s="1243">
        <f t="shared" si="200"/>
        <v>23.205991756308432</v>
      </c>
      <c r="AX92" s="1271">
        <f t="shared" si="201"/>
        <v>37.656329868802096</v>
      </c>
      <c r="AY92" s="951"/>
      <c r="AZ92" s="1327">
        <f>AZ72-AZ82</f>
        <v>157.79399999999998</v>
      </c>
      <c r="BA92" s="1243">
        <f t="shared" si="202"/>
        <v>21.196250082276276</v>
      </c>
      <c r="BB92" s="1271">
        <f t="shared" si="203"/>
        <v>-2.3437161547459007</v>
      </c>
      <c r="BC92" s="951"/>
      <c r="BD92" s="1211">
        <f>BD72-BD82</f>
        <v>99.348999999999918</v>
      </c>
      <c r="BE92" s="1243">
        <f t="shared" si="204"/>
        <v>13.175630871735558</v>
      </c>
      <c r="BF92" s="1271">
        <f t="shared" si="205"/>
        <v>-37.038797419420298</v>
      </c>
      <c r="BG92" s="1271"/>
      <c r="BH92" s="1211">
        <f>BH72-BH82</f>
        <v>84.122999999999948</v>
      </c>
      <c r="BI92" s="1243">
        <f t="shared" si="206"/>
        <v>11.429584612186495</v>
      </c>
      <c r="BJ92" s="1271">
        <f t="shared" si="207"/>
        <v>-15.3257707676977</v>
      </c>
      <c r="BK92" s="1271"/>
      <c r="BL92" s="1211">
        <f>BL72-BL82</f>
        <v>100.33099999999995</v>
      </c>
      <c r="BM92" s="1243">
        <f t="shared" si="208"/>
        <v>13.469978478859467</v>
      </c>
      <c r="BN92" s="1271">
        <f t="shared" si="209"/>
        <v>19.267025664800364</v>
      </c>
      <c r="BO92" s="1271"/>
      <c r="BP92" s="1211">
        <f>BP72-BP82</f>
        <v>91.745999999999938</v>
      </c>
      <c r="BQ92" s="1243">
        <f t="shared" si="210"/>
        <v>11.196469693770823</v>
      </c>
      <c r="BR92" s="1271">
        <f t="shared" si="211"/>
        <v>-8.5566773978132495</v>
      </c>
      <c r="BS92" s="1271"/>
      <c r="BT92" s="1211">
        <f>BT72-BT82</f>
        <v>131.36300000000006</v>
      </c>
      <c r="BU92" s="1243">
        <f t="shared" si="212"/>
        <v>14.429564113210622</v>
      </c>
      <c r="BV92" s="1271">
        <f t="shared" si="213"/>
        <v>43.181174111133068</v>
      </c>
      <c r="BW92" s="1271"/>
      <c r="BX92" s="1211">
        <f>BX72-BX82</f>
        <v>61.672000000000004</v>
      </c>
      <c r="BY92" s="1243">
        <f t="shared" si="214"/>
        <v>7.1937058573086601</v>
      </c>
      <c r="BZ92" s="1271">
        <f t="shared" si="215"/>
        <v>-53.052229318757973</v>
      </c>
      <c r="CA92" s="1271"/>
      <c r="CB92" s="1211">
        <f>CB72-CB82</f>
        <v>74.822999999999993</v>
      </c>
      <c r="CC92" s="1243">
        <f t="shared" si="216"/>
        <v>8.7585012115323835</v>
      </c>
      <c r="CD92" s="1271">
        <f t="shared" si="217"/>
        <v>21.324101699312472</v>
      </c>
      <c r="CE92" s="1271"/>
      <c r="CF92" s="1211">
        <f>CF72-CF82</f>
        <v>109.63200000000005</v>
      </c>
      <c r="CG92" s="1243">
        <f t="shared" si="218"/>
        <v>11.928554019706841</v>
      </c>
      <c r="CH92" s="1271">
        <f t="shared" si="219"/>
        <v>46.521791427769621</v>
      </c>
      <c r="CI92" s="1271"/>
      <c r="CJ92" s="1211">
        <f>CJ72-CJ82</f>
        <v>118.87100000000002</v>
      </c>
      <c r="CK92" s="1243">
        <f t="shared" si="220"/>
        <v>12.637663471219179</v>
      </c>
      <c r="CL92" s="1271">
        <f t="shared" si="221"/>
        <v>8.4272840046701436</v>
      </c>
      <c r="CM92" s="1271"/>
      <c r="CN92" s="1211">
        <f>CN72-CN82</f>
        <v>101.37500000000003</v>
      </c>
      <c r="CO92" s="1243">
        <f t="shared" si="222"/>
        <v>10.555135027638579</v>
      </c>
      <c r="CP92" s="1271">
        <f t="shared" si="223"/>
        <v>-14.718476331485386</v>
      </c>
      <c r="CQ92" s="1271"/>
      <c r="CR92" s="1211">
        <f>CR72-CR82</f>
        <v>99.898673830245173</v>
      </c>
      <c r="CS92" s="1243">
        <f t="shared" si="224"/>
        <v>10.402063068857819</v>
      </c>
      <c r="CT92" s="1271">
        <f t="shared" si="225"/>
        <v>-1.4563020170208163</v>
      </c>
      <c r="CU92" s="1271"/>
      <c r="CV92" s="1271"/>
      <c r="CW92" s="1271"/>
      <c r="CX92" s="1271"/>
      <c r="CY92" s="1271"/>
      <c r="CZ92" s="1271"/>
      <c r="DA92" s="1271"/>
      <c r="DB92" s="1270"/>
      <c r="DC92" s="1270"/>
      <c r="DD92" s="1270"/>
      <c r="DE92" s="1270"/>
      <c r="DF92" s="1270"/>
      <c r="DG92" s="1270"/>
      <c r="DH92" s="951"/>
      <c r="DI92" s="951"/>
      <c r="DJ92" s="951"/>
      <c r="DK92" s="951"/>
      <c r="DL92" s="951"/>
      <c r="DM92" s="951"/>
      <c r="DN92" s="951"/>
      <c r="DO92" s="951"/>
      <c r="DP92" s="951"/>
      <c r="DQ92" s="951"/>
      <c r="DR92" s="951"/>
      <c r="DS92" s="951"/>
      <c r="DT92" s="951"/>
      <c r="DU92" s="951"/>
      <c r="DV92" s="951"/>
      <c r="DW92" s="951"/>
      <c r="DX92" s="951"/>
      <c r="DY92" s="951"/>
    </row>
    <row r="93" spans="1:129" ht="12.75" outlineLevel="1">
      <c r="A93" s="1167" t="s">
        <v>737</v>
      </c>
      <c r="B93" s="951"/>
      <c r="C93" s="1248">
        <f>C73-C83</f>
        <v>14.132999999999999</v>
      </c>
      <c r="D93" s="1241">
        <f t="shared" si="182"/>
        <v>10.045918512410793</v>
      </c>
      <c r="E93" s="1269"/>
      <c r="F93" s="951"/>
      <c r="G93" s="1248">
        <f>G73-G83</f>
        <v>10.657000000000002</v>
      </c>
      <c r="H93" s="1242">
        <f t="shared" si="183"/>
        <v>8.6709246979374317</v>
      </c>
      <c r="I93" s="1269">
        <f>(G93/C93-1)*100</f>
        <v>-24.594919691502138</v>
      </c>
      <c r="J93" s="951"/>
      <c r="K93" s="1248">
        <f>K73-K83</f>
        <v>26.057000000000006</v>
      </c>
      <c r="L93" s="1242">
        <f t="shared" si="184"/>
        <v>16.95315549772284</v>
      </c>
      <c r="M93" s="1269">
        <f>(K93/G93-1)*100</f>
        <v>144.50595852491324</v>
      </c>
      <c r="N93" s="951"/>
      <c r="O93" s="1248">
        <f>O73-O83</f>
        <v>41.504999999999995</v>
      </c>
      <c r="P93" s="1242">
        <f t="shared" si="185"/>
        <v>19.476131708484466</v>
      </c>
      <c r="Q93" s="1270">
        <f>(O93/(K93)-1)*100</f>
        <v>59.285412748973343</v>
      </c>
      <c r="R93" s="951"/>
      <c r="S93" s="1248">
        <f>S73-S83</f>
        <v>61.161000000000001</v>
      </c>
      <c r="T93" s="1242">
        <f t="shared" si="186"/>
        <v>21.428045896470177</v>
      </c>
      <c r="U93" s="1270">
        <f t="shared" si="187"/>
        <v>47.358149620527669</v>
      </c>
      <c r="V93" s="951"/>
      <c r="W93" s="1248">
        <f>W73-W83</f>
        <v>79.546999999999969</v>
      </c>
      <c r="X93" s="1242">
        <f t="shared" si="188"/>
        <v>18.77286222016642</v>
      </c>
      <c r="Y93" s="1270">
        <f t="shared" si="189"/>
        <v>30.06164058795633</v>
      </c>
      <c r="Z93" s="1270"/>
      <c r="AA93" s="951"/>
      <c r="AB93" s="1248">
        <f>AB73-AB83</f>
        <v>70.810000000000031</v>
      </c>
      <c r="AC93" s="1242">
        <f t="shared" si="190"/>
        <v>15.250915356450575</v>
      </c>
      <c r="AD93" s="1270">
        <f t="shared" si="191"/>
        <v>-10.983443750235633</v>
      </c>
      <c r="AE93" s="951"/>
      <c r="AF93" s="1248">
        <f>AF73-AF83</f>
        <v>62.943999999999946</v>
      </c>
      <c r="AG93" s="1242">
        <f t="shared" si="192"/>
        <v>12.805103813619652</v>
      </c>
      <c r="AH93" s="1270">
        <f t="shared" si="193"/>
        <v>-11.108600480158282</v>
      </c>
      <c r="AI93" s="951"/>
      <c r="AJ93" s="1248">
        <f>AJ73-AJ83</f>
        <v>69.762999999999977</v>
      </c>
      <c r="AK93" s="1242">
        <f t="shared" si="194"/>
        <v>14.220514493049038</v>
      </c>
      <c r="AL93" s="1270">
        <f t="shared" si="195"/>
        <v>10.833439247585218</v>
      </c>
      <c r="AM93" s="951"/>
      <c r="AN93" s="1248">
        <f>AN73-AN83</f>
        <v>175.03</v>
      </c>
      <c r="AO93" s="1242">
        <f t="shared" si="196"/>
        <v>25.967918056330337</v>
      </c>
      <c r="AP93" s="1270">
        <f t="shared" si="197"/>
        <v>150.89230681020035</v>
      </c>
      <c r="AQ93" s="951"/>
      <c r="AR93" s="1248">
        <f>AR73-AR83</f>
        <v>178.60400000000007</v>
      </c>
      <c r="AS93" s="1242">
        <f t="shared" si="198"/>
        <v>23.223373685100192</v>
      </c>
      <c r="AT93" s="1270">
        <f t="shared" si="199"/>
        <v>2.0419356681712131</v>
      </c>
      <c r="AU93" s="951"/>
      <c r="AV93" s="1218">
        <f>AV73-AV83</f>
        <v>242.90300000000002</v>
      </c>
      <c r="AW93" s="1243">
        <f t="shared" si="200"/>
        <v>24.954975779897573</v>
      </c>
      <c r="AX93" s="1271">
        <f t="shared" si="201"/>
        <v>36.000873440684366</v>
      </c>
      <c r="AY93" s="951"/>
      <c r="AZ93" s="1218">
        <f>AZ73-AZ83</f>
        <v>219.84599999999995</v>
      </c>
      <c r="BA93" s="1243">
        <f t="shared" si="202"/>
        <v>22.086174315677798</v>
      </c>
      <c r="BB93" s="1271">
        <f t="shared" si="203"/>
        <v>-9.4922664602742906</v>
      </c>
      <c r="BC93" s="951"/>
      <c r="BD93" s="1218">
        <f>BD73-BD83</f>
        <v>62.957999999999927</v>
      </c>
      <c r="BE93" s="1243">
        <f t="shared" si="204"/>
        <v>6.9512086058166247</v>
      </c>
      <c r="BF93" s="1271">
        <f t="shared" si="205"/>
        <v>-71.362681149531966</v>
      </c>
      <c r="BG93" s="1271"/>
      <c r="BH93" s="1218">
        <f>BH73-BH83</f>
        <v>128.27799999999991</v>
      </c>
      <c r="BI93" s="1243">
        <f t="shared" si="206"/>
        <v>13.421275375844457</v>
      </c>
      <c r="BJ93" s="1271">
        <f t="shared" si="207"/>
        <v>103.75170748753146</v>
      </c>
      <c r="BK93" s="1271"/>
      <c r="BL93" s="1218">
        <f>BL73-BL83</f>
        <v>144.0136</v>
      </c>
      <c r="BM93" s="1243">
        <f t="shared" si="208"/>
        <v>15.885301306883864</v>
      </c>
      <c r="BN93" s="1271">
        <f t="shared" si="209"/>
        <v>12.266795553407528</v>
      </c>
      <c r="BO93" s="1271"/>
      <c r="BP93" s="1218">
        <f>BP73-BP83</f>
        <v>120.0350000000001</v>
      </c>
      <c r="BQ93" s="1243">
        <f t="shared" si="210"/>
        <v>11.671538112990339</v>
      </c>
      <c r="BR93" s="1271">
        <f t="shared" si="211"/>
        <v>-16.650233033546769</v>
      </c>
      <c r="BS93" s="1271"/>
      <c r="BT93" s="1218">
        <f>BT73-BT83</f>
        <v>178.84800000000016</v>
      </c>
      <c r="BU93" s="1243">
        <f t="shared" si="212"/>
        <v>16.010699581846175</v>
      </c>
      <c r="BV93" s="1271">
        <f t="shared" si="213"/>
        <v>48.996542675053114</v>
      </c>
      <c r="BW93" s="1271"/>
      <c r="BX93" s="1218">
        <f>BX73-BX83</f>
        <v>87.321000000000041</v>
      </c>
      <c r="BY93" s="1243">
        <f t="shared" si="214"/>
        <v>8.3824914299318358</v>
      </c>
      <c r="BZ93" s="1271">
        <f t="shared" si="215"/>
        <v>-51.175858829844358</v>
      </c>
      <c r="CA93" s="1271"/>
      <c r="CB93" s="1218">
        <f>CB73-CB83</f>
        <v>113.76200000000007</v>
      </c>
      <c r="CC93" s="1243">
        <f t="shared" si="216"/>
        <v>10.613582272942285</v>
      </c>
      <c r="CD93" s="1271">
        <f t="shared" si="217"/>
        <v>30.280230414218835</v>
      </c>
      <c r="CE93" s="1271"/>
      <c r="CF93" s="1218">
        <f>CF73-CF83</f>
        <v>113.37400000000001</v>
      </c>
      <c r="CG93" s="1243">
        <f t="shared" si="218"/>
        <v>10.252408150272919</v>
      </c>
      <c r="CH93" s="1271">
        <f t="shared" si="219"/>
        <v>-0.34106292083477818</v>
      </c>
      <c r="CI93" s="1271"/>
      <c r="CJ93" s="1218">
        <f>CJ73-CJ83</f>
        <v>108.42000000000007</v>
      </c>
      <c r="CK93" s="1243">
        <f t="shared" si="220"/>
        <v>9.881102323453451</v>
      </c>
      <c r="CL93" s="1271">
        <f t="shared" si="221"/>
        <v>-4.3696085522253236</v>
      </c>
      <c r="CM93" s="1271"/>
      <c r="CN93" s="1218">
        <f>CN73-CN83</f>
        <v>120.34599999999998</v>
      </c>
      <c r="CO93" s="1243">
        <f t="shared" si="222"/>
        <v>9.7943962959918522</v>
      </c>
      <c r="CP93" s="1271">
        <f t="shared" si="223"/>
        <v>10.999815532189539</v>
      </c>
      <c r="CQ93" s="1271"/>
      <c r="CR93" s="1218">
        <f>CR73-CR83</f>
        <v>96.132301037342728</v>
      </c>
      <c r="CS93" s="1243">
        <f t="shared" si="224"/>
        <v>8.2428725436439994</v>
      </c>
      <c r="CT93" s="1271">
        <f t="shared" si="225"/>
        <v>-20.120069601529966</v>
      </c>
      <c r="CU93" s="1271"/>
      <c r="CV93" s="1271"/>
      <c r="CW93" s="1271"/>
      <c r="CX93" s="1271"/>
      <c r="CY93" s="2159"/>
      <c r="CZ93" s="2159"/>
      <c r="DA93" s="1271"/>
      <c r="DB93" s="1270"/>
      <c r="DC93" s="1270"/>
      <c r="DD93" s="1270"/>
      <c r="DE93" s="1273"/>
      <c r="DF93" s="1270"/>
      <c r="DG93" s="1270"/>
      <c r="DH93" s="951"/>
      <c r="DI93" s="951"/>
      <c r="DJ93" s="951"/>
      <c r="DK93" s="951"/>
      <c r="DL93" s="951"/>
      <c r="DM93" s="951"/>
      <c r="DN93" s="951"/>
      <c r="DO93" s="951"/>
      <c r="DP93" s="951"/>
      <c r="DQ93" s="951"/>
      <c r="DR93" s="951"/>
      <c r="DS93" s="951"/>
      <c r="DT93" s="951"/>
      <c r="DU93" s="951"/>
      <c r="DV93" s="951"/>
      <c r="DW93" s="951"/>
      <c r="DX93" s="951"/>
      <c r="DY93" s="951"/>
    </row>
    <row r="94" spans="1:129" ht="12.75" outlineLevel="1">
      <c r="A94" s="1167" t="s">
        <v>762</v>
      </c>
      <c r="B94" s="951"/>
      <c r="C94" s="1222">
        <f>SUM(C90:C93)</f>
        <v>0.64199999999999946</v>
      </c>
      <c r="D94" s="1241">
        <f t="shared" si="182"/>
        <v>0.18864431731031975</v>
      </c>
      <c r="E94" s="1269"/>
      <c r="F94" s="951"/>
      <c r="G94" s="1222">
        <f>G74-G84</f>
        <v>9.8319999999999688</v>
      </c>
      <c r="H94" s="1242">
        <f t="shared" si="183"/>
        <v>3.0122179875246529</v>
      </c>
      <c r="I94" s="1269">
        <f>(G94/C94-1)*100</f>
        <v>1431.4641744548251</v>
      </c>
      <c r="J94" s="951"/>
      <c r="K94" s="1222">
        <f>K74-K84</f>
        <v>32.277999999999992</v>
      </c>
      <c r="L94" s="1242">
        <f t="shared" si="184"/>
        <v>7.9558702826875143</v>
      </c>
      <c r="M94" s="1269">
        <f>(K94/G94-1)*100</f>
        <v>228.29536208299527</v>
      </c>
      <c r="N94" s="951"/>
      <c r="O94" s="1222">
        <f>O74-O84</f>
        <v>89.489000000000004</v>
      </c>
      <c r="P94" s="1242">
        <f t="shared" si="185"/>
        <v>15.229577944179715</v>
      </c>
      <c r="Q94" s="1270">
        <f>(O94/(K94)-1)*100</f>
        <v>177.24456286015254</v>
      </c>
      <c r="R94" s="951"/>
      <c r="S94" s="1222">
        <f>S74-S84</f>
        <v>149.35400000000004</v>
      </c>
      <c r="T94" s="1242">
        <f t="shared" si="186"/>
        <v>17.948958303289018</v>
      </c>
      <c r="U94" s="1270">
        <f t="shared" si="187"/>
        <v>66.896490071405452</v>
      </c>
      <c r="V94" s="951"/>
      <c r="W94" s="1283">
        <f>SUM(W90:W93)</f>
        <v>152.79999999999995</v>
      </c>
      <c r="X94" s="1242">
        <f t="shared" si="188"/>
        <v>13.973773568168326</v>
      </c>
      <c r="Y94" s="1270">
        <f t="shared" si="189"/>
        <v>2.3072699760300353</v>
      </c>
      <c r="Z94" s="1270"/>
      <c r="AA94" s="951"/>
      <c r="AB94" s="1283">
        <f>SUM(AB90:AB93)</f>
        <v>169.24500000000003</v>
      </c>
      <c r="AC94" s="1242">
        <f t="shared" si="190"/>
        <v>12.336549556490677</v>
      </c>
      <c r="AD94" s="1270">
        <f t="shared" si="191"/>
        <v>10.762434554973876</v>
      </c>
      <c r="AE94" s="951"/>
      <c r="AF94" s="1283">
        <f>SUM(AF90:AF93)</f>
        <v>143.61299999999997</v>
      </c>
      <c r="AG94" s="1242">
        <f t="shared" si="192"/>
        <v>9.815390314398952</v>
      </c>
      <c r="AH94" s="1270">
        <f t="shared" si="193"/>
        <v>-15.144908269077407</v>
      </c>
      <c r="AI94" s="951"/>
      <c r="AJ94" s="1283">
        <f>SUM(AJ90:AJ93)</f>
        <v>114.88099999999999</v>
      </c>
      <c r="AK94" s="1242">
        <f t="shared" si="194"/>
        <v>7.6931318903925749</v>
      </c>
      <c r="AL94" s="1270">
        <f t="shared" si="195"/>
        <v>-20.006545368455498</v>
      </c>
      <c r="AM94" s="951"/>
      <c r="AN94" s="1283">
        <f>SUM(AN90:AN93)</f>
        <v>366.83500000000004</v>
      </c>
      <c r="AO94" s="1242">
        <f t="shared" si="196"/>
        <v>19.499628170978628</v>
      </c>
      <c r="AP94" s="1270">
        <f t="shared" si="197"/>
        <v>219.31738059383196</v>
      </c>
      <c r="AQ94" s="951"/>
      <c r="AR94" s="1283">
        <f>SUM(AR90:AR93)</f>
        <v>476.96700000000021</v>
      </c>
      <c r="AS94" s="1242">
        <f t="shared" si="198"/>
        <v>20.54155063691827</v>
      </c>
      <c r="AT94" s="1270">
        <f t="shared" si="199"/>
        <v>30.022217073071044</v>
      </c>
      <c r="AU94" s="951"/>
      <c r="AV94" s="1297">
        <f>SUM(AV90:AV93)</f>
        <v>629.06700000000001</v>
      </c>
      <c r="AW94" s="1243">
        <f t="shared" si="200"/>
        <v>22.511629471562681</v>
      </c>
      <c r="AX94" s="1271">
        <f t="shared" si="201"/>
        <v>31.888998609966677</v>
      </c>
      <c r="AY94" s="951"/>
      <c r="AZ94" s="1297">
        <f>SUM(AZ90:AZ93)</f>
        <v>636.38099999999986</v>
      </c>
      <c r="BA94" s="1243">
        <f t="shared" si="202"/>
        <v>20.827945365267411</v>
      </c>
      <c r="BB94" s="1271">
        <f t="shared" si="203"/>
        <v>1.1626742461454675</v>
      </c>
      <c r="BC94" s="951"/>
      <c r="BD94" s="1297">
        <f>SUM(BD90:BD93)</f>
        <v>326.64599999999996</v>
      </c>
      <c r="BE94" s="1243">
        <f t="shared" si="204"/>
        <v>10.928760272290559</v>
      </c>
      <c r="BF94" s="1271">
        <f t="shared" si="205"/>
        <v>-48.671314825552614</v>
      </c>
      <c r="BG94" s="1271"/>
      <c r="BH94" s="1297">
        <f>SUM(BH90:BH93)</f>
        <v>307.12399999999985</v>
      </c>
      <c r="BI94" s="1243">
        <f t="shared" si="206"/>
        <v>10.445438835698361</v>
      </c>
      <c r="BJ94" s="1271">
        <f t="shared" si="207"/>
        <v>-5.9765005541167255</v>
      </c>
      <c r="BK94" s="1271"/>
      <c r="BL94" s="1297">
        <f>SUM(BL90:BL93)</f>
        <v>341.57559999999995</v>
      </c>
      <c r="BM94" s="1243">
        <f t="shared" si="208"/>
        <v>11.597334595459738</v>
      </c>
      <c r="BN94" s="1271">
        <f t="shared" si="209"/>
        <v>11.21748870163195</v>
      </c>
      <c r="BO94" s="1271"/>
      <c r="BP94" s="1297">
        <f>SUM(BP90:BP93)</f>
        <v>299.92300000000006</v>
      </c>
      <c r="BQ94" s="1243">
        <f t="shared" si="210"/>
        <v>9.6127164017416327</v>
      </c>
      <c r="BR94" s="1271">
        <f t="shared" si="211"/>
        <v>-12.194255093162365</v>
      </c>
      <c r="BS94" s="1271"/>
      <c r="BT94" s="1297">
        <f>SUM(BT90:BT93)</f>
        <v>444.55600000000027</v>
      </c>
      <c r="BU94" s="1243">
        <f t="shared" si="212"/>
        <v>12.790026589546825</v>
      </c>
      <c r="BV94" s="1271">
        <f t="shared" si="213"/>
        <v>48.223377333515671</v>
      </c>
      <c r="BW94" s="1271"/>
      <c r="BX94" s="1297">
        <f>SUM(BX90:BX93)</f>
        <v>236.245</v>
      </c>
      <c r="BY94" s="1243">
        <f t="shared" si="214"/>
        <v>7.1463747677568117</v>
      </c>
      <c r="BZ94" s="1271">
        <f t="shared" si="215"/>
        <v>-46.85821358838934</v>
      </c>
      <c r="CA94" s="1271"/>
      <c r="CB94" s="1297">
        <f>SUM(CB90:CB93)</f>
        <v>210.59300000000013</v>
      </c>
      <c r="CC94" s="1243">
        <f t="shared" si="216"/>
        <v>6.4149111127560179</v>
      </c>
      <c r="CD94" s="1271">
        <f t="shared" si="217"/>
        <v>-10.858219221570774</v>
      </c>
      <c r="CE94" s="1271"/>
      <c r="CF94" s="1297">
        <f>SUM(CF90:CF93)</f>
        <v>321.87200000000001</v>
      </c>
      <c r="CG94" s="1243">
        <f t="shared" si="218"/>
        <v>9.1392927803812096</v>
      </c>
      <c r="CH94" s="1271">
        <f t="shared" si="219"/>
        <v>52.84078768050211</v>
      </c>
      <c r="CI94" s="1271"/>
      <c r="CJ94" s="1297">
        <f>SUM(CJ90:CJ93)</f>
        <v>356.42700000000019</v>
      </c>
      <c r="CK94" s="1243">
        <f t="shared" si="220"/>
        <v>9.8736933375624893</v>
      </c>
      <c r="CL94" s="1271">
        <f t="shared" si="221"/>
        <v>10.735634040861019</v>
      </c>
      <c r="CM94" s="1271"/>
      <c r="CN94" s="1297">
        <f>SUM(CN90:CN93)</f>
        <v>317.42699999999991</v>
      </c>
      <c r="CO94" s="1243">
        <f t="shared" si="222"/>
        <v>8.3631379808296469</v>
      </c>
      <c r="CP94" s="1271">
        <f t="shared" si="223"/>
        <v>-10.941932008517952</v>
      </c>
      <c r="CQ94" s="1271"/>
      <c r="CR94" s="1297">
        <f>SUM(CR90:CR93)</f>
        <v>321.97611836278901</v>
      </c>
      <c r="CS94" s="1243">
        <f t="shared" si="224"/>
        <v>8.3709927385391811</v>
      </c>
      <c r="CT94" s="1271">
        <f t="shared" si="225"/>
        <v>1.4331226905049288</v>
      </c>
      <c r="CU94" s="1271"/>
      <c r="CV94" s="1271"/>
      <c r="CW94" s="1271"/>
      <c r="CX94" s="1315"/>
      <c r="CY94" s="1315"/>
      <c r="CZ94" s="1315"/>
      <c r="DA94" s="1271"/>
      <c r="DB94" s="1270"/>
      <c r="DC94" s="1270"/>
      <c r="DD94" s="1270"/>
      <c r="DE94" s="1273"/>
      <c r="DF94" s="1270"/>
      <c r="DG94" s="1270"/>
      <c r="DH94" s="951"/>
      <c r="DI94" s="951"/>
      <c r="DJ94" s="951"/>
      <c r="DK94" s="951"/>
      <c r="DL94" s="951"/>
      <c r="DM94" s="951"/>
      <c r="DN94" s="951"/>
      <c r="DO94" s="951"/>
      <c r="DP94" s="951"/>
      <c r="DQ94" s="951"/>
      <c r="DR94" s="951"/>
      <c r="DS94" s="951"/>
      <c r="DT94" s="951"/>
      <c r="DU94" s="951"/>
      <c r="DV94" s="951"/>
      <c r="DW94" s="951"/>
      <c r="DX94" s="951"/>
      <c r="DY94" s="951"/>
    </row>
    <row r="95" spans="1:129" ht="12.75" hidden="1" customHeight="1" outlineLevel="2">
      <c r="A95" s="1167" t="s">
        <v>769</v>
      </c>
      <c r="B95" s="951"/>
      <c r="C95" s="1226">
        <f>C90+C91</f>
        <v>-14.204999999999998</v>
      </c>
      <c r="D95" s="1241">
        <f t="shared" si="182"/>
        <v>-12.487472967983541</v>
      </c>
      <c r="E95" s="1269"/>
      <c r="F95" s="951"/>
      <c r="G95" s="1226">
        <f>G90+G91</f>
        <v>-4.3600000000000003</v>
      </c>
      <c r="H95" s="1242">
        <f t="shared" si="183"/>
        <v>-3.497709641966098</v>
      </c>
      <c r="I95" s="1326" t="s">
        <v>714</v>
      </c>
      <c r="J95" s="951"/>
      <c r="K95" s="1226">
        <f>K90+K91</f>
        <v>-4.1180000000000021</v>
      </c>
      <c r="L95" s="1242">
        <f t="shared" si="184"/>
        <v>-2.7992468272257018</v>
      </c>
      <c r="M95" s="1326" t="s">
        <v>714</v>
      </c>
      <c r="N95" s="951"/>
      <c r="O95" s="1226">
        <f>O90+O91</f>
        <v>25.298999999999996</v>
      </c>
      <c r="P95" s="1242">
        <f t="shared" si="185"/>
        <v>11.222801375180213</v>
      </c>
      <c r="Q95" s="1326" t="s">
        <v>714</v>
      </c>
      <c r="R95" s="951"/>
      <c r="S95" s="1226">
        <f>S90+S91</f>
        <v>48.097000000000008</v>
      </c>
      <c r="T95" s="1242">
        <f t="shared" si="186"/>
        <v>14.845394554085672</v>
      </c>
      <c r="U95" s="1270">
        <f t="shared" si="187"/>
        <v>90.114233764180469</v>
      </c>
      <c r="V95" s="951"/>
      <c r="W95" s="1226">
        <f>W90+W91</f>
        <v>25.341000000000001</v>
      </c>
      <c r="X95" s="1242">
        <f t="shared" si="188"/>
        <v>6.5484681220540812</v>
      </c>
      <c r="Y95" s="1270">
        <f t="shared" si="189"/>
        <v>-47.312722207206278</v>
      </c>
      <c r="Z95" s="1270"/>
      <c r="AA95" s="951"/>
      <c r="AB95" s="1226">
        <f>AB90+AB91</f>
        <v>48.856000000000009</v>
      </c>
      <c r="AC95" s="1242">
        <f t="shared" si="190"/>
        <v>8.9818730006986076</v>
      </c>
      <c r="AD95" s="1270">
        <f t="shared" si="191"/>
        <v>92.794285939781403</v>
      </c>
      <c r="AE95" s="951"/>
      <c r="AF95" s="1226">
        <f>AF90+AF91</f>
        <v>36.868999999999986</v>
      </c>
      <c r="AG95" s="1242">
        <f t="shared" si="192"/>
        <v>6.1747499970691306</v>
      </c>
      <c r="AH95" s="1270">
        <f t="shared" si="193"/>
        <v>-24.535369248403516</v>
      </c>
      <c r="AI95" s="951"/>
      <c r="AJ95" s="1226">
        <f>AJ90+AJ91</f>
        <v>23.471000000000004</v>
      </c>
      <c r="AK95" s="1242">
        <f t="shared" si="194"/>
        <v>3.731994727410628</v>
      </c>
      <c r="AL95" s="1270">
        <f t="shared" si="195"/>
        <v>-36.339472185304686</v>
      </c>
      <c r="AM95" s="951"/>
      <c r="AN95" s="1226">
        <f>AN90+AN91</f>
        <v>95.579000000000022</v>
      </c>
      <c r="AO95" s="1242">
        <f t="shared" si="196"/>
        <v>13.135623501990018</v>
      </c>
      <c r="AP95" s="1270">
        <f t="shared" si="197"/>
        <v>307.22167781517618</v>
      </c>
      <c r="AQ95" s="951"/>
      <c r="AR95" s="1226">
        <f>AR90+AR91</f>
        <v>180.98300000000006</v>
      </c>
      <c r="AS95" s="1242">
        <f t="shared" si="198"/>
        <v>18.613043724192551</v>
      </c>
      <c r="AT95" s="1270">
        <f t="shared" si="199"/>
        <v>89.354356082403058</v>
      </c>
      <c r="AU95" s="951"/>
      <c r="AV95" s="1166">
        <f>AV90+AV91</f>
        <v>224.583</v>
      </c>
      <c r="AW95" s="1243">
        <f t="shared" si="200"/>
        <v>19.967299516160868</v>
      </c>
      <c r="AX95" s="1271">
        <f t="shared" si="201"/>
        <v>24.090660448771395</v>
      </c>
      <c r="AY95" s="951"/>
      <c r="AZ95" s="1166">
        <f>AZ90+AZ91</f>
        <v>258.74099999999987</v>
      </c>
      <c r="BA95" s="1243">
        <f t="shared" si="202"/>
        <v>19.667521806054381</v>
      </c>
      <c r="BB95" s="1271">
        <f t="shared" si="203"/>
        <v>15.20952164678533</v>
      </c>
      <c r="BC95" s="951"/>
      <c r="BD95" s="1166">
        <f>BD90+BD91</f>
        <v>164.33900000000011</v>
      </c>
      <c r="BE95" s="1243">
        <f t="shared" si="204"/>
        <v>12.36452471829042</v>
      </c>
      <c r="BF95" s="1271">
        <f t="shared" si="205"/>
        <v>-36.485133782430999</v>
      </c>
      <c r="BG95" s="1271"/>
      <c r="BH95" s="1166">
        <f>BH90+BH91</f>
        <v>94.723000000000013</v>
      </c>
      <c r="BI95" s="1243">
        <f t="shared" si="206"/>
        <v>7.5870841032714287</v>
      </c>
      <c r="BJ95" s="1271">
        <f t="shared" si="207"/>
        <v>-42.361216753174865</v>
      </c>
      <c r="BK95" s="1271"/>
      <c r="BL95" s="1166">
        <f>BL90+BL91</f>
        <v>97.230999999999995</v>
      </c>
      <c r="BM95" s="1243">
        <f t="shared" si="208"/>
        <v>7.5147948659090895</v>
      </c>
      <c r="BN95" s="1271">
        <f t="shared" si="209"/>
        <v>2.6477201946728757</v>
      </c>
      <c r="BO95" s="1271"/>
      <c r="BP95" s="1166">
        <f>BP90+BP91</f>
        <v>88.142000000000053</v>
      </c>
      <c r="BQ95" s="1243">
        <f t="shared" si="210"/>
        <v>6.928291374653754</v>
      </c>
      <c r="BR95" s="1271">
        <f t="shared" si="211"/>
        <v>-9.3478417377173333</v>
      </c>
      <c r="BS95" s="1271"/>
      <c r="BT95" s="1166">
        <f>BT90+BT91</f>
        <v>134.34500000000003</v>
      </c>
      <c r="BU95" s="1243">
        <f t="shared" si="212"/>
        <v>9.2755674462759998</v>
      </c>
      <c r="BV95" s="1271">
        <f t="shared" si="213"/>
        <v>52.418824170089117</v>
      </c>
      <c r="BW95" s="1271"/>
      <c r="BX95" s="1166">
        <f>BX90+BX91</f>
        <v>87.251999999999967</v>
      </c>
      <c r="BY95" s="1243">
        <f t="shared" si="214"/>
        <v>6.202205019939008</v>
      </c>
      <c r="BZ95" s="1271">
        <f t="shared" si="215"/>
        <v>-35.053779448435037</v>
      </c>
      <c r="CA95" s="1271"/>
      <c r="CB95" s="1166">
        <f>CB90+CB91</f>
        <v>22.00800000000006</v>
      </c>
      <c r="CC95" s="1243">
        <f t="shared" si="216"/>
        <v>1.6221427497412928</v>
      </c>
      <c r="CD95" s="1271">
        <f t="shared" si="217"/>
        <v>-74.776509420987409</v>
      </c>
      <c r="CE95" s="1271"/>
      <c r="CF95" s="1166">
        <f>CF90+CF91</f>
        <v>98.865999999999957</v>
      </c>
      <c r="CG95" s="1243">
        <f t="shared" si="218"/>
        <v>6.6045046320914267</v>
      </c>
      <c r="CH95" s="1271">
        <f t="shared" si="219"/>
        <v>349.22755361686518</v>
      </c>
      <c r="CI95" s="1271"/>
      <c r="CJ95" s="1166">
        <f>CJ90+CJ91</f>
        <v>129.13600000000008</v>
      </c>
      <c r="CK95" s="1243">
        <f t="shared" si="220"/>
        <v>8.2147060133205301</v>
      </c>
      <c r="CL95" s="1271">
        <f t="shared" si="221"/>
        <v>30.617199037080624</v>
      </c>
      <c r="CM95" s="1271"/>
      <c r="CN95" s="1166">
        <f>CN90+CN91</f>
        <v>95.705999999999932</v>
      </c>
      <c r="CO95" s="1243">
        <f t="shared" si="222"/>
        <v>5.9578197863162954</v>
      </c>
      <c r="CP95" s="1271">
        <f t="shared" si="223"/>
        <v>-25.887436501053251</v>
      </c>
      <c r="CQ95" s="1271"/>
      <c r="CR95" s="1166">
        <f>CR90+CR91</f>
        <v>125.94514349520111</v>
      </c>
      <c r="CS95" s="1243">
        <f t="shared" si="224"/>
        <v>7.3236263484491495</v>
      </c>
      <c r="CT95" s="1271">
        <f t="shared" si="225"/>
        <v>31.595870159865846</v>
      </c>
      <c r="CU95" s="1271"/>
      <c r="CV95" s="1271"/>
      <c r="CW95" s="1271"/>
      <c r="CX95" s="1271"/>
      <c r="CY95" s="1271"/>
      <c r="CZ95" s="1271"/>
      <c r="DA95" s="1271"/>
      <c r="DB95" s="1270"/>
      <c r="DC95" s="1270"/>
      <c r="DD95" s="1270"/>
      <c r="DE95" s="1270"/>
      <c r="DF95" s="1270"/>
      <c r="DG95" s="1270"/>
      <c r="DH95" s="951"/>
      <c r="DI95" s="951"/>
      <c r="DJ95" s="951"/>
      <c r="DK95" s="951"/>
      <c r="DL95" s="951"/>
      <c r="DM95" s="951"/>
      <c r="DN95" s="951"/>
      <c r="DO95" s="951"/>
      <c r="DP95" s="951"/>
      <c r="DQ95" s="951"/>
      <c r="DR95" s="951"/>
      <c r="DS95" s="951"/>
      <c r="DT95" s="951"/>
      <c r="DU95" s="951"/>
      <c r="DV95" s="951"/>
      <c r="DW95" s="951"/>
      <c r="DX95" s="951"/>
      <c r="DY95" s="951"/>
    </row>
    <row r="96" spans="1:129" ht="12.75" hidden="1" customHeight="1" outlineLevel="2">
      <c r="A96" s="1167" t="s">
        <v>770</v>
      </c>
      <c r="B96" s="951"/>
      <c r="C96" s="1226">
        <f>C90+C91+C92</f>
        <v>-13.491</v>
      </c>
      <c r="D96" s="1241">
        <f t="shared" si="182"/>
        <v>-6.7576976442478678</v>
      </c>
      <c r="E96" s="1269"/>
      <c r="F96" s="951"/>
      <c r="G96" s="1226">
        <f>G90+G91+G92</f>
        <v>-0.82499999999999707</v>
      </c>
      <c r="H96" s="1242">
        <f t="shared" si="183"/>
        <v>-0.40540739757934779</v>
      </c>
      <c r="I96" s="1326" t="s">
        <v>714</v>
      </c>
      <c r="J96" s="951"/>
      <c r="K96" s="1226">
        <f>K90+K91+K92</f>
        <v>6.221000000000009</v>
      </c>
      <c r="L96" s="1242">
        <f t="shared" si="184"/>
        <v>2.4685234491871491</v>
      </c>
      <c r="M96" s="1326" t="s">
        <v>714</v>
      </c>
      <c r="N96" s="951"/>
      <c r="O96" s="1226">
        <f>O90+O91+O92</f>
        <v>47.984000000000009</v>
      </c>
      <c r="P96" s="1242">
        <f t="shared" si="185"/>
        <v>12.813056585837387</v>
      </c>
      <c r="Q96" s="1270">
        <f>(O96/K96-1)*100</f>
        <v>671.32293843433433</v>
      </c>
      <c r="R96" s="951"/>
      <c r="S96" s="1226">
        <f>S90+S91+S92</f>
        <v>88.193000000000012</v>
      </c>
      <c r="T96" s="1242">
        <f t="shared" si="186"/>
        <v>16.132501888676906</v>
      </c>
      <c r="U96" s="1270">
        <f t="shared" si="187"/>
        <v>83.796682227409121</v>
      </c>
      <c r="V96" s="951"/>
      <c r="W96" s="1226">
        <f>W90+W91+W92</f>
        <v>73.253</v>
      </c>
      <c r="X96" s="1242">
        <f t="shared" si="188"/>
        <v>10.937479003140012</v>
      </c>
      <c r="Y96" s="1270">
        <f t="shared" si="189"/>
        <v>-16.940119964169497</v>
      </c>
      <c r="Z96" s="1270"/>
      <c r="AA96" s="951"/>
      <c r="AB96" s="1226">
        <f>AB90+AB91+AB92</f>
        <v>98.435000000000002</v>
      </c>
      <c r="AC96" s="1242">
        <f t="shared" si="190"/>
        <v>10.845648794236221</v>
      </c>
      <c r="AD96" s="1270">
        <f t="shared" si="191"/>
        <v>34.3767490751232</v>
      </c>
      <c r="AE96" s="951"/>
      <c r="AF96" s="1226">
        <f>AF90+AF91+AF92</f>
        <v>80.669000000000025</v>
      </c>
      <c r="AG96" s="1242">
        <f t="shared" si="192"/>
        <v>8.3028076744542734</v>
      </c>
      <c r="AH96" s="1270">
        <f t="shared" si="193"/>
        <v>-18.048458373545973</v>
      </c>
      <c r="AI96" s="951"/>
      <c r="AJ96" s="1226">
        <f>AJ90+AJ91+AJ92</f>
        <v>45.118000000000009</v>
      </c>
      <c r="AK96" s="1242">
        <f t="shared" si="194"/>
        <v>4.4995926052619257</v>
      </c>
      <c r="AL96" s="1270">
        <f t="shared" si="195"/>
        <v>-44.070212845082999</v>
      </c>
      <c r="AM96" s="951"/>
      <c r="AN96" s="1226">
        <f>AN90+AN91+AN92</f>
        <v>191.80500000000001</v>
      </c>
      <c r="AO96" s="1242">
        <f t="shared" si="196"/>
        <v>15.888195742770355</v>
      </c>
      <c r="AP96" s="1270">
        <f t="shared" si="197"/>
        <v>325.11857795115031</v>
      </c>
      <c r="AQ96" s="951"/>
      <c r="AR96" s="1226">
        <f>AR90+AR91+AR92</f>
        <v>298.36300000000011</v>
      </c>
      <c r="AS96" s="1242">
        <f t="shared" si="198"/>
        <v>19.213377363010441</v>
      </c>
      <c r="AT96" s="1270">
        <f t="shared" si="199"/>
        <v>55.555381767941455</v>
      </c>
      <c r="AU96" s="951"/>
      <c r="AV96" s="1166">
        <f>AV90+AV91+AV92</f>
        <v>386.16399999999999</v>
      </c>
      <c r="AW96" s="1243">
        <f t="shared" si="200"/>
        <v>21.205638084527337</v>
      </c>
      <c r="AX96" s="1271">
        <f t="shared" si="201"/>
        <v>29.42757647563532</v>
      </c>
      <c r="AY96" s="951"/>
      <c r="AZ96" s="1166">
        <f>AZ90+AZ91+AZ92</f>
        <v>416.53499999999985</v>
      </c>
      <c r="BA96" s="1243">
        <f t="shared" si="202"/>
        <v>20.219968951727598</v>
      </c>
      <c r="BB96" s="1271">
        <f t="shared" si="203"/>
        <v>7.8647931966728812</v>
      </c>
      <c r="BC96" s="951"/>
      <c r="BD96" s="1166">
        <f>BD90+BD91+BD92</f>
        <v>263.68800000000005</v>
      </c>
      <c r="BE96" s="1243">
        <f t="shared" si="204"/>
        <v>12.658119686840093</v>
      </c>
      <c r="BF96" s="1271">
        <f t="shared" si="205"/>
        <v>-36.694875580683458</v>
      </c>
      <c r="BG96" s="1271"/>
      <c r="BH96" s="1166">
        <f>BH90+BH91+BH92</f>
        <v>178.84599999999995</v>
      </c>
      <c r="BI96" s="1243">
        <f t="shared" si="206"/>
        <v>9.012198612438068</v>
      </c>
      <c r="BJ96" s="1271">
        <f t="shared" si="207"/>
        <v>-32.175146385121842</v>
      </c>
      <c r="BK96" s="1271"/>
      <c r="BL96" s="1166">
        <f>BL90+BL91+BL92</f>
        <v>197.56199999999995</v>
      </c>
      <c r="BM96" s="1243">
        <f t="shared" si="208"/>
        <v>9.6905396059272757</v>
      </c>
      <c r="BN96" s="1271">
        <f t="shared" si="209"/>
        <v>10.464869217091799</v>
      </c>
      <c r="BO96" s="1271"/>
      <c r="BP96" s="1166">
        <f>BP90+BP91+BP92</f>
        <v>179.88799999999998</v>
      </c>
      <c r="BQ96" s="1243">
        <f t="shared" si="210"/>
        <v>8.6004026538243252</v>
      </c>
      <c r="BR96" s="1271">
        <f t="shared" si="211"/>
        <v>-8.9460523784938299</v>
      </c>
      <c r="BS96" s="1271"/>
      <c r="BT96" s="1166">
        <f>BT90+BT91+BT92</f>
        <v>265.70800000000008</v>
      </c>
      <c r="BU96" s="1243">
        <f t="shared" si="212"/>
        <v>11.264784849935287</v>
      </c>
      <c r="BV96" s="1271">
        <f t="shared" si="213"/>
        <v>47.707462421062054</v>
      </c>
      <c r="BW96" s="1271"/>
      <c r="BX96" s="1166">
        <f>BX90+BX91+BX92</f>
        <v>148.92399999999998</v>
      </c>
      <c r="BY96" s="1243">
        <f t="shared" si="214"/>
        <v>6.5776391891682984</v>
      </c>
      <c r="BZ96" s="1271">
        <f t="shared" si="215"/>
        <v>-43.952007466843327</v>
      </c>
      <c r="CA96" s="1271"/>
      <c r="CB96" s="1166">
        <f>CB90+CB91+CB92</f>
        <v>96.831000000000046</v>
      </c>
      <c r="CC96" s="1243">
        <f t="shared" si="216"/>
        <v>4.3794838024544411</v>
      </c>
      <c r="CD96" s="1271">
        <f t="shared" si="217"/>
        <v>-34.979586903386931</v>
      </c>
      <c r="CE96" s="1271"/>
      <c r="CF96" s="1166">
        <f>CF90+CF91+CF92</f>
        <v>208.49799999999999</v>
      </c>
      <c r="CG96" s="1243">
        <f t="shared" si="218"/>
        <v>8.6298126671136828</v>
      </c>
      <c r="CH96" s="1271">
        <f t="shared" si="219"/>
        <v>115.32153958959412</v>
      </c>
      <c r="CI96" s="1271"/>
      <c r="CJ96" s="1166">
        <f>CJ90+CJ91+CJ92</f>
        <v>248.00700000000012</v>
      </c>
      <c r="CK96" s="1243">
        <f t="shared" si="220"/>
        <v>9.8704578768209625</v>
      </c>
      <c r="CL96" s="1271">
        <f t="shared" si="221"/>
        <v>18.949342439735695</v>
      </c>
      <c r="CM96" s="1271"/>
      <c r="CN96" s="1166">
        <f>CN90+CN91+CN92</f>
        <v>197.08099999999996</v>
      </c>
      <c r="CO96" s="1243">
        <f t="shared" si="222"/>
        <v>7.6780038849536343</v>
      </c>
      <c r="CP96" s="1271">
        <f t="shared" si="223"/>
        <v>-20.534097827883947</v>
      </c>
      <c r="CQ96" s="1271"/>
      <c r="CR96" s="1166">
        <f>CR90+CR91+CR92</f>
        <v>225.84381732544628</v>
      </c>
      <c r="CS96" s="1243">
        <f t="shared" si="224"/>
        <v>8.4267446771578012</v>
      </c>
      <c r="CT96" s="1271">
        <f t="shared" si="225"/>
        <v>14.594414137053469</v>
      </c>
      <c r="CU96" s="1158"/>
      <c r="CV96" s="1271"/>
      <c r="CW96" s="1158"/>
      <c r="CX96" s="1158"/>
      <c r="CY96" s="1271"/>
      <c r="CZ96" s="1271"/>
      <c r="DA96" s="1271"/>
      <c r="DB96" s="1270"/>
      <c r="DC96" s="1270"/>
      <c r="DD96" s="1270"/>
      <c r="DE96" s="1270"/>
      <c r="DF96" s="1270"/>
      <c r="DG96" s="1270"/>
      <c r="DH96" s="951"/>
      <c r="DI96" s="951"/>
      <c r="DJ96" s="951"/>
      <c r="DK96" s="951"/>
      <c r="DL96" s="951"/>
      <c r="DM96" s="951"/>
      <c r="DN96" s="951"/>
      <c r="DO96" s="951"/>
      <c r="DP96" s="951"/>
      <c r="DQ96" s="951"/>
      <c r="DR96" s="951"/>
      <c r="DS96" s="951"/>
      <c r="DT96" s="951"/>
      <c r="DU96" s="951"/>
      <c r="DV96" s="951"/>
      <c r="DW96" s="951"/>
      <c r="DX96" s="951"/>
      <c r="DY96" s="951"/>
    </row>
    <row r="97" spans="1:129" ht="12.75" outlineLevel="1" collapsed="1">
      <c r="A97" s="1167"/>
      <c r="B97" s="951"/>
      <c r="C97" s="951"/>
      <c r="D97" s="951"/>
      <c r="E97" s="951"/>
      <c r="F97" s="951"/>
      <c r="G97" s="951"/>
      <c r="H97" s="951"/>
      <c r="I97" s="951"/>
      <c r="J97" s="951"/>
      <c r="K97" s="951"/>
      <c r="L97" s="951"/>
      <c r="M97" s="951"/>
      <c r="N97" s="951"/>
      <c r="O97" s="951"/>
      <c r="P97" s="1328"/>
      <c r="Q97" s="951"/>
      <c r="R97" s="951"/>
      <c r="S97" s="951"/>
      <c r="T97" s="951"/>
      <c r="U97" s="951"/>
      <c r="V97" s="951"/>
      <c r="W97" s="951"/>
      <c r="X97" s="951"/>
      <c r="Y97" s="951"/>
      <c r="Z97" s="951"/>
      <c r="AA97" s="951"/>
      <c r="AB97" s="951"/>
      <c r="AC97" s="951"/>
      <c r="AD97" s="951"/>
      <c r="AE97" s="951"/>
      <c r="AF97" s="951"/>
      <c r="AG97" s="951"/>
      <c r="AH97" s="951"/>
      <c r="AI97" s="951"/>
      <c r="AJ97" s="951"/>
      <c r="AK97" s="951"/>
      <c r="AL97" s="951"/>
      <c r="AM97" s="951"/>
      <c r="AN97" s="951"/>
      <c r="AO97" s="951"/>
      <c r="AP97" s="951"/>
      <c r="AQ97" s="951"/>
      <c r="AR97" s="951"/>
      <c r="AS97" s="951"/>
      <c r="AT97" s="951"/>
      <c r="AU97" s="951"/>
      <c r="AV97" s="1158"/>
      <c r="AW97" s="1158"/>
      <c r="AX97" s="1158"/>
      <c r="AY97" s="951"/>
      <c r="AZ97" s="1158"/>
      <c r="BA97" s="1158"/>
      <c r="BB97" s="1158"/>
      <c r="BC97" s="951"/>
      <c r="BD97" s="1158"/>
      <c r="BE97" s="1158"/>
      <c r="BF97" s="1158"/>
      <c r="BG97" s="1158"/>
      <c r="BH97" s="1158"/>
      <c r="BI97" s="1158"/>
      <c r="BJ97" s="1158"/>
      <c r="BK97" s="1158"/>
      <c r="BL97" s="1158"/>
      <c r="BM97" s="1158"/>
      <c r="BN97" s="1158"/>
      <c r="BO97" s="1158"/>
      <c r="BP97" s="1329"/>
      <c r="BQ97" s="1158"/>
      <c r="BR97" s="1158"/>
      <c r="BS97" s="1158"/>
      <c r="BT97" s="1158"/>
      <c r="BU97" s="1158"/>
      <c r="BV97" s="1158"/>
      <c r="BW97" s="1158"/>
      <c r="BX97" s="1158"/>
      <c r="BY97" s="1158"/>
      <c r="BZ97" s="1158"/>
      <c r="CA97" s="1158"/>
      <c r="CB97" s="1158"/>
      <c r="CC97" s="1158"/>
      <c r="CD97" s="1158"/>
      <c r="CE97" s="1158"/>
      <c r="CF97" s="1158"/>
      <c r="CG97" s="1158"/>
      <c r="CH97" s="1158"/>
      <c r="CI97" s="1158"/>
      <c r="CJ97" s="1158"/>
      <c r="CK97" s="1158"/>
      <c r="CL97" s="1158"/>
      <c r="CM97" s="1158"/>
      <c r="CN97" s="1158"/>
      <c r="CO97" s="1158"/>
      <c r="CP97" s="1158"/>
      <c r="CQ97" s="1158"/>
      <c r="CR97" s="1158"/>
      <c r="CS97" s="1158"/>
      <c r="CT97" s="1158"/>
      <c r="CU97" s="1185"/>
      <c r="CV97" s="1158"/>
      <c r="CW97" s="1185"/>
      <c r="CX97" s="1185"/>
      <c r="CY97" s="1185"/>
      <c r="CZ97" s="1185"/>
      <c r="DA97" s="1158"/>
      <c r="DB97" s="951"/>
      <c r="DC97" s="951"/>
      <c r="DD97" s="951"/>
      <c r="DE97" s="951"/>
      <c r="DF97" s="951"/>
      <c r="DG97" s="951"/>
      <c r="DH97" s="951"/>
      <c r="DI97" s="951"/>
      <c r="DJ97" s="951"/>
      <c r="DK97" s="951"/>
      <c r="DL97" s="951"/>
      <c r="DM97" s="951"/>
      <c r="DN97" s="951"/>
      <c r="DO97" s="951"/>
      <c r="DP97" s="951"/>
      <c r="DQ97" s="951"/>
      <c r="DR97" s="951"/>
      <c r="DS97" s="951"/>
      <c r="DT97" s="951"/>
      <c r="DU97" s="951"/>
      <c r="DV97" s="951"/>
      <c r="DW97" s="951"/>
      <c r="DX97" s="951"/>
      <c r="DY97" s="951"/>
    </row>
    <row r="98" spans="1:129" ht="12.75" hidden="1" customHeight="1" outlineLevel="2">
      <c r="A98" s="1183" t="s">
        <v>774</v>
      </c>
      <c r="B98" s="1182"/>
      <c r="C98" s="1182"/>
      <c r="D98" s="1182"/>
      <c r="E98" s="1182"/>
      <c r="F98" s="1182"/>
      <c r="G98" s="1182"/>
      <c r="H98" s="1182"/>
      <c r="I98" s="1182"/>
      <c r="J98" s="1182"/>
      <c r="K98" s="1182"/>
      <c r="L98" s="1182"/>
      <c r="M98" s="1182"/>
      <c r="N98" s="1182"/>
      <c r="O98" s="1182"/>
      <c r="P98" s="1182"/>
      <c r="Q98" s="1182"/>
      <c r="R98" s="1182"/>
      <c r="S98" s="1182"/>
      <c r="T98" s="1182"/>
      <c r="U98" s="1182"/>
      <c r="V98" s="1182"/>
      <c r="W98" s="1182"/>
      <c r="X98" s="1182"/>
      <c r="Y98" s="1182"/>
      <c r="Z98" s="1182"/>
      <c r="AA98" s="1183"/>
      <c r="AB98" s="1184"/>
      <c r="AC98" s="1183"/>
      <c r="AD98" s="1183"/>
      <c r="AE98" s="1183"/>
      <c r="AF98" s="1184"/>
      <c r="AG98" s="1183"/>
      <c r="AH98" s="1183"/>
      <c r="AI98" s="1183"/>
      <c r="AJ98" s="1184"/>
      <c r="AK98" s="1183"/>
      <c r="AL98" s="1183"/>
      <c r="AM98" s="1183"/>
      <c r="AN98" s="1184"/>
      <c r="AO98" s="1183"/>
      <c r="AP98" s="1183"/>
      <c r="AQ98" s="1183"/>
      <c r="AR98" s="1184"/>
      <c r="AS98" s="1183"/>
      <c r="AT98" s="1183"/>
      <c r="AU98" s="1183"/>
      <c r="AV98" s="1186"/>
      <c r="AW98" s="1185"/>
      <c r="AX98" s="1185"/>
      <c r="AY98" s="1183"/>
      <c r="AZ98" s="1186"/>
      <c r="BA98" s="1185"/>
      <c r="BB98" s="1185"/>
      <c r="BC98" s="1183"/>
      <c r="BD98" s="1186"/>
      <c r="BE98" s="1185"/>
      <c r="BF98" s="1185"/>
      <c r="BG98" s="1185"/>
      <c r="BH98" s="1186"/>
      <c r="BI98" s="1185"/>
      <c r="BJ98" s="1185"/>
      <c r="BK98" s="1185"/>
      <c r="BL98" s="1186"/>
      <c r="BM98" s="1185"/>
      <c r="BN98" s="1185"/>
      <c r="BO98" s="1185"/>
      <c r="BP98" s="1186"/>
      <c r="BQ98" s="1185"/>
      <c r="BR98" s="1185"/>
      <c r="BS98" s="1185"/>
      <c r="BT98" s="1186"/>
      <c r="BU98" s="1185"/>
      <c r="BV98" s="1185"/>
      <c r="BW98" s="1185"/>
      <c r="BX98" s="1185"/>
      <c r="BY98" s="1185"/>
      <c r="BZ98" s="1185"/>
      <c r="CA98" s="1185"/>
      <c r="CB98" s="1185"/>
      <c r="CC98" s="1185"/>
      <c r="CD98" s="1185"/>
      <c r="CE98" s="1185"/>
      <c r="CF98" s="1185"/>
      <c r="CG98" s="1185"/>
      <c r="CH98" s="1185"/>
      <c r="CI98" s="1185"/>
      <c r="CJ98" s="1185"/>
      <c r="CK98" s="1185"/>
      <c r="CL98" s="1185"/>
      <c r="CM98" s="1185"/>
      <c r="CN98" s="1185"/>
      <c r="CO98" s="1185"/>
      <c r="CP98" s="1185"/>
      <c r="CQ98" s="1185"/>
      <c r="CR98" s="1185"/>
      <c r="CS98" s="1185"/>
      <c r="CT98" s="1185"/>
      <c r="CU98" s="1185"/>
      <c r="CV98" s="1185"/>
      <c r="CW98" s="1185"/>
      <c r="CX98" s="1185"/>
      <c r="CY98" s="1185"/>
      <c r="CZ98" s="1185"/>
      <c r="DA98" s="1185"/>
      <c r="DB98" s="1183"/>
      <c r="DC98" s="1183"/>
      <c r="DD98" s="1183"/>
      <c r="DE98" s="1183"/>
      <c r="DF98" s="1183"/>
      <c r="DG98" s="1183"/>
      <c r="DH98" s="45"/>
      <c r="DI98" s="45"/>
      <c r="DJ98" s="45"/>
      <c r="DK98" s="45"/>
      <c r="DL98" s="45"/>
      <c r="DM98" s="45"/>
      <c r="DN98" s="45"/>
      <c r="DO98" s="45"/>
      <c r="DP98" s="45"/>
      <c r="DQ98" s="45"/>
      <c r="DR98" s="45"/>
      <c r="DS98" s="45"/>
      <c r="DT98" s="45"/>
      <c r="DU98" s="45"/>
      <c r="DV98" s="45"/>
      <c r="DW98" s="45"/>
      <c r="DX98" s="45"/>
      <c r="DY98" s="45"/>
    </row>
    <row r="99" spans="1:129" ht="12.75" hidden="1" customHeight="1" outlineLevel="2">
      <c r="A99" s="1182"/>
      <c r="B99" s="1183"/>
      <c r="C99" s="1183"/>
      <c r="D99" s="1183"/>
      <c r="E99" s="1183"/>
      <c r="F99" s="1183"/>
      <c r="G99" s="1183"/>
      <c r="H99" s="1183"/>
      <c r="I99" s="1183"/>
      <c r="J99" s="1183"/>
      <c r="K99" s="1183"/>
      <c r="L99" s="1183"/>
      <c r="M99" s="1183"/>
      <c r="N99" s="45"/>
      <c r="O99" s="1183"/>
      <c r="P99" s="1183"/>
      <c r="Q99" s="1183"/>
      <c r="R99" s="45"/>
      <c r="S99" s="1183"/>
      <c r="T99" s="1183"/>
      <c r="U99" s="1183"/>
      <c r="V99" s="45"/>
      <c r="W99" s="1183"/>
      <c r="X99" s="1183"/>
      <c r="Y99" s="1183"/>
      <c r="Z99" s="1183"/>
      <c r="AA99" s="45"/>
      <c r="AB99" s="1183"/>
      <c r="AC99" s="1183"/>
      <c r="AD99" s="1183"/>
      <c r="AE99" s="45"/>
      <c r="AF99" s="1183"/>
      <c r="AG99" s="1183"/>
      <c r="AH99" s="1183"/>
      <c r="AI99" s="45"/>
      <c r="AJ99" s="1183"/>
      <c r="AK99" s="1183"/>
      <c r="AL99" s="1183"/>
      <c r="AM99" s="45"/>
      <c r="AN99" s="1183"/>
      <c r="AO99" s="1183"/>
      <c r="AP99" s="1183"/>
      <c r="AQ99" s="45"/>
      <c r="AR99" s="1183"/>
      <c r="AS99" s="1183"/>
      <c r="AT99" s="1183"/>
      <c r="AU99" s="45"/>
      <c r="AV99" s="1185"/>
      <c r="AW99" s="1185"/>
      <c r="AX99" s="1185"/>
      <c r="AY99" s="45"/>
      <c r="AZ99" s="1185"/>
      <c r="BA99" s="1185"/>
      <c r="BB99" s="1185"/>
      <c r="BC99" s="45"/>
      <c r="BD99" s="1185"/>
      <c r="BE99" s="1185"/>
      <c r="BF99" s="1185"/>
      <c r="BG99" s="1185"/>
      <c r="BH99" s="1185"/>
      <c r="BI99" s="1185"/>
      <c r="BJ99" s="1185"/>
      <c r="BK99" s="1185"/>
      <c r="BL99" s="1185"/>
      <c r="BM99" s="1185"/>
      <c r="BN99" s="1185"/>
      <c r="BO99" s="1185"/>
      <c r="BP99" s="1185"/>
      <c r="BQ99" s="1185"/>
      <c r="BR99" s="1185"/>
      <c r="BS99" s="1185"/>
      <c r="BT99" s="1185"/>
      <c r="BU99" s="1185"/>
      <c r="BV99" s="1185"/>
      <c r="BW99" s="1185"/>
      <c r="BX99" s="1185"/>
      <c r="BY99" s="1185"/>
      <c r="BZ99" s="1185"/>
      <c r="CA99" s="1185"/>
      <c r="CB99" s="1185"/>
      <c r="CC99" s="1185"/>
      <c r="CD99" s="1185"/>
      <c r="CE99" s="1185"/>
      <c r="CF99" s="1185"/>
      <c r="CG99" s="1185"/>
      <c r="CH99" s="1185"/>
      <c r="CI99" s="1185"/>
      <c r="CJ99" s="1185"/>
      <c r="CK99" s="1185"/>
      <c r="CL99" s="1185"/>
      <c r="CM99" s="1185"/>
      <c r="CN99" s="1185"/>
      <c r="CO99" s="1185"/>
      <c r="CP99" s="1185"/>
      <c r="CQ99" s="1185"/>
      <c r="CR99" s="1185"/>
      <c r="CS99" s="1185"/>
      <c r="CT99" s="1185"/>
      <c r="CU99" s="1158"/>
      <c r="CV99" s="1185"/>
      <c r="CW99" s="1158"/>
      <c r="CX99" s="1158"/>
      <c r="CY99" s="1185"/>
      <c r="CZ99" s="1185"/>
      <c r="DA99" s="1185"/>
      <c r="DB99" s="1183"/>
      <c r="DC99" s="1183"/>
      <c r="DD99" s="1183"/>
      <c r="DE99" s="1183"/>
      <c r="DF99" s="1183"/>
      <c r="DG99" s="1183"/>
      <c r="DH99" s="45"/>
      <c r="DI99" s="45"/>
      <c r="DJ99" s="45"/>
      <c r="DK99" s="45"/>
      <c r="DL99" s="45"/>
      <c r="DM99" s="45"/>
      <c r="DN99" s="45"/>
      <c r="DO99" s="45"/>
      <c r="DP99" s="45"/>
      <c r="DQ99" s="45"/>
      <c r="DR99" s="45"/>
      <c r="DS99" s="45"/>
      <c r="DT99" s="45"/>
      <c r="DU99" s="45"/>
      <c r="DV99" s="45"/>
      <c r="DW99" s="45"/>
      <c r="DX99" s="45"/>
      <c r="DY99" s="45"/>
    </row>
    <row r="100" spans="1:129" ht="12.75" hidden="1" customHeight="1" outlineLevel="2">
      <c r="A100" s="1167" t="s">
        <v>734</v>
      </c>
      <c r="B100" s="951"/>
      <c r="C100" s="1330">
        <v>0</v>
      </c>
      <c r="D100" s="951"/>
      <c r="E100" s="951"/>
      <c r="F100" s="951"/>
      <c r="G100" s="1331" t="s">
        <v>713</v>
      </c>
      <c r="H100" s="951"/>
      <c r="I100" s="951"/>
      <c r="J100" s="951"/>
      <c r="K100" s="1331" t="s">
        <v>713</v>
      </c>
      <c r="L100" s="951"/>
      <c r="M100" s="951"/>
      <c r="N100" s="951"/>
      <c r="O100" s="1331" t="s">
        <v>713</v>
      </c>
      <c r="P100" s="951"/>
      <c r="Q100" s="951"/>
      <c r="R100" s="951"/>
      <c r="S100" s="1331" t="s">
        <v>713</v>
      </c>
      <c r="T100" s="951"/>
      <c r="U100" s="951"/>
      <c r="V100" s="951"/>
      <c r="W100" s="1331"/>
      <c r="X100" s="951"/>
      <c r="Y100" s="951"/>
      <c r="Z100" s="951"/>
      <c r="AA100" s="951"/>
      <c r="AB100" s="1331"/>
      <c r="AC100" s="951"/>
      <c r="AD100" s="951"/>
      <c r="AE100" s="951"/>
      <c r="AF100" s="1331"/>
      <c r="AG100" s="951"/>
      <c r="AH100" s="951"/>
      <c r="AI100" s="951"/>
      <c r="AJ100" s="1331"/>
      <c r="AK100" s="951"/>
      <c r="AL100" s="951"/>
      <c r="AM100" s="951"/>
      <c r="AN100" s="1331"/>
      <c r="AO100" s="951"/>
      <c r="AP100" s="951"/>
      <c r="AQ100" s="951"/>
      <c r="AR100" s="1331"/>
      <c r="AS100" s="951"/>
      <c r="AT100" s="951"/>
      <c r="AU100" s="951"/>
      <c r="AV100" s="1332"/>
      <c r="AW100" s="1158"/>
      <c r="AX100" s="1158"/>
      <c r="AY100" s="951"/>
      <c r="AZ100" s="1332"/>
      <c r="BA100" s="1158"/>
      <c r="BB100" s="1158"/>
      <c r="BC100" s="951"/>
      <c r="BD100" s="1332"/>
      <c r="BE100" s="1158"/>
      <c r="BF100" s="1158"/>
      <c r="BG100" s="1158"/>
      <c r="BH100" s="1332"/>
      <c r="BI100" s="1158"/>
      <c r="BJ100" s="1158"/>
      <c r="BK100" s="1158"/>
      <c r="BL100" s="1332"/>
      <c r="BM100" s="1158"/>
      <c r="BN100" s="1158"/>
      <c r="BO100" s="1158"/>
      <c r="BP100" s="1332"/>
      <c r="BQ100" s="1158"/>
      <c r="BR100" s="1158"/>
      <c r="BS100" s="1158"/>
      <c r="BT100" s="1332"/>
      <c r="BU100" s="1158"/>
      <c r="BV100" s="1158"/>
      <c r="BW100" s="1158"/>
      <c r="BX100" s="1332"/>
      <c r="BY100" s="1158"/>
      <c r="BZ100" s="1158"/>
      <c r="CA100" s="1158"/>
      <c r="CB100" s="1332"/>
      <c r="CC100" s="1158"/>
      <c r="CD100" s="1158"/>
      <c r="CE100" s="1158"/>
      <c r="CF100" s="1332"/>
      <c r="CG100" s="1158"/>
      <c r="CH100" s="1158"/>
      <c r="CI100" s="1158"/>
      <c r="CJ100" s="1332"/>
      <c r="CK100" s="1158"/>
      <c r="CL100" s="1158"/>
      <c r="CM100" s="1158"/>
      <c r="CN100" s="1332"/>
      <c r="CO100" s="1158"/>
      <c r="CP100" s="1158"/>
      <c r="CQ100" s="1158"/>
      <c r="CR100" s="1332"/>
      <c r="CS100" s="1158"/>
      <c r="CT100" s="1158"/>
      <c r="CU100" s="1158"/>
      <c r="CV100" s="1158"/>
      <c r="CW100" s="1158"/>
      <c r="CX100" s="1158"/>
      <c r="CY100" s="1158"/>
      <c r="CZ100" s="1158"/>
      <c r="DA100" s="1158"/>
      <c r="DB100" s="951"/>
      <c r="DC100" s="951"/>
      <c r="DD100" s="951"/>
      <c r="DE100" s="951"/>
      <c r="DF100" s="951"/>
      <c r="DG100" s="951"/>
      <c r="DH100" s="951"/>
      <c r="DI100" s="951"/>
      <c r="DJ100" s="951"/>
      <c r="DK100" s="951"/>
      <c r="DL100" s="951"/>
      <c r="DM100" s="951"/>
      <c r="DN100" s="951"/>
      <c r="DO100" s="951"/>
      <c r="DP100" s="951"/>
      <c r="DQ100" s="951"/>
      <c r="DR100" s="951"/>
      <c r="DS100" s="951"/>
      <c r="DT100" s="951"/>
      <c r="DU100" s="951"/>
      <c r="DV100" s="951"/>
      <c r="DW100" s="951"/>
      <c r="DX100" s="951"/>
      <c r="DY100" s="951"/>
    </row>
    <row r="101" spans="1:129" ht="12.75" hidden="1" customHeight="1" outlineLevel="2">
      <c r="A101" s="1167" t="s">
        <v>735</v>
      </c>
      <c r="B101" s="951"/>
      <c r="C101" s="1319">
        <v>0</v>
      </c>
      <c r="D101" s="951"/>
      <c r="E101" s="951"/>
      <c r="F101" s="951"/>
      <c r="G101" s="1331" t="s">
        <v>713</v>
      </c>
      <c r="H101" s="951"/>
      <c r="I101" s="951"/>
      <c r="J101" s="951"/>
      <c r="K101" s="1331" t="s">
        <v>713</v>
      </c>
      <c r="L101" s="951"/>
      <c r="M101" s="951"/>
      <c r="N101" s="951"/>
      <c r="O101" s="1331" t="s">
        <v>713</v>
      </c>
      <c r="P101" s="951"/>
      <c r="Q101" s="951"/>
      <c r="R101" s="951"/>
      <c r="S101" s="1331" t="s">
        <v>713</v>
      </c>
      <c r="T101" s="951"/>
      <c r="U101" s="951"/>
      <c r="V101" s="951"/>
      <c r="W101" s="1331"/>
      <c r="X101" s="951"/>
      <c r="Y101" s="951"/>
      <c r="Z101" s="951"/>
      <c r="AA101" s="951"/>
      <c r="AB101" s="1331"/>
      <c r="AC101" s="951"/>
      <c r="AD101" s="951"/>
      <c r="AE101" s="951"/>
      <c r="AF101" s="1331"/>
      <c r="AG101" s="951"/>
      <c r="AH101" s="951"/>
      <c r="AI101" s="951"/>
      <c r="AJ101" s="1331"/>
      <c r="AK101" s="951"/>
      <c r="AL101" s="951"/>
      <c r="AM101" s="951"/>
      <c r="AN101" s="1331"/>
      <c r="AO101" s="951"/>
      <c r="AP101" s="951"/>
      <c r="AQ101" s="951"/>
      <c r="AR101" s="1331"/>
      <c r="AS101" s="951"/>
      <c r="AT101" s="951"/>
      <c r="AU101" s="951"/>
      <c r="AV101" s="1332"/>
      <c r="AW101" s="1158"/>
      <c r="AX101" s="1158"/>
      <c r="AY101" s="951"/>
      <c r="AZ101" s="1332"/>
      <c r="BA101" s="1158"/>
      <c r="BB101" s="1158"/>
      <c r="BC101" s="951"/>
      <c r="BD101" s="1332"/>
      <c r="BE101" s="1158"/>
      <c r="BF101" s="1158"/>
      <c r="BG101" s="1158"/>
      <c r="BH101" s="1332"/>
      <c r="BI101" s="1158"/>
      <c r="BJ101" s="1158"/>
      <c r="BK101" s="1158"/>
      <c r="BL101" s="1332"/>
      <c r="BM101" s="1158"/>
      <c r="BN101" s="1158"/>
      <c r="BO101" s="1158"/>
      <c r="BP101" s="1332"/>
      <c r="BQ101" s="1158"/>
      <c r="BR101" s="1158"/>
      <c r="BS101" s="1158"/>
      <c r="BT101" s="1332"/>
      <c r="BU101" s="1158"/>
      <c r="BV101" s="1158"/>
      <c r="BW101" s="1158"/>
      <c r="BX101" s="1332"/>
      <c r="BY101" s="1158"/>
      <c r="BZ101" s="1158"/>
      <c r="CA101" s="1158"/>
      <c r="CB101" s="1332"/>
      <c r="CC101" s="1158"/>
      <c r="CD101" s="1158"/>
      <c r="CE101" s="1158"/>
      <c r="CF101" s="1332"/>
      <c r="CG101" s="1158"/>
      <c r="CH101" s="1158"/>
      <c r="CI101" s="1158"/>
      <c r="CJ101" s="1332"/>
      <c r="CK101" s="1158"/>
      <c r="CL101" s="1158"/>
      <c r="CM101" s="1158"/>
      <c r="CN101" s="1332"/>
      <c r="CO101" s="1158"/>
      <c r="CP101" s="1158"/>
      <c r="CQ101" s="1158"/>
      <c r="CR101" s="1332"/>
      <c r="CS101" s="1158"/>
      <c r="CT101" s="1158"/>
      <c r="CU101" s="1158"/>
      <c r="CV101" s="1158"/>
      <c r="CW101" s="1158"/>
      <c r="CX101" s="1158"/>
      <c r="CY101" s="1158"/>
      <c r="CZ101" s="1158"/>
      <c r="DA101" s="1158"/>
      <c r="DB101" s="951"/>
      <c r="DC101" s="951"/>
      <c r="DD101" s="951"/>
      <c r="DE101" s="951"/>
      <c r="DF101" s="951"/>
      <c r="DG101" s="951"/>
      <c r="DH101" s="951"/>
      <c r="DI101" s="951"/>
      <c r="DJ101" s="951"/>
      <c r="DK101" s="951"/>
      <c r="DL101" s="951"/>
      <c r="DM101" s="951"/>
      <c r="DN101" s="951"/>
      <c r="DO101" s="951"/>
      <c r="DP101" s="951"/>
      <c r="DQ101" s="951"/>
      <c r="DR101" s="951"/>
      <c r="DS101" s="951"/>
      <c r="DT101" s="951"/>
      <c r="DU101" s="951"/>
      <c r="DV101" s="951"/>
      <c r="DW101" s="951"/>
      <c r="DX101" s="951"/>
      <c r="DY101" s="951"/>
    </row>
    <row r="102" spans="1:129" ht="12.75" hidden="1" customHeight="1" outlineLevel="2">
      <c r="A102" s="1167" t="s">
        <v>736</v>
      </c>
      <c r="B102" s="951"/>
      <c r="C102" s="1333">
        <v>3.081</v>
      </c>
      <c r="D102" s="951"/>
      <c r="E102" s="951"/>
      <c r="F102" s="951"/>
      <c r="G102" s="1331" t="s">
        <v>713</v>
      </c>
      <c r="H102" s="951"/>
      <c r="I102" s="951"/>
      <c r="J102" s="951"/>
      <c r="K102" s="1331" t="s">
        <v>713</v>
      </c>
      <c r="L102" s="951"/>
      <c r="M102" s="951"/>
      <c r="N102" s="951"/>
      <c r="O102" s="1331" t="s">
        <v>713</v>
      </c>
      <c r="P102" s="951"/>
      <c r="Q102" s="951"/>
      <c r="R102" s="951"/>
      <c r="S102" s="1331" t="s">
        <v>713</v>
      </c>
      <c r="T102" s="951"/>
      <c r="U102" s="951"/>
      <c r="V102" s="951"/>
      <c r="W102" s="1331"/>
      <c r="X102" s="951"/>
      <c r="Y102" s="951"/>
      <c r="Z102" s="951"/>
      <c r="AA102" s="951"/>
      <c r="AB102" s="1331"/>
      <c r="AC102" s="951"/>
      <c r="AD102" s="951"/>
      <c r="AE102" s="951"/>
      <c r="AF102" s="1331"/>
      <c r="AG102" s="951"/>
      <c r="AH102" s="951"/>
      <c r="AI102" s="951"/>
      <c r="AJ102" s="1331"/>
      <c r="AK102" s="951"/>
      <c r="AL102" s="951"/>
      <c r="AM102" s="951"/>
      <c r="AN102" s="1331"/>
      <c r="AO102" s="951"/>
      <c r="AP102" s="951"/>
      <c r="AQ102" s="951"/>
      <c r="AR102" s="1331"/>
      <c r="AS102" s="951"/>
      <c r="AT102" s="951"/>
      <c r="AU102" s="951"/>
      <c r="AV102" s="1332"/>
      <c r="AW102" s="1158"/>
      <c r="AX102" s="1158"/>
      <c r="AY102" s="951"/>
      <c r="AZ102" s="1332"/>
      <c r="BA102" s="1158"/>
      <c r="BB102" s="1158"/>
      <c r="BC102" s="951"/>
      <c r="BD102" s="1332"/>
      <c r="BE102" s="1158"/>
      <c r="BF102" s="1158"/>
      <c r="BG102" s="1158"/>
      <c r="BH102" s="1332"/>
      <c r="BI102" s="1158"/>
      <c r="BJ102" s="1158"/>
      <c r="BK102" s="1158"/>
      <c r="BL102" s="1332"/>
      <c r="BM102" s="1158"/>
      <c r="BN102" s="1158"/>
      <c r="BO102" s="1158"/>
      <c r="BP102" s="1332"/>
      <c r="BQ102" s="1158"/>
      <c r="BR102" s="1158"/>
      <c r="BS102" s="1158"/>
      <c r="BT102" s="1332"/>
      <c r="BU102" s="1158"/>
      <c r="BV102" s="1158"/>
      <c r="BW102" s="1158"/>
      <c r="BX102" s="1332"/>
      <c r="BY102" s="1158"/>
      <c r="BZ102" s="1158"/>
      <c r="CA102" s="1158"/>
      <c r="CB102" s="1332"/>
      <c r="CC102" s="1158"/>
      <c r="CD102" s="1158"/>
      <c r="CE102" s="1158"/>
      <c r="CF102" s="1332"/>
      <c r="CG102" s="1158"/>
      <c r="CH102" s="1158"/>
      <c r="CI102" s="1158"/>
      <c r="CJ102" s="1332"/>
      <c r="CK102" s="1158"/>
      <c r="CL102" s="1158"/>
      <c r="CM102" s="1158"/>
      <c r="CN102" s="1332"/>
      <c r="CO102" s="1158"/>
      <c r="CP102" s="1158"/>
      <c r="CQ102" s="1158"/>
      <c r="CR102" s="1332"/>
      <c r="CS102" s="1158"/>
      <c r="CT102" s="1158"/>
      <c r="CU102" s="1158"/>
      <c r="CV102" s="1158"/>
      <c r="CW102" s="1158"/>
      <c r="CX102" s="1158"/>
      <c r="CY102" s="1158"/>
      <c r="CZ102" s="1158"/>
      <c r="DA102" s="1158"/>
      <c r="DB102" s="951"/>
      <c r="DC102" s="951"/>
      <c r="DD102" s="951"/>
      <c r="DE102" s="951"/>
      <c r="DF102" s="951"/>
      <c r="DG102" s="951"/>
      <c r="DH102" s="951"/>
      <c r="DI102" s="951"/>
      <c r="DJ102" s="951"/>
      <c r="DK102" s="951"/>
      <c r="DL102" s="951"/>
      <c r="DM102" s="951"/>
      <c r="DN102" s="951"/>
      <c r="DO102" s="951"/>
      <c r="DP102" s="951"/>
      <c r="DQ102" s="951"/>
      <c r="DR102" s="951"/>
      <c r="DS102" s="951"/>
      <c r="DT102" s="951"/>
      <c r="DU102" s="951"/>
      <c r="DV102" s="951"/>
      <c r="DW102" s="951"/>
      <c r="DX102" s="951"/>
      <c r="DY102" s="951"/>
    </row>
    <row r="103" spans="1:129" ht="12.75" hidden="1" customHeight="1" outlineLevel="2">
      <c r="A103" s="1167" t="s">
        <v>737</v>
      </c>
      <c r="B103" s="951"/>
      <c r="C103" s="1334">
        <v>0</v>
      </c>
      <c r="D103" s="951"/>
      <c r="E103" s="951"/>
      <c r="F103" s="951"/>
      <c r="G103" s="1335" t="s">
        <v>713</v>
      </c>
      <c r="H103" s="951"/>
      <c r="I103" s="951"/>
      <c r="J103" s="951"/>
      <c r="K103" s="1335" t="s">
        <v>713</v>
      </c>
      <c r="L103" s="951"/>
      <c r="M103" s="951"/>
      <c r="N103" s="951"/>
      <c r="O103" s="1335" t="s">
        <v>713</v>
      </c>
      <c r="P103" s="951"/>
      <c r="Q103" s="951"/>
      <c r="R103" s="951"/>
      <c r="S103" s="1335" t="s">
        <v>713</v>
      </c>
      <c r="T103" s="951"/>
      <c r="U103" s="951"/>
      <c r="V103" s="951"/>
      <c r="W103" s="1335"/>
      <c r="X103" s="951"/>
      <c r="Y103" s="951"/>
      <c r="Z103" s="951"/>
      <c r="AA103" s="951"/>
      <c r="AB103" s="1335"/>
      <c r="AC103" s="951"/>
      <c r="AD103" s="951"/>
      <c r="AE103" s="951"/>
      <c r="AF103" s="1335"/>
      <c r="AG103" s="951"/>
      <c r="AH103" s="951"/>
      <c r="AI103" s="951"/>
      <c r="AJ103" s="1335"/>
      <c r="AK103" s="951"/>
      <c r="AL103" s="951"/>
      <c r="AM103" s="951"/>
      <c r="AN103" s="1335"/>
      <c r="AO103" s="951"/>
      <c r="AP103" s="951"/>
      <c r="AQ103" s="951"/>
      <c r="AR103" s="1335"/>
      <c r="AS103" s="951"/>
      <c r="AT103" s="951"/>
      <c r="AU103" s="951"/>
      <c r="AV103" s="1336"/>
      <c r="AW103" s="1158"/>
      <c r="AX103" s="1158"/>
      <c r="AY103" s="951"/>
      <c r="AZ103" s="1336"/>
      <c r="BA103" s="1158"/>
      <c r="BB103" s="1158"/>
      <c r="BC103" s="951"/>
      <c r="BD103" s="1336"/>
      <c r="BE103" s="1158"/>
      <c r="BF103" s="1158"/>
      <c r="BG103" s="1158"/>
      <c r="BH103" s="1336"/>
      <c r="BI103" s="1158"/>
      <c r="BJ103" s="1158"/>
      <c r="BK103" s="1158"/>
      <c r="BL103" s="1336"/>
      <c r="BM103" s="1158"/>
      <c r="BN103" s="1158"/>
      <c r="BO103" s="1158"/>
      <c r="BP103" s="1336"/>
      <c r="BQ103" s="1158"/>
      <c r="BR103" s="1158"/>
      <c r="BS103" s="1158"/>
      <c r="BT103" s="1336"/>
      <c r="BU103" s="1158"/>
      <c r="BV103" s="1158"/>
      <c r="BW103" s="1158"/>
      <c r="BX103" s="1336"/>
      <c r="BY103" s="1158"/>
      <c r="BZ103" s="1158"/>
      <c r="CA103" s="1158"/>
      <c r="CB103" s="1336"/>
      <c r="CC103" s="1158"/>
      <c r="CD103" s="1158"/>
      <c r="CE103" s="1158"/>
      <c r="CF103" s="1336"/>
      <c r="CG103" s="1158"/>
      <c r="CH103" s="1158"/>
      <c r="CI103" s="1158"/>
      <c r="CJ103" s="1336"/>
      <c r="CK103" s="1158"/>
      <c r="CL103" s="1158"/>
      <c r="CM103" s="1158"/>
      <c r="CN103" s="1336"/>
      <c r="CO103" s="1158"/>
      <c r="CP103" s="1158"/>
      <c r="CQ103" s="1158"/>
      <c r="CR103" s="1336"/>
      <c r="CS103" s="1158"/>
      <c r="CT103" s="1158"/>
      <c r="CU103" s="1158"/>
      <c r="CV103" s="1158"/>
      <c r="CW103" s="1158"/>
      <c r="CX103" s="1158"/>
      <c r="CY103" s="1158"/>
      <c r="CZ103" s="1158"/>
      <c r="DA103" s="1158"/>
      <c r="DB103" s="951"/>
      <c r="DC103" s="951"/>
      <c r="DD103" s="951"/>
      <c r="DE103" s="951"/>
      <c r="DF103" s="951"/>
      <c r="DG103" s="951"/>
      <c r="DH103" s="951"/>
      <c r="DI103" s="951"/>
      <c r="DJ103" s="951"/>
      <c r="DK103" s="951"/>
      <c r="DL103" s="951"/>
      <c r="DM103" s="951"/>
      <c r="DN103" s="951"/>
      <c r="DO103" s="951"/>
      <c r="DP103" s="951"/>
      <c r="DQ103" s="951"/>
      <c r="DR103" s="951"/>
      <c r="DS103" s="951"/>
      <c r="DT103" s="951"/>
      <c r="DU103" s="951"/>
      <c r="DV103" s="951"/>
      <c r="DW103" s="951"/>
      <c r="DX103" s="951"/>
      <c r="DY103" s="951"/>
    </row>
    <row r="104" spans="1:129" ht="12.75" hidden="1" customHeight="1" outlineLevel="2">
      <c r="A104" s="1167" t="s">
        <v>762</v>
      </c>
      <c r="B104" s="951"/>
      <c r="C104" s="1337">
        <f>SUM(C100:C103)</f>
        <v>3.081</v>
      </c>
      <c r="D104" s="951"/>
      <c r="E104" s="951"/>
      <c r="F104" s="951"/>
      <c r="G104" s="1331" t="s">
        <v>713</v>
      </c>
      <c r="H104" s="951"/>
      <c r="I104" s="951"/>
      <c r="J104" s="951"/>
      <c r="K104" s="1331" t="s">
        <v>713</v>
      </c>
      <c r="L104" s="951"/>
      <c r="M104" s="951"/>
      <c r="N104" s="951"/>
      <c r="O104" s="1331" t="s">
        <v>713</v>
      </c>
      <c r="P104" s="951"/>
      <c r="Q104" s="951"/>
      <c r="R104" s="951"/>
      <c r="S104" s="1331" t="s">
        <v>713</v>
      </c>
      <c r="T104" s="951"/>
      <c r="U104" s="951"/>
      <c r="V104" s="951"/>
      <c r="W104" s="1331"/>
      <c r="X104" s="951"/>
      <c r="Y104" s="951"/>
      <c r="Z104" s="951"/>
      <c r="AA104" s="951"/>
      <c r="AB104" s="1331"/>
      <c r="AC104" s="951"/>
      <c r="AD104" s="951"/>
      <c r="AE104" s="951"/>
      <c r="AF104" s="1331"/>
      <c r="AG104" s="951"/>
      <c r="AH104" s="951"/>
      <c r="AI104" s="951"/>
      <c r="AJ104" s="1331"/>
      <c r="AK104" s="951"/>
      <c r="AL104" s="951"/>
      <c r="AM104" s="951"/>
      <c r="AN104" s="1331"/>
      <c r="AO104" s="951"/>
      <c r="AP104" s="951"/>
      <c r="AQ104" s="951"/>
      <c r="AR104" s="1331"/>
      <c r="AS104" s="951"/>
      <c r="AT104" s="951"/>
      <c r="AU104" s="951"/>
      <c r="AV104" s="1332"/>
      <c r="AW104" s="1158"/>
      <c r="AX104" s="1158"/>
      <c r="AY104" s="951"/>
      <c r="AZ104" s="1332"/>
      <c r="BA104" s="1158"/>
      <c r="BB104" s="1158"/>
      <c r="BC104" s="951"/>
      <c r="BD104" s="1332"/>
      <c r="BE104" s="1158"/>
      <c r="BF104" s="1158"/>
      <c r="BG104" s="1158"/>
      <c r="BH104" s="1332"/>
      <c r="BI104" s="1158"/>
      <c r="BJ104" s="1158"/>
      <c r="BK104" s="1158"/>
      <c r="BL104" s="1332"/>
      <c r="BM104" s="1158"/>
      <c r="BN104" s="1158"/>
      <c r="BO104" s="1158"/>
      <c r="BP104" s="1332"/>
      <c r="BQ104" s="1158"/>
      <c r="BR104" s="1158"/>
      <c r="BS104" s="1158"/>
      <c r="BT104" s="1332"/>
      <c r="BU104" s="1158"/>
      <c r="BV104" s="1158"/>
      <c r="BW104" s="1158"/>
      <c r="BX104" s="1332"/>
      <c r="BY104" s="1158"/>
      <c r="BZ104" s="1158"/>
      <c r="CA104" s="1158"/>
      <c r="CB104" s="1332"/>
      <c r="CC104" s="1158"/>
      <c r="CD104" s="1158"/>
      <c r="CE104" s="1158"/>
      <c r="CF104" s="1332"/>
      <c r="CG104" s="1158"/>
      <c r="CH104" s="1158"/>
      <c r="CI104" s="1158"/>
      <c r="CJ104" s="1332"/>
      <c r="CK104" s="1158"/>
      <c r="CL104" s="1158"/>
      <c r="CM104" s="1158"/>
      <c r="CN104" s="1332"/>
      <c r="CO104" s="1158"/>
      <c r="CP104" s="1158"/>
      <c r="CQ104" s="1158"/>
      <c r="CR104" s="1332"/>
      <c r="CS104" s="1158"/>
      <c r="CT104" s="1158"/>
      <c r="CU104" s="1158"/>
      <c r="CV104" s="1158"/>
      <c r="CW104" s="1158"/>
      <c r="CX104" s="1158"/>
      <c r="CY104" s="1158"/>
      <c r="CZ104" s="1158"/>
      <c r="DA104" s="1158"/>
      <c r="DB104" s="951"/>
      <c r="DC104" s="951"/>
      <c r="DD104" s="951"/>
      <c r="DE104" s="951"/>
      <c r="DF104" s="951"/>
      <c r="DG104" s="951"/>
      <c r="DH104" s="951"/>
      <c r="DI104" s="951"/>
      <c r="DJ104" s="951"/>
      <c r="DK104" s="951"/>
      <c r="DL104" s="951"/>
      <c r="DM104" s="951"/>
      <c r="DN104" s="951"/>
      <c r="DO104" s="951"/>
      <c r="DP104" s="951"/>
      <c r="DQ104" s="951"/>
      <c r="DR104" s="951"/>
      <c r="DS104" s="951"/>
      <c r="DT104" s="951"/>
      <c r="DU104" s="951"/>
      <c r="DV104" s="951"/>
      <c r="DW104" s="951"/>
      <c r="DX104" s="951"/>
      <c r="DY104" s="951"/>
    </row>
    <row r="105" spans="1:129" ht="12.75" hidden="1" customHeight="1" outlineLevel="3">
      <c r="A105" s="1167" t="s">
        <v>769</v>
      </c>
      <c r="B105" s="951"/>
      <c r="C105" s="1319">
        <f>C100+C101</f>
        <v>0</v>
      </c>
      <c r="D105" s="951"/>
      <c r="E105" s="951"/>
      <c r="F105" s="951"/>
      <c r="G105" s="1331" t="s">
        <v>713</v>
      </c>
      <c r="H105" s="951"/>
      <c r="I105" s="951"/>
      <c r="J105" s="951"/>
      <c r="K105" s="1331" t="s">
        <v>713</v>
      </c>
      <c r="L105" s="951"/>
      <c r="M105" s="951"/>
      <c r="N105" s="951"/>
      <c r="O105" s="1331" t="s">
        <v>713</v>
      </c>
      <c r="P105" s="951"/>
      <c r="Q105" s="951"/>
      <c r="R105" s="951"/>
      <c r="S105" s="1331" t="s">
        <v>713</v>
      </c>
      <c r="T105" s="951"/>
      <c r="U105" s="951"/>
      <c r="V105" s="951"/>
      <c r="W105" s="1331"/>
      <c r="X105" s="951"/>
      <c r="Y105" s="951"/>
      <c r="Z105" s="951"/>
      <c r="AA105" s="951"/>
      <c r="AB105" s="1331"/>
      <c r="AC105" s="951"/>
      <c r="AD105" s="951"/>
      <c r="AE105" s="951"/>
      <c r="AF105" s="1331"/>
      <c r="AG105" s="951"/>
      <c r="AH105" s="951"/>
      <c r="AI105" s="951"/>
      <c r="AJ105" s="1331"/>
      <c r="AK105" s="951"/>
      <c r="AL105" s="951"/>
      <c r="AM105" s="951"/>
      <c r="AN105" s="1331"/>
      <c r="AO105" s="951"/>
      <c r="AP105" s="951"/>
      <c r="AQ105" s="951"/>
      <c r="AR105" s="1331"/>
      <c r="AS105" s="951"/>
      <c r="AT105" s="951"/>
      <c r="AU105" s="951"/>
      <c r="AV105" s="1332"/>
      <c r="AW105" s="1158"/>
      <c r="AX105" s="1158"/>
      <c r="AY105" s="951"/>
      <c r="AZ105" s="1332"/>
      <c r="BA105" s="1158"/>
      <c r="BB105" s="1158"/>
      <c r="BC105" s="951"/>
      <c r="BD105" s="1332"/>
      <c r="BE105" s="1158"/>
      <c r="BF105" s="1158"/>
      <c r="BG105" s="1158"/>
      <c r="BH105" s="1332"/>
      <c r="BI105" s="1158"/>
      <c r="BJ105" s="1158"/>
      <c r="BK105" s="1158"/>
      <c r="BL105" s="1332"/>
      <c r="BM105" s="1158"/>
      <c r="BN105" s="1158"/>
      <c r="BO105" s="1158"/>
      <c r="BP105" s="1332"/>
      <c r="BQ105" s="1158"/>
      <c r="BR105" s="1158"/>
      <c r="BS105" s="1158"/>
      <c r="BT105" s="1332"/>
      <c r="BU105" s="1158"/>
      <c r="BV105" s="1158"/>
      <c r="BW105" s="1158"/>
      <c r="BX105" s="1158"/>
      <c r="BY105" s="1158"/>
      <c r="BZ105" s="1158"/>
      <c r="CA105" s="1158"/>
      <c r="CB105" s="1158"/>
      <c r="CC105" s="1158"/>
      <c r="CD105" s="1158"/>
      <c r="CE105" s="1158"/>
      <c r="CF105" s="1158"/>
      <c r="CG105" s="1158"/>
      <c r="CH105" s="1158"/>
      <c r="CI105" s="1158"/>
      <c r="CJ105" s="1158"/>
      <c r="CK105" s="1158"/>
      <c r="CL105" s="1158"/>
      <c r="CM105" s="1158"/>
      <c r="CN105" s="1158"/>
      <c r="CO105" s="1158"/>
      <c r="CP105" s="1158"/>
      <c r="CQ105" s="1158"/>
      <c r="CR105" s="1158"/>
      <c r="CS105" s="1158"/>
      <c r="CT105" s="1158"/>
      <c r="CU105" s="1158"/>
      <c r="CV105" s="1158"/>
      <c r="CW105" s="1158"/>
      <c r="CX105" s="1158"/>
      <c r="CY105" s="1158"/>
      <c r="CZ105" s="1158"/>
      <c r="DA105" s="1158"/>
      <c r="DB105" s="951"/>
      <c r="DC105" s="951"/>
      <c r="DD105" s="951"/>
      <c r="DE105" s="951"/>
      <c r="DF105" s="951"/>
      <c r="DG105" s="951"/>
      <c r="DH105" s="951"/>
      <c r="DI105" s="951"/>
      <c r="DJ105" s="951"/>
      <c r="DK105" s="951"/>
      <c r="DL105" s="951"/>
      <c r="DM105" s="951"/>
      <c r="DN105" s="951"/>
      <c r="DO105" s="951"/>
      <c r="DP105" s="951"/>
      <c r="DQ105" s="951"/>
      <c r="DR105" s="951"/>
      <c r="DS105" s="951"/>
      <c r="DT105" s="951"/>
      <c r="DU105" s="951"/>
      <c r="DV105" s="951"/>
      <c r="DW105" s="951"/>
      <c r="DX105" s="951"/>
      <c r="DY105" s="951"/>
    </row>
    <row r="106" spans="1:129" ht="12.75" hidden="1" customHeight="1" outlineLevel="3">
      <c r="A106" s="1167" t="s">
        <v>770</v>
      </c>
      <c r="B106" s="951"/>
      <c r="C106" s="1319">
        <f>C100+C101+C102</f>
        <v>3.081</v>
      </c>
      <c r="D106" s="951"/>
      <c r="E106" s="951"/>
      <c r="F106" s="951"/>
      <c r="G106" s="1331" t="s">
        <v>713</v>
      </c>
      <c r="H106" s="951"/>
      <c r="I106" s="951"/>
      <c r="J106" s="951"/>
      <c r="K106" s="1331" t="s">
        <v>713</v>
      </c>
      <c r="L106" s="951"/>
      <c r="M106" s="951"/>
      <c r="N106" s="951"/>
      <c r="O106" s="1331" t="s">
        <v>713</v>
      </c>
      <c r="P106" s="951"/>
      <c r="Q106" s="951"/>
      <c r="R106" s="951"/>
      <c r="S106" s="1331" t="s">
        <v>713</v>
      </c>
      <c r="T106" s="951"/>
      <c r="U106" s="951"/>
      <c r="V106" s="951"/>
      <c r="W106" s="1331"/>
      <c r="X106" s="951"/>
      <c r="Y106" s="951"/>
      <c r="Z106" s="951"/>
      <c r="AA106" s="951"/>
      <c r="AB106" s="1331"/>
      <c r="AC106" s="951"/>
      <c r="AD106" s="951"/>
      <c r="AE106" s="951"/>
      <c r="AF106" s="1331"/>
      <c r="AG106" s="951"/>
      <c r="AH106" s="951"/>
      <c r="AI106" s="951"/>
      <c r="AJ106" s="1331"/>
      <c r="AK106" s="951"/>
      <c r="AL106" s="951"/>
      <c r="AM106" s="951"/>
      <c r="AN106" s="1331"/>
      <c r="AO106" s="951"/>
      <c r="AP106" s="951"/>
      <c r="AQ106" s="951"/>
      <c r="AR106" s="1331"/>
      <c r="AS106" s="951"/>
      <c r="AT106" s="951"/>
      <c r="AU106" s="951"/>
      <c r="AV106" s="1332"/>
      <c r="AW106" s="1158"/>
      <c r="AX106" s="1158"/>
      <c r="AY106" s="951"/>
      <c r="AZ106" s="1332"/>
      <c r="BA106" s="1158"/>
      <c r="BB106" s="1158"/>
      <c r="BC106" s="951"/>
      <c r="BD106" s="1332"/>
      <c r="BE106" s="1158"/>
      <c r="BF106" s="1158"/>
      <c r="BG106" s="1158"/>
      <c r="BH106" s="1332"/>
      <c r="BI106" s="1158"/>
      <c r="BJ106" s="1158"/>
      <c r="BK106" s="1158"/>
      <c r="BL106" s="1332"/>
      <c r="BM106" s="1158"/>
      <c r="BN106" s="1158"/>
      <c r="BO106" s="1158"/>
      <c r="BP106" s="1332"/>
      <c r="BQ106" s="1158"/>
      <c r="BR106" s="1158"/>
      <c r="BS106" s="1158"/>
      <c r="BT106" s="1332"/>
      <c r="BU106" s="1158"/>
      <c r="BV106" s="1158"/>
      <c r="BW106" s="1158"/>
      <c r="BX106" s="1158"/>
      <c r="BY106" s="1158"/>
      <c r="BZ106" s="1158"/>
      <c r="CA106" s="1158"/>
      <c r="CB106" s="1158"/>
      <c r="CC106" s="1158"/>
      <c r="CD106" s="1158"/>
      <c r="CE106" s="1158"/>
      <c r="CF106" s="1158"/>
      <c r="CG106" s="1158"/>
      <c r="CH106" s="1158"/>
      <c r="CI106" s="1158"/>
      <c r="CJ106" s="1158"/>
      <c r="CK106" s="1158"/>
      <c r="CL106" s="1158"/>
      <c r="CM106" s="1158"/>
      <c r="CN106" s="1158"/>
      <c r="CO106" s="1158"/>
      <c r="CP106" s="1158"/>
      <c r="CQ106" s="1158"/>
      <c r="CR106" s="1158"/>
      <c r="CS106" s="1158"/>
      <c r="CT106" s="1158"/>
      <c r="CU106" s="1158"/>
      <c r="CV106" s="1158"/>
      <c r="CW106" s="1158"/>
      <c r="CX106" s="1158"/>
      <c r="CY106" s="1158"/>
      <c r="CZ106" s="1158"/>
      <c r="DA106" s="1158"/>
      <c r="DB106" s="951"/>
      <c r="DC106" s="951"/>
      <c r="DD106" s="951"/>
      <c r="DE106" s="951"/>
      <c r="DF106" s="951"/>
      <c r="DG106" s="951"/>
      <c r="DH106" s="951"/>
      <c r="DI106" s="951"/>
      <c r="DJ106" s="951"/>
      <c r="DK106" s="951"/>
      <c r="DL106" s="951"/>
      <c r="DM106" s="951"/>
      <c r="DN106" s="951"/>
      <c r="DO106" s="951"/>
      <c r="DP106" s="951"/>
      <c r="DQ106" s="951"/>
      <c r="DR106" s="951"/>
      <c r="DS106" s="951"/>
      <c r="DT106" s="951"/>
      <c r="DU106" s="951"/>
      <c r="DV106" s="951"/>
      <c r="DW106" s="951"/>
      <c r="DX106" s="951"/>
      <c r="DY106" s="951"/>
    </row>
    <row r="107" spans="1:129" ht="12.75" hidden="1" customHeight="1" outlineLevel="2">
      <c r="A107" s="951"/>
      <c r="B107" s="951"/>
      <c r="C107" s="951"/>
      <c r="D107" s="951"/>
      <c r="E107" s="951"/>
      <c r="F107" s="951"/>
      <c r="G107" s="951"/>
      <c r="H107" s="951"/>
      <c r="I107" s="951"/>
      <c r="J107" s="951"/>
      <c r="K107" s="951"/>
      <c r="L107" s="951"/>
      <c r="M107" s="951"/>
      <c r="N107" s="951"/>
      <c r="O107" s="951"/>
      <c r="P107" s="951"/>
      <c r="Q107" s="951"/>
      <c r="R107" s="951"/>
      <c r="S107" s="951"/>
      <c r="T107" s="951"/>
      <c r="U107" s="951"/>
      <c r="V107" s="951"/>
      <c r="W107" s="951"/>
      <c r="X107" s="951"/>
      <c r="Y107" s="951"/>
      <c r="Z107" s="951"/>
      <c r="AA107" s="951"/>
      <c r="AB107" s="951"/>
      <c r="AC107" s="951"/>
      <c r="AD107" s="951"/>
      <c r="AE107" s="951"/>
      <c r="AF107" s="951"/>
      <c r="AG107" s="951"/>
      <c r="AH107" s="951"/>
      <c r="AI107" s="951"/>
      <c r="AJ107" s="951"/>
      <c r="AK107" s="951"/>
      <c r="AL107" s="951"/>
      <c r="AM107" s="951"/>
      <c r="AN107" s="951"/>
      <c r="AO107" s="951"/>
      <c r="AP107" s="951"/>
      <c r="AQ107" s="951"/>
      <c r="AR107" s="951"/>
      <c r="AS107" s="951"/>
      <c r="AT107" s="951"/>
      <c r="AU107" s="951"/>
      <c r="AV107" s="1158"/>
      <c r="AW107" s="1158"/>
      <c r="AX107" s="1158"/>
      <c r="AY107" s="951"/>
      <c r="AZ107" s="1158"/>
      <c r="BA107" s="1158"/>
      <c r="BB107" s="1158"/>
      <c r="BC107" s="951"/>
      <c r="BD107" s="1158"/>
      <c r="BE107" s="1158"/>
      <c r="BF107" s="1158"/>
      <c r="BG107" s="1158"/>
      <c r="BH107" s="1158"/>
      <c r="BI107" s="1158"/>
      <c r="BJ107" s="1158"/>
      <c r="BK107" s="1158"/>
      <c r="BL107" s="1158"/>
      <c r="BM107" s="1158"/>
      <c r="BN107" s="1158"/>
      <c r="BO107" s="1158"/>
      <c r="BP107" s="1158"/>
      <c r="BQ107" s="1158"/>
      <c r="BR107" s="1158"/>
      <c r="BS107" s="1158"/>
      <c r="BT107" s="1158"/>
      <c r="BU107" s="1158"/>
      <c r="BV107" s="1158"/>
      <c r="BW107" s="1158"/>
      <c r="BX107" s="1158"/>
      <c r="BY107" s="1158"/>
      <c r="BZ107" s="1158"/>
      <c r="CA107" s="1158"/>
      <c r="CB107" s="1158"/>
      <c r="CC107" s="1158"/>
      <c r="CD107" s="1158"/>
      <c r="CE107" s="1158"/>
      <c r="CF107" s="1158"/>
      <c r="CG107" s="1158"/>
      <c r="CH107" s="1158"/>
      <c r="CI107" s="1158"/>
      <c r="CJ107" s="1158"/>
      <c r="CK107" s="1158"/>
      <c r="CL107" s="1158"/>
      <c r="CM107" s="1158"/>
      <c r="CN107" s="1158"/>
      <c r="CO107" s="1158"/>
      <c r="CP107" s="1158"/>
      <c r="CQ107" s="1158"/>
      <c r="CR107" s="1158"/>
      <c r="CS107" s="1158"/>
      <c r="CT107" s="1158"/>
      <c r="CU107" s="1185"/>
      <c r="CV107" s="1158"/>
      <c r="CW107" s="1185"/>
      <c r="CX107" s="1185"/>
      <c r="CY107" s="1158"/>
      <c r="CZ107" s="1158"/>
      <c r="DA107" s="1158"/>
      <c r="DB107" s="951"/>
      <c r="DC107" s="951"/>
      <c r="DD107" s="951"/>
      <c r="DE107" s="951"/>
      <c r="DF107" s="951"/>
      <c r="DG107" s="951"/>
      <c r="DH107" s="951"/>
      <c r="DI107" s="951"/>
      <c r="DJ107" s="951"/>
      <c r="DK107" s="951"/>
      <c r="DL107" s="951"/>
      <c r="DM107" s="951"/>
      <c r="DN107" s="951"/>
      <c r="DO107" s="951"/>
      <c r="DP107" s="951"/>
      <c r="DQ107" s="951"/>
      <c r="DR107" s="951"/>
      <c r="DS107" s="951"/>
      <c r="DT107" s="951"/>
      <c r="DU107" s="951"/>
      <c r="DV107" s="951"/>
      <c r="DW107" s="951"/>
      <c r="DX107" s="951"/>
      <c r="DY107" s="951"/>
    </row>
    <row r="108" spans="1:129" ht="12.75" outlineLevel="1" collapsed="1">
      <c r="A108" s="1259"/>
      <c r="B108" s="1181"/>
      <c r="C108" s="1181"/>
      <c r="D108" s="1181"/>
      <c r="E108" s="1181"/>
      <c r="F108" s="1181"/>
      <c r="G108" s="1182"/>
      <c r="H108" s="1182"/>
      <c r="I108" s="1182"/>
      <c r="J108" s="1182"/>
      <c r="K108" s="1182"/>
      <c r="L108" s="1182"/>
      <c r="M108" s="1182"/>
      <c r="N108" s="1182"/>
      <c r="O108" s="1182"/>
      <c r="P108" s="1182"/>
      <c r="Q108" s="1182"/>
      <c r="R108" s="1182"/>
      <c r="S108" s="1259"/>
      <c r="T108" s="1182"/>
      <c r="U108" s="1182"/>
      <c r="V108" s="1182"/>
      <c r="W108" s="1259"/>
      <c r="X108" s="1182"/>
      <c r="Y108" s="1182"/>
      <c r="Z108" s="1182"/>
      <c r="AA108" s="1183"/>
      <c r="AB108" s="1182"/>
      <c r="AC108" s="1183"/>
      <c r="AD108" s="1183"/>
      <c r="AE108" s="1183"/>
      <c r="AF108" s="1182"/>
      <c r="AG108" s="1183"/>
      <c r="AH108" s="1183"/>
      <c r="AI108" s="1183"/>
      <c r="AJ108" s="1184"/>
      <c r="AK108" s="1183"/>
      <c r="AL108" s="1183"/>
      <c r="AM108" s="1183"/>
      <c r="AN108" s="1184"/>
      <c r="AO108" s="1183"/>
      <c r="AP108" s="1183"/>
      <c r="AQ108" s="1183"/>
      <c r="AR108" s="1184"/>
      <c r="AS108" s="1183"/>
      <c r="AT108" s="1183"/>
      <c r="AU108" s="1183"/>
      <c r="AW108" s="1185"/>
      <c r="AX108" s="1185"/>
      <c r="AY108" s="1183"/>
      <c r="AZ108" s="1186"/>
      <c r="BA108" s="1185"/>
      <c r="BB108" s="1185"/>
      <c r="BC108" s="1183"/>
      <c r="BD108" s="1186"/>
      <c r="BE108" s="1185"/>
      <c r="BF108" s="1185"/>
      <c r="BG108" s="1185"/>
      <c r="BH108" s="1186"/>
      <c r="BI108" s="1185"/>
      <c r="BJ108" s="1185"/>
      <c r="BK108" s="1185"/>
      <c r="BL108" s="1186"/>
      <c r="BM108" s="1185"/>
      <c r="BN108" s="1185"/>
      <c r="BO108" s="1185"/>
      <c r="BP108" s="1186"/>
      <c r="BQ108" s="1185"/>
      <c r="BR108" s="1182" t="s">
        <v>93</v>
      </c>
      <c r="BS108" s="1185"/>
      <c r="BT108" s="1186"/>
      <c r="BU108" s="1185"/>
      <c r="BV108" s="1185"/>
      <c r="BW108" s="1185"/>
      <c r="BX108" s="1185"/>
      <c r="BY108" s="1185"/>
      <c r="BZ108" s="1185"/>
      <c r="CA108" s="1187"/>
      <c r="CB108" s="1185"/>
      <c r="CC108" s="1185"/>
      <c r="CD108" s="1185"/>
      <c r="CE108" s="1187"/>
      <c r="CF108" s="1185"/>
      <c r="CG108" s="1182" t="s">
        <v>93</v>
      </c>
      <c r="CH108" s="1185"/>
      <c r="CI108" s="1187"/>
      <c r="CJ108" s="1185"/>
      <c r="CK108" s="1185"/>
      <c r="CL108" s="1185"/>
      <c r="CM108" s="1187"/>
      <c r="CN108" s="1185"/>
      <c r="CO108" s="1185"/>
      <c r="CP108" s="1185"/>
      <c r="CQ108" s="1185"/>
      <c r="CR108" s="1185"/>
      <c r="CS108" s="1185"/>
      <c r="CT108" s="1185"/>
      <c r="CU108" s="1185"/>
      <c r="CV108" s="1185"/>
      <c r="CW108" s="1185"/>
      <c r="CX108" s="1185"/>
      <c r="CY108" s="1185"/>
      <c r="CZ108" s="1185"/>
      <c r="DA108" s="1185"/>
      <c r="DB108" s="1183"/>
      <c r="DC108" s="1183"/>
      <c r="DD108" s="1183"/>
      <c r="DE108" s="1183"/>
      <c r="DF108" s="1183"/>
      <c r="DG108" s="1183"/>
      <c r="DH108" s="1259"/>
      <c r="DI108" s="1259"/>
      <c r="DJ108" s="1259"/>
      <c r="DK108" s="1259"/>
      <c r="DL108" s="1259"/>
      <c r="DM108" s="1259"/>
      <c r="DN108" s="1259"/>
      <c r="DO108" s="1259"/>
      <c r="DP108" s="1259"/>
      <c r="DQ108" s="1259"/>
      <c r="DR108" s="1259"/>
      <c r="DS108" s="1259"/>
      <c r="DT108" s="1259"/>
      <c r="DU108" s="1259"/>
      <c r="DV108" s="1259"/>
      <c r="DW108" s="1259"/>
      <c r="DX108" s="1259"/>
      <c r="DY108" s="1259"/>
    </row>
    <row r="109" spans="1:129" ht="12.75" outlineLevel="1">
      <c r="A109" s="45"/>
      <c r="B109" s="1183"/>
      <c r="C109" s="1183"/>
      <c r="D109" s="1183"/>
      <c r="E109" s="1183"/>
      <c r="F109" s="1183"/>
      <c r="G109" s="1183"/>
      <c r="H109" s="1183"/>
      <c r="I109" s="1183"/>
      <c r="J109" s="1183"/>
      <c r="K109" s="1183"/>
      <c r="L109" s="1183"/>
      <c r="M109" s="1183"/>
      <c r="N109" s="45"/>
      <c r="O109" s="1183"/>
      <c r="P109" s="1183"/>
      <c r="Q109" s="1183"/>
      <c r="R109" s="45"/>
      <c r="S109" s="1183"/>
      <c r="T109" s="1183"/>
      <c r="U109" s="1183"/>
      <c r="V109" s="45"/>
      <c r="W109" s="1183"/>
      <c r="X109" s="1183"/>
      <c r="Y109" s="1183"/>
      <c r="Z109" s="1183"/>
      <c r="AA109" s="45"/>
      <c r="AB109" s="1183"/>
      <c r="AC109" s="1183"/>
      <c r="AD109" s="1183"/>
      <c r="AE109" s="45"/>
      <c r="AF109" s="1183"/>
      <c r="AG109" s="1183"/>
      <c r="AH109" s="1183"/>
      <c r="AI109" s="45"/>
      <c r="AJ109" s="1183"/>
      <c r="AK109" s="1183"/>
      <c r="AL109" s="1183"/>
      <c r="AM109" s="45"/>
      <c r="AN109" s="1183"/>
      <c r="AO109" s="1183"/>
      <c r="AP109" s="1183"/>
      <c r="AQ109" s="45"/>
      <c r="AR109" s="1183"/>
      <c r="AS109" s="1183"/>
      <c r="AT109" s="1183"/>
      <c r="AU109" s="45"/>
      <c r="AV109" s="1338"/>
      <c r="AW109" s="1185"/>
      <c r="AX109" s="1185"/>
      <c r="AY109" s="45"/>
      <c r="AZ109" s="1185"/>
      <c r="BA109" s="1185"/>
      <c r="BB109" s="1185"/>
      <c r="BC109" s="45"/>
      <c r="BD109" s="1185"/>
      <c r="BE109" s="1185"/>
      <c r="BF109" s="1185"/>
      <c r="BG109" s="1185"/>
      <c r="BH109" s="1158"/>
      <c r="BI109" s="1185"/>
      <c r="BJ109" s="1185"/>
      <c r="BK109" s="1271"/>
      <c r="BL109" s="1158"/>
      <c r="BM109" s="1158"/>
      <c r="BN109" s="1158"/>
      <c r="BO109" s="1271"/>
      <c r="BP109" s="1158"/>
      <c r="BQ109" s="1158"/>
      <c r="BR109" s="1158"/>
      <c r="BS109" s="1271"/>
      <c r="BT109" s="1158"/>
      <c r="BU109" s="1158"/>
      <c r="BV109" s="1158"/>
      <c r="BW109" s="1158"/>
      <c r="BX109" s="1158"/>
      <c r="BY109" s="1158"/>
      <c r="BZ109" s="1158"/>
      <c r="CA109" s="1158"/>
      <c r="CB109" s="1158"/>
      <c r="CC109" s="1158"/>
      <c r="CD109" s="1158"/>
      <c r="CE109" s="1158"/>
      <c r="CF109" s="1158"/>
      <c r="CG109" s="1158"/>
      <c r="CH109" s="1158"/>
      <c r="CI109" s="1158"/>
      <c r="CJ109" s="1158"/>
      <c r="CK109" s="1158"/>
      <c r="CL109" s="1158"/>
      <c r="CM109" s="1158"/>
      <c r="CN109" s="1158"/>
      <c r="CO109" s="1158"/>
      <c r="CP109" s="1158"/>
      <c r="CQ109" s="1158"/>
      <c r="CR109" s="1158"/>
      <c r="CS109" s="1158"/>
      <c r="CT109" s="1158"/>
      <c r="CU109" s="1159"/>
      <c r="CV109" s="1185"/>
      <c r="CW109" s="1159"/>
      <c r="CX109" s="1159"/>
      <c r="CY109" s="1185"/>
      <c r="CZ109" s="1185"/>
      <c r="DA109" s="1185"/>
      <c r="DB109" s="1183"/>
      <c r="DC109" s="1183"/>
      <c r="DD109" s="1183"/>
      <c r="DE109" s="1183"/>
      <c r="DF109" s="1183"/>
      <c r="DG109" s="1183"/>
      <c r="DH109" s="45"/>
      <c r="DI109" s="45"/>
      <c r="DJ109" s="45"/>
      <c r="DK109" s="45"/>
      <c r="DL109" s="45"/>
      <c r="DM109" s="45"/>
      <c r="DN109" s="45"/>
      <c r="DO109" s="45"/>
      <c r="DP109" s="45"/>
      <c r="DQ109" s="45"/>
      <c r="DR109" s="45"/>
      <c r="DS109" s="45"/>
      <c r="DT109" s="45"/>
      <c r="DU109" s="45"/>
      <c r="DV109" s="45"/>
      <c r="DW109" s="45"/>
      <c r="DX109" s="45"/>
      <c r="DY109" s="45"/>
    </row>
    <row r="110" spans="1:129" ht="12.75" outlineLevel="1">
      <c r="A110" s="1167" t="s">
        <v>734</v>
      </c>
      <c r="B110" s="951"/>
      <c r="C110" s="1222">
        <f>+C90+6.923</f>
        <v>-4.8829999999999973</v>
      </c>
      <c r="D110" s="1242">
        <f t="shared" ref="D110:D116" si="226">(C110/C90)*100</f>
        <v>41.360325258343202</v>
      </c>
      <c r="E110" s="951"/>
      <c r="F110" s="951"/>
      <c r="G110" s="1222">
        <f>+G90+2.991</f>
        <v>-1.9380000000000011</v>
      </c>
      <c r="H110" s="1242">
        <f>(G110/G90)*100</f>
        <v>39.318320146074264</v>
      </c>
      <c r="I110" s="951"/>
      <c r="J110" s="951"/>
      <c r="K110" s="1222">
        <v>-2.3769999999999998</v>
      </c>
      <c r="L110" s="1242">
        <f t="shared" ref="L110:L116" si="227">(K110/K90)*100</f>
        <v>39.64309539693128</v>
      </c>
      <c r="M110" s="951"/>
      <c r="N110" s="951"/>
      <c r="O110" s="1222">
        <v>3.7559999999999998</v>
      </c>
      <c r="P110" s="1242">
        <f t="shared" ref="P110:P116" si="228">(O110/O90)*100</f>
        <v>39.284593661750833</v>
      </c>
      <c r="Q110" s="951"/>
      <c r="R110" s="951"/>
      <c r="S110" s="1222">
        <v>7.9260000000000002</v>
      </c>
      <c r="T110" s="1242">
        <f t="shared" ref="T110:T116" si="229">(S110/S90)*100</f>
        <v>39.297932470623223</v>
      </c>
      <c r="U110" s="951"/>
      <c r="V110" s="951"/>
      <c r="W110" s="765">
        <v>8.1630000000000003</v>
      </c>
      <c r="X110" s="1242">
        <f t="shared" ref="X110:X116" si="230">(W110/W90)*100</f>
        <v>39.299985556785913</v>
      </c>
      <c r="Y110" s="951"/>
      <c r="Z110" s="951"/>
      <c r="AA110" s="951"/>
      <c r="AB110" s="267">
        <v>9.5809999999999995</v>
      </c>
      <c r="AC110" s="1242">
        <f t="shared" ref="AC110:AC116" si="231">(AB110/AB90)*100</f>
        <v>38.131815649128377</v>
      </c>
      <c r="AD110" s="951"/>
      <c r="AE110" s="951"/>
      <c r="AF110" s="267">
        <v>7.8650000000000002</v>
      </c>
      <c r="AG110" s="1242">
        <f t="shared" ref="AG110:AG116" si="232">(AF110/AF90)*100</f>
        <v>38.211145119759053</v>
      </c>
      <c r="AH110" s="951"/>
      <c r="AI110" s="951"/>
      <c r="AJ110" s="267">
        <v>3.9540000000000002</v>
      </c>
      <c r="AK110" s="1242">
        <f t="shared" ref="AK110:AK116" si="233">(AJ110/AJ90)*100</f>
        <v>38.177078304528322</v>
      </c>
      <c r="AL110" s="951"/>
      <c r="AM110" s="951"/>
      <c r="AN110" s="267">
        <v>16.972000000000001</v>
      </c>
      <c r="AO110" s="1242">
        <f t="shared" ref="AO110:AO116" si="234">(AN110/AN90)*100</f>
        <v>38.510585192076405</v>
      </c>
      <c r="AP110" s="951"/>
      <c r="AQ110" s="951"/>
      <c r="AR110" s="267">
        <v>35.313000000000002</v>
      </c>
      <c r="AS110" s="1242">
        <f t="shared" ref="AS110:AS116" si="235">(AR110/AR90)*100</f>
        <v>39.021183022641651</v>
      </c>
      <c r="AT110" s="1232"/>
      <c r="AU110" s="951"/>
      <c r="AV110" s="267">
        <v>42.206000000000003</v>
      </c>
      <c r="AW110" s="1243">
        <f t="shared" ref="AW110:AW116" si="236">(AV110/AV90)*100</f>
        <v>39.681465184934481</v>
      </c>
      <c r="AX110" s="1159"/>
      <c r="AY110" s="951"/>
      <c r="AZ110" s="267">
        <v>48.518999999999998</v>
      </c>
      <c r="BA110" s="1243">
        <f t="shared" ref="BA110:BA116" si="237">(AZ110/AZ90)*100</f>
        <v>38.117197872557739</v>
      </c>
      <c r="BB110" s="1159"/>
      <c r="BC110" s="951"/>
      <c r="BD110" s="267">
        <v>27.042000000000002</v>
      </c>
      <c r="BE110" s="1243">
        <f t="shared" ref="BE110:BE116" si="238">(BD110/BD90)*100</f>
        <v>38.121149752597361</v>
      </c>
      <c r="BF110" s="1159"/>
      <c r="BG110" s="1159"/>
      <c r="BH110" s="267">
        <f>3.064+8.272+4.376</f>
        <v>15.712</v>
      </c>
      <c r="BI110" s="1243">
        <f t="shared" ref="BI110:BI116" si="239">(BH110/BH90)*100</f>
        <v>40.015280784413598</v>
      </c>
      <c r="BJ110" s="1245">
        <f>21.967+7.109-5.523</f>
        <v>23.553000000000001</v>
      </c>
      <c r="BK110" s="1159"/>
      <c r="BL110" s="267">
        <f>17.785+1.169</f>
        <v>18.954000000000001</v>
      </c>
      <c r="BM110" s="1243">
        <f t="shared" ref="BM110:BM116" si="240">(BL110/BL90)*100</f>
        <v>33.415016836204018</v>
      </c>
      <c r="BN110" s="1159"/>
      <c r="BO110" s="1159"/>
      <c r="BP110" s="267">
        <f>14.577+2.195</f>
        <v>16.771999999999998</v>
      </c>
      <c r="BQ110" s="1243">
        <f t="shared" ref="BQ110:BQ116" si="241">(BP110/BP90)*100</f>
        <v>34.479781263491098</v>
      </c>
      <c r="BR110" s="1159"/>
      <c r="BS110" s="1159"/>
      <c r="BT110" s="577">
        <v>23.78</v>
      </c>
      <c r="BU110" s="1243">
        <f t="shared" ref="BU110:BU116" si="242">(BT110/BT90)*100</f>
        <v>35.065988350659843</v>
      </c>
      <c r="BV110" s="1159"/>
      <c r="BW110" s="1159"/>
      <c r="BX110" s="1339">
        <v>21.533999999999999</v>
      </c>
      <c r="BY110" s="1243">
        <f t="shared" ref="BY110:BY116" si="243">(BX110/BX90)*100</f>
        <v>37.993577755037244</v>
      </c>
      <c r="BZ110" s="1159"/>
      <c r="CA110" s="1159"/>
      <c r="CB110" s="1339">
        <v>5.2450000000000001</v>
      </c>
      <c r="CC110" s="1243">
        <f t="shared" ref="CC110:CC116" si="244">(CB110/CB90)*100</f>
        <v>57.567775216770734</v>
      </c>
      <c r="CD110" s="1159"/>
      <c r="CE110" s="1159"/>
      <c r="CF110" s="1339">
        <v>18.908999999999999</v>
      </c>
      <c r="CG110" s="1243">
        <f t="shared" ref="CG110:CG116" si="245">(CF110/CF90)*100</f>
        <v>39.423317488116105</v>
      </c>
      <c r="CH110" s="1159"/>
      <c r="CI110" s="1159"/>
      <c r="CJ110" s="1339">
        <v>23.135000000000002</v>
      </c>
      <c r="CK110" s="1243">
        <f t="shared" ref="CK110:CK116" si="246">(CJ110/CJ90)*100</f>
        <v>36.369495841914102</v>
      </c>
      <c r="CL110" s="1159"/>
      <c r="CM110" s="1159"/>
      <c r="CN110" s="1339">
        <f>12.116+(5.448-3.4239)</f>
        <v>14.1401</v>
      </c>
      <c r="CO110" s="1243">
        <f>(CN110/CN90)*100</f>
        <v>33.037616822429918</v>
      </c>
      <c r="CP110" s="1159"/>
      <c r="CQ110" s="1159"/>
      <c r="CR110" s="1297">
        <f>(CS110/100)*CR90</f>
        <v>13.360798502210216</v>
      </c>
      <c r="CS110" s="1246">
        <v>25</v>
      </c>
      <c r="CT110" s="1159"/>
      <c r="CU110" s="1159"/>
      <c r="CV110" s="1159"/>
      <c r="CW110" s="1159"/>
      <c r="CX110" s="1159"/>
      <c r="CY110" s="1159"/>
      <c r="CZ110" s="1159"/>
      <c r="DA110" s="1159"/>
      <c r="DB110" s="1232"/>
      <c r="DC110" s="1232"/>
      <c r="DD110" s="1232"/>
      <c r="DE110" s="1232"/>
      <c r="DF110" s="1232"/>
      <c r="DG110" s="1232"/>
      <c r="DH110" s="951"/>
      <c r="DI110" s="951"/>
      <c r="DJ110" s="951"/>
      <c r="DK110" s="951"/>
      <c r="DL110" s="951"/>
      <c r="DM110" s="951"/>
      <c r="DN110" s="951"/>
      <c r="DO110" s="951"/>
      <c r="DP110" s="951"/>
      <c r="DQ110" s="951"/>
      <c r="DR110" s="951"/>
      <c r="DS110" s="951"/>
      <c r="DT110" s="951"/>
      <c r="DU110" s="951"/>
      <c r="DV110" s="951"/>
      <c r="DW110" s="951"/>
      <c r="DX110" s="951"/>
      <c r="DY110" s="951"/>
    </row>
    <row r="111" spans="1:129" ht="12.75" outlineLevel="1">
      <c r="A111" s="1167" t="s">
        <v>735</v>
      </c>
      <c r="B111" s="951"/>
      <c r="C111" s="1226">
        <f>+C91+1.553</f>
        <v>-0.84600000000000009</v>
      </c>
      <c r="D111" s="1242">
        <f t="shared" si="226"/>
        <v>35.264693622342648</v>
      </c>
      <c r="E111" s="951"/>
      <c r="F111" s="951"/>
      <c r="G111" s="1226">
        <f>+G91-0.346</f>
        <v>0.22300000000000053</v>
      </c>
      <c r="H111" s="1242">
        <f>(G111/G91)*100</f>
        <v>39.191564147627474</v>
      </c>
      <c r="I111" s="951"/>
      <c r="J111" s="951"/>
      <c r="K111" s="1226">
        <v>0.75800000000000001</v>
      </c>
      <c r="L111" s="1242">
        <f t="shared" si="227"/>
        <v>40.362087326943588</v>
      </c>
      <c r="M111" s="951"/>
      <c r="N111" s="951"/>
      <c r="O111" s="1226">
        <v>6.1849999999999996</v>
      </c>
      <c r="P111" s="1242">
        <f t="shared" si="228"/>
        <v>39.299783962384069</v>
      </c>
      <c r="Q111" s="951"/>
      <c r="R111" s="951"/>
      <c r="S111" s="1226">
        <v>10.978999999999999</v>
      </c>
      <c r="T111" s="1242">
        <f t="shared" si="229"/>
        <v>39.311801775995413</v>
      </c>
      <c r="U111" s="951"/>
      <c r="V111" s="951"/>
      <c r="W111" s="164">
        <v>1.7929999999999999</v>
      </c>
      <c r="X111" s="1242">
        <f t="shared" si="230"/>
        <v>39.234135667396011</v>
      </c>
      <c r="Y111" s="951"/>
      <c r="Z111" s="951"/>
      <c r="AA111" s="951"/>
      <c r="AB111" s="164">
        <v>8.4239999999999995</v>
      </c>
      <c r="AC111" s="1242">
        <f t="shared" si="231"/>
        <v>35.499367888748417</v>
      </c>
      <c r="AD111" s="951"/>
      <c r="AE111" s="951"/>
      <c r="AF111" s="164">
        <v>6.2290000000000001</v>
      </c>
      <c r="AG111" s="1242">
        <f t="shared" si="232"/>
        <v>38.24757460395432</v>
      </c>
      <c r="AH111" s="951"/>
      <c r="AI111" s="951"/>
      <c r="AJ111" s="164">
        <v>5.01</v>
      </c>
      <c r="AK111" s="1242">
        <f t="shared" si="233"/>
        <v>38.203446698185147</v>
      </c>
      <c r="AL111" s="951"/>
      <c r="AM111" s="951"/>
      <c r="AN111" s="169">
        <v>19.925999999999998</v>
      </c>
      <c r="AO111" s="1242">
        <f t="shared" si="234"/>
        <v>38.685252776267767</v>
      </c>
      <c r="AP111" s="951"/>
      <c r="AQ111" s="951"/>
      <c r="AR111" s="169">
        <v>32.451999999999998</v>
      </c>
      <c r="AS111" s="1242">
        <f t="shared" si="235"/>
        <v>35.864111575271281</v>
      </c>
      <c r="AT111" s="951"/>
      <c r="AU111" s="1232"/>
      <c r="AV111" s="1210">
        <v>46.122</v>
      </c>
      <c r="AW111" s="1243">
        <f t="shared" si="236"/>
        <v>39.013373258558119</v>
      </c>
      <c r="AX111" s="1158"/>
      <c r="AY111" s="1232"/>
      <c r="AZ111" s="1210">
        <v>50.107999999999997</v>
      </c>
      <c r="BA111" s="1243">
        <f t="shared" si="237"/>
        <v>38.118857073304341</v>
      </c>
      <c r="BB111" s="1158"/>
      <c r="BC111" s="1232"/>
      <c r="BD111" s="1210">
        <v>33.570999999999998</v>
      </c>
      <c r="BE111" s="1243">
        <f t="shared" si="238"/>
        <v>35.942485171623709</v>
      </c>
      <c r="BF111" s="1159"/>
      <c r="BG111" s="1159"/>
      <c r="BH111" s="1210">
        <v>18.701000000000001</v>
      </c>
      <c r="BI111" s="1243">
        <f t="shared" si="239"/>
        <v>33.721014100760932</v>
      </c>
      <c r="BJ111" s="1245">
        <f>28.572+8.185</f>
        <v>36.756999999999998</v>
      </c>
      <c r="BK111" s="1159"/>
      <c r="BL111" s="1210">
        <f>11.213+1.304</f>
        <v>12.516999999999999</v>
      </c>
      <c r="BM111" s="1243">
        <f t="shared" si="240"/>
        <v>30.9000691221487</v>
      </c>
      <c r="BN111" s="1159"/>
      <c r="BO111" s="1159"/>
      <c r="BP111" s="1210">
        <f>11.049+3.358</f>
        <v>14.407</v>
      </c>
      <c r="BQ111" s="1243">
        <f t="shared" si="241"/>
        <v>36.47434112256007</v>
      </c>
      <c r="BR111" s="1159"/>
      <c r="BS111" s="1159"/>
      <c r="BT111" s="1210">
        <f>18.607+1.882+4.411</f>
        <v>24.9</v>
      </c>
      <c r="BU111" s="1243">
        <f t="shared" si="242"/>
        <v>37.426724785810933</v>
      </c>
      <c r="BV111" s="1159"/>
      <c r="BW111" s="1159"/>
      <c r="BX111" s="1210">
        <v>10.98</v>
      </c>
      <c r="BY111" s="1243">
        <f t="shared" si="243"/>
        <v>35.912867142016104</v>
      </c>
      <c r="BZ111" s="1159"/>
      <c r="CA111" s="1159"/>
      <c r="CB111" s="1210">
        <v>7.0839999999999996</v>
      </c>
      <c r="CC111" s="1243">
        <f t="shared" si="244"/>
        <v>54.927502519965778</v>
      </c>
      <c r="CD111" s="1159"/>
      <c r="CE111" s="1159"/>
      <c r="CF111" s="1210">
        <v>17.637</v>
      </c>
      <c r="CG111" s="1243">
        <f t="shared" si="245"/>
        <v>34.648933244273316</v>
      </c>
      <c r="CH111" s="1159"/>
      <c r="CI111" s="1159"/>
      <c r="CJ111" s="1210">
        <v>23.933</v>
      </c>
      <c r="CK111" s="1243">
        <f t="shared" si="246"/>
        <v>36.52499046165584</v>
      </c>
      <c r="CL111" s="1159"/>
      <c r="CM111" s="1159"/>
      <c r="CN111" s="1210">
        <v>18.350000000000001</v>
      </c>
      <c r="CO111" s="1243">
        <f>(CN111/CN91)*100</f>
        <v>34.684156806411416</v>
      </c>
      <c r="CP111" s="1159"/>
      <c r="CQ111" s="1159"/>
      <c r="CR111" s="1211">
        <f>(CS111/100)*CR91</f>
        <v>18.125487371590062</v>
      </c>
      <c r="CS111" s="1246">
        <v>25</v>
      </c>
      <c r="CT111" s="1159"/>
      <c r="CU111" s="1158"/>
      <c r="CV111" s="1159"/>
      <c r="CW111" s="1158"/>
      <c r="CX111" s="1158"/>
      <c r="CY111" s="1159"/>
      <c r="CZ111" s="1159"/>
      <c r="DA111" s="1159"/>
      <c r="DB111" s="951"/>
      <c r="DC111" s="951"/>
      <c r="DD111" s="951"/>
      <c r="DE111" s="1226"/>
      <c r="DF111" s="951"/>
      <c r="DG111" s="951"/>
      <c r="DH111" s="951"/>
      <c r="DI111" s="951"/>
      <c r="DJ111" s="951"/>
      <c r="DK111" s="951"/>
      <c r="DL111" s="951"/>
      <c r="DM111" s="951"/>
      <c r="DN111" s="951"/>
      <c r="DO111" s="951"/>
      <c r="DP111" s="951"/>
      <c r="DQ111" s="951"/>
      <c r="DR111" s="951"/>
      <c r="DS111" s="951"/>
      <c r="DT111" s="951"/>
      <c r="DU111" s="951"/>
      <c r="DV111" s="951"/>
      <c r="DW111" s="951"/>
      <c r="DX111" s="951"/>
      <c r="DY111" s="951"/>
    </row>
    <row r="112" spans="1:129" ht="12.75" outlineLevel="1">
      <c r="A112" s="1167" t="s">
        <v>736</v>
      </c>
      <c r="B112" s="951"/>
      <c r="C112" s="1247">
        <f>+C92+1.436-C102</f>
        <v>-0.93100000000000049</v>
      </c>
      <c r="D112" s="1242">
        <f t="shared" si="226"/>
        <v>-130.39215686274528</v>
      </c>
      <c r="E112" s="951"/>
      <c r="F112" s="951"/>
      <c r="G112" s="1247">
        <f>+G92-2.145</f>
        <v>1.3900000000000032</v>
      </c>
      <c r="H112" s="1242">
        <v>40</v>
      </c>
      <c r="I112" s="951"/>
      <c r="J112" s="951"/>
      <c r="K112" s="1247">
        <v>4.0629999999999997</v>
      </c>
      <c r="L112" s="1242">
        <f t="shared" si="227"/>
        <v>39.297804429828759</v>
      </c>
      <c r="M112" s="951"/>
      <c r="N112" s="951"/>
      <c r="O112" s="1247">
        <v>8.8140000000000001</v>
      </c>
      <c r="P112" s="1242">
        <f t="shared" si="228"/>
        <v>38.853868194842377</v>
      </c>
      <c r="Q112" s="951"/>
      <c r="R112" s="951"/>
      <c r="S112" s="1247">
        <v>15.759</v>
      </c>
      <c r="T112" s="1242">
        <f t="shared" si="229"/>
        <v>39.303172386272934</v>
      </c>
      <c r="U112" s="951"/>
      <c r="V112" s="951"/>
      <c r="W112" s="169">
        <v>18.686</v>
      </c>
      <c r="X112" s="1242">
        <f t="shared" si="230"/>
        <v>39.000667891133745</v>
      </c>
      <c r="Y112" s="951"/>
      <c r="Z112" s="951"/>
      <c r="AA112" s="951"/>
      <c r="AB112" s="169">
        <v>18.837</v>
      </c>
      <c r="AC112" s="1242">
        <f t="shared" si="231"/>
        <v>37.993908711349569</v>
      </c>
      <c r="AD112" s="951"/>
      <c r="AE112" s="951"/>
      <c r="AF112" s="169">
        <v>16.716000000000001</v>
      </c>
      <c r="AG112" s="1242">
        <f t="shared" si="232"/>
        <v>38.164383561643803</v>
      </c>
      <c r="AH112" s="951"/>
      <c r="AI112" s="951"/>
      <c r="AJ112" s="169">
        <v>11.507999999999999</v>
      </c>
      <c r="AK112" s="1242">
        <f t="shared" si="233"/>
        <v>53.162100983970042</v>
      </c>
      <c r="AL112" s="1303"/>
      <c r="AM112" s="951"/>
      <c r="AN112" s="169">
        <v>37.521000000000001</v>
      </c>
      <c r="AO112" s="1242">
        <f t="shared" si="234"/>
        <v>38.992579967992022</v>
      </c>
      <c r="AP112" s="1232"/>
      <c r="AQ112" s="951"/>
      <c r="AR112" s="169">
        <v>44.023000000000003</v>
      </c>
      <c r="AS112" s="1242">
        <f t="shared" si="235"/>
        <v>37.504685636394605</v>
      </c>
      <c r="AT112" s="1232"/>
      <c r="AU112" s="951"/>
      <c r="AV112" s="1210">
        <v>60.636000000000003</v>
      </c>
      <c r="AW112" s="1243">
        <f t="shared" si="236"/>
        <v>37.526689400362677</v>
      </c>
      <c r="AX112" s="1158"/>
      <c r="AY112" s="951"/>
      <c r="AZ112" s="1210">
        <v>58.368000000000002</v>
      </c>
      <c r="BA112" s="1243">
        <f t="shared" si="237"/>
        <v>36.989999619757413</v>
      </c>
      <c r="BB112" s="1158"/>
      <c r="BC112" s="951"/>
      <c r="BD112" s="1210">
        <f>36.845</f>
        <v>36.844999999999999</v>
      </c>
      <c r="BE112" s="1243">
        <f t="shared" si="238"/>
        <v>37.086432676725508</v>
      </c>
      <c r="BF112" s="1158"/>
      <c r="BG112" s="1158"/>
      <c r="BH112" s="1210">
        <v>16.175000000000001</v>
      </c>
      <c r="BI112" s="1243">
        <f t="shared" si="239"/>
        <v>19.227797391914233</v>
      </c>
      <c r="BJ112" s="1245">
        <f>59.159+8.789</f>
        <v>67.947999999999993</v>
      </c>
      <c r="BK112" s="1158"/>
      <c r="BL112" s="1210">
        <f>36.049+2.63</f>
        <v>38.679000000000002</v>
      </c>
      <c r="BM112" s="1243">
        <f t="shared" si="240"/>
        <v>38.551394882937501</v>
      </c>
      <c r="BN112" s="1158"/>
      <c r="BO112" s="1158"/>
      <c r="BP112" s="1210">
        <f>30.351+3.444</f>
        <v>33.795000000000002</v>
      </c>
      <c r="BQ112" s="1243">
        <f t="shared" si="241"/>
        <v>36.835393368648248</v>
      </c>
      <c r="BR112" s="1158"/>
      <c r="BS112" s="1158"/>
      <c r="BT112" s="1210">
        <v>48.921999999999997</v>
      </c>
      <c r="BU112" s="1243">
        <f t="shared" si="242"/>
        <v>37.241841309957884</v>
      </c>
      <c r="BV112" s="1158"/>
      <c r="BW112" s="1158"/>
      <c r="BX112" s="1340">
        <v>24.850999999999999</v>
      </c>
      <c r="BY112" s="1243">
        <f t="shared" si="243"/>
        <v>40.29543390841873</v>
      </c>
      <c r="BZ112" s="1158"/>
      <c r="CA112" s="1158"/>
      <c r="CB112" s="1340">
        <f>14.697+(17.752+33.468+36.528)*0.194</f>
        <v>31.720111999999997</v>
      </c>
      <c r="CC112" s="1243">
        <f t="shared" si="244"/>
        <v>42.393531400772488</v>
      </c>
      <c r="CD112" s="1158"/>
      <c r="CE112" s="1158"/>
      <c r="CF112" s="1340">
        <v>40.366999999999997</v>
      </c>
      <c r="CG112" s="1243">
        <f t="shared" si="245"/>
        <v>36.820453882078205</v>
      </c>
      <c r="CH112" s="1158"/>
      <c r="CI112" s="1158"/>
      <c r="CJ112" s="1340">
        <v>43.110999999999997</v>
      </c>
      <c r="CK112" s="1243">
        <f t="shared" si="246"/>
        <v>36.267045789132744</v>
      </c>
      <c r="CL112" s="1158"/>
      <c r="CM112" s="1158"/>
      <c r="CN112" s="1210">
        <f>33.947+ (3.695-2.065)</f>
        <v>35.577000000000005</v>
      </c>
      <c r="CO112" s="1243">
        <f>(CN112/CN92)*100</f>
        <v>35.094451294697897</v>
      </c>
      <c r="CP112" s="1158"/>
      <c r="CQ112" s="1158"/>
      <c r="CR112" s="1211">
        <f>(CS112/100)*CR92</f>
        <v>24.974668457561293</v>
      </c>
      <c r="CS112" s="1246">
        <v>25</v>
      </c>
      <c r="CT112" s="1158"/>
      <c r="CU112" s="1158"/>
      <c r="CV112" s="1158"/>
      <c r="CW112" s="1158"/>
      <c r="CX112" s="1158"/>
      <c r="CY112" s="1158"/>
      <c r="CZ112" s="1158"/>
      <c r="DA112" s="1158"/>
      <c r="DB112" s="951"/>
      <c r="DC112" s="951"/>
      <c r="DD112" s="951"/>
      <c r="DE112" s="951"/>
      <c r="DF112" s="951"/>
      <c r="DG112" s="951"/>
      <c r="DH112" s="951"/>
      <c r="DI112" s="951"/>
      <c r="DJ112" s="951"/>
      <c r="DK112" s="951"/>
      <c r="DL112" s="951"/>
      <c r="DM112" s="951"/>
      <c r="DN112" s="951"/>
      <c r="DO112" s="951"/>
      <c r="DP112" s="951"/>
      <c r="DQ112" s="951"/>
      <c r="DR112" s="951"/>
      <c r="DS112" s="951"/>
      <c r="DT112" s="951"/>
      <c r="DU112" s="951"/>
      <c r="DV112" s="951"/>
      <c r="DW112" s="951"/>
      <c r="DX112" s="951"/>
      <c r="DY112" s="951"/>
    </row>
    <row r="113" spans="1:129" ht="12.75" outlineLevel="1">
      <c r="A113" s="1167" t="s">
        <v>737</v>
      </c>
      <c r="B113" s="951"/>
      <c r="C113" s="1248">
        <f>+C93-8.578</f>
        <v>5.5549999999999997</v>
      </c>
      <c r="D113" s="1242">
        <f t="shared" si="226"/>
        <v>39.305172291799337</v>
      </c>
      <c r="E113" s="951"/>
      <c r="F113" s="951"/>
      <c r="G113" s="1248">
        <f>+G93-6.425</f>
        <v>4.232000000000002</v>
      </c>
      <c r="H113" s="1242">
        <f>(G113/G93)*100</f>
        <v>39.710988082950188</v>
      </c>
      <c r="I113" s="951"/>
      <c r="J113" s="951"/>
      <c r="K113" s="1248">
        <f>12.741-2.444</f>
        <v>10.297000000000001</v>
      </c>
      <c r="L113" s="1242">
        <f t="shared" si="227"/>
        <v>39.517212265418117</v>
      </c>
      <c r="M113" s="951"/>
      <c r="N113" s="951"/>
      <c r="O113" s="1248">
        <f>35.371-18.755</f>
        <v>16.616000000000003</v>
      </c>
      <c r="P113" s="1242">
        <f t="shared" si="228"/>
        <v>40.033730875798106</v>
      </c>
      <c r="Q113" s="951"/>
      <c r="R113" s="951"/>
      <c r="S113" s="1248">
        <v>24.03</v>
      </c>
      <c r="T113" s="1242">
        <f t="shared" si="229"/>
        <v>39.289743463972137</v>
      </c>
      <c r="U113" s="951"/>
      <c r="V113" s="951"/>
      <c r="W113" s="256">
        <v>30.4</v>
      </c>
      <c r="X113" s="1242">
        <f t="shared" si="230"/>
        <v>38.216400367078599</v>
      </c>
      <c r="Y113" s="951"/>
      <c r="Z113" s="951"/>
      <c r="AA113" s="951"/>
      <c r="AB113" s="256">
        <v>26.908000000000001</v>
      </c>
      <c r="AC113" s="1242">
        <f t="shared" si="231"/>
        <v>38.000282445982194</v>
      </c>
      <c r="AD113" s="951"/>
      <c r="AE113" s="951"/>
      <c r="AF113" s="256">
        <v>24.068000000000001</v>
      </c>
      <c r="AG113" s="1242">
        <f t="shared" si="232"/>
        <v>38.23716319267924</v>
      </c>
      <c r="AH113" s="951"/>
      <c r="AI113" s="951"/>
      <c r="AJ113" s="256">
        <v>26.952999999999999</v>
      </c>
      <c r="AK113" s="1242">
        <f t="shared" si="233"/>
        <v>38.635093100927435</v>
      </c>
      <c r="AL113" s="951"/>
      <c r="AM113" s="951"/>
      <c r="AN113" s="256">
        <v>68.085999999999999</v>
      </c>
      <c r="AO113" s="1242">
        <f t="shared" si="234"/>
        <v>38.899617208478546</v>
      </c>
      <c r="AP113" s="951"/>
      <c r="AQ113" s="951"/>
      <c r="AR113" s="256">
        <v>71.468000000000004</v>
      </c>
      <c r="AS113" s="1242">
        <f t="shared" si="235"/>
        <v>40.01478130389016</v>
      </c>
      <c r="AT113" s="951"/>
      <c r="AU113" s="951"/>
      <c r="AV113" s="1217">
        <v>92.744</v>
      </c>
      <c r="AW113" s="1243">
        <f t="shared" si="236"/>
        <v>38.181496317460052</v>
      </c>
      <c r="AX113" s="1158"/>
      <c r="AY113" s="951"/>
      <c r="AZ113" s="1217">
        <v>79.367000000000004</v>
      </c>
      <c r="BA113" s="1243">
        <f t="shared" si="237"/>
        <v>36.101179916850896</v>
      </c>
      <c r="BB113" s="1159">
        <f>BA113-AW113</f>
        <v>-2.0803164006091563</v>
      </c>
      <c r="BC113" s="951"/>
      <c r="BD113" s="1217">
        <f>20.522+(3.005*0.38)+(6.7*0.38)</f>
        <v>24.209899999999998</v>
      </c>
      <c r="BE113" s="1243">
        <f t="shared" si="238"/>
        <v>38.454048730900006</v>
      </c>
      <c r="BF113" s="1159">
        <f>BE113-BA113</f>
        <v>2.3528688140491099</v>
      </c>
      <c r="BG113" s="1158"/>
      <c r="BH113" s="1217">
        <v>48.661000000000001</v>
      </c>
      <c r="BI113" s="1243">
        <f t="shared" si="239"/>
        <v>37.934018303996034</v>
      </c>
      <c r="BJ113" s="1245">
        <f>70.304+20.293</f>
        <v>90.597000000000008</v>
      </c>
      <c r="BK113" s="1158"/>
      <c r="BL113" s="1217">
        <f>48.103+3.391</f>
        <v>51.494</v>
      </c>
      <c r="BM113" s="1243">
        <f t="shared" si="240"/>
        <v>35.756345234061229</v>
      </c>
      <c r="BN113" s="1158"/>
      <c r="BO113" s="1158"/>
      <c r="BP113" s="1217">
        <f>29.328+20.73*0.36+5.584*0.36+5.628</f>
        <v>44.429040000000001</v>
      </c>
      <c r="BQ113" s="1243">
        <f t="shared" si="241"/>
        <v>37.013404423709723</v>
      </c>
      <c r="BR113" s="1158"/>
      <c r="BS113" s="1158"/>
      <c r="BT113" s="1217">
        <v>68.266000000000005</v>
      </c>
      <c r="BU113" s="1243">
        <f t="shared" si="242"/>
        <v>38.16984254786184</v>
      </c>
      <c r="BV113" s="1158"/>
      <c r="BW113" s="1158"/>
      <c r="BX113" s="1217">
        <f>13.502+(37.8*55%)</f>
        <v>34.292000000000002</v>
      </c>
      <c r="BY113" s="1243">
        <f t="shared" si="243"/>
        <v>39.271194787050064</v>
      </c>
      <c r="BZ113" s="1158"/>
      <c r="CA113" s="1158"/>
      <c r="CB113" s="1217">
        <v>43.688000000000002</v>
      </c>
      <c r="CC113" s="1243">
        <f t="shared" si="244"/>
        <v>38.402981663472843</v>
      </c>
      <c r="CD113" s="1158"/>
      <c r="CE113" s="1158"/>
      <c r="CF113" s="1217">
        <f>31.668</f>
        <v>31.667999999999999</v>
      </c>
      <c r="CG113" s="1243">
        <f t="shared" si="245"/>
        <v>27.932330163882369</v>
      </c>
      <c r="CH113" s="1158"/>
      <c r="CI113" s="1158"/>
      <c r="CJ113" s="1217">
        <f>32.634+3.088</f>
        <v>35.722000000000001</v>
      </c>
      <c r="CK113" s="1243">
        <f t="shared" si="246"/>
        <v>32.947795609666095</v>
      </c>
      <c r="CL113" s="1158"/>
      <c r="CM113" s="1158"/>
      <c r="CN113" s="1217">
        <f>26.013+15.09</f>
        <v>41.103000000000002</v>
      </c>
      <c r="CO113" s="1243">
        <f>(CN113/CN93)*100</f>
        <v>34.154022568261524</v>
      </c>
      <c r="CP113" s="1158"/>
      <c r="CQ113" s="1158"/>
      <c r="CR113" s="1218">
        <f>(CS113/100)*CR93</f>
        <v>24.033075259335682</v>
      </c>
      <c r="CS113" s="1246">
        <v>25</v>
      </c>
      <c r="CT113" s="1158"/>
      <c r="CU113" s="1158"/>
      <c r="CV113" s="1158"/>
      <c r="CW113" s="1158"/>
      <c r="CX113" s="1158"/>
      <c r="CY113" s="1158"/>
      <c r="CZ113" s="1158"/>
      <c r="DA113" s="1158"/>
      <c r="DB113" s="951"/>
      <c r="DC113" s="951"/>
      <c r="DD113" s="951"/>
      <c r="DE113" s="1226"/>
      <c r="DF113" s="951"/>
      <c r="DG113" s="951"/>
      <c r="DH113" s="951"/>
      <c r="DI113" s="951"/>
      <c r="DJ113" s="951"/>
      <c r="DK113" s="951"/>
      <c r="DL113" s="951"/>
      <c r="DM113" s="951"/>
      <c r="DN113" s="951"/>
      <c r="DO113" s="951"/>
      <c r="DP113" s="951"/>
      <c r="DQ113" s="951"/>
      <c r="DR113" s="951"/>
      <c r="DS113" s="951"/>
      <c r="DT113" s="951"/>
      <c r="DU113" s="951"/>
      <c r="DV113" s="951"/>
      <c r="DW113" s="951"/>
      <c r="DX113" s="951"/>
      <c r="DY113" s="951"/>
    </row>
    <row r="114" spans="1:129" ht="12.75" outlineLevel="1">
      <c r="A114" s="1167" t="s">
        <v>762</v>
      </c>
      <c r="B114" s="951"/>
      <c r="C114" s="1222">
        <f>SUM(C110:C113)</f>
        <v>-1.1049999999999986</v>
      </c>
      <c r="D114" s="1242">
        <f t="shared" si="226"/>
        <v>-172.11838006230522</v>
      </c>
      <c r="E114" s="951"/>
      <c r="F114" s="951"/>
      <c r="G114" s="1222">
        <f>SUM(G110:G113)</f>
        <v>3.9070000000000045</v>
      </c>
      <c r="H114" s="1242">
        <f>(G114/G94)*100</f>
        <v>39.737591537835812</v>
      </c>
      <c r="I114" s="951"/>
      <c r="J114" s="951"/>
      <c r="K114" s="1222">
        <f>SUM(K110:K113)</f>
        <v>12.741</v>
      </c>
      <c r="L114" s="1242">
        <f t="shared" si="227"/>
        <v>39.472705867773726</v>
      </c>
      <c r="M114" s="951"/>
      <c r="N114" s="951"/>
      <c r="O114" s="1222">
        <f>SUM(O110:O113)</f>
        <v>35.371000000000002</v>
      </c>
      <c r="P114" s="1242">
        <f t="shared" si="228"/>
        <v>39.525528277218427</v>
      </c>
      <c r="Q114" s="951"/>
      <c r="R114" s="951"/>
      <c r="S114" s="1222">
        <f>S110+S111+S112+S113</f>
        <v>58.694000000000003</v>
      </c>
      <c r="T114" s="1242">
        <f t="shared" si="229"/>
        <v>39.298579214483702</v>
      </c>
      <c r="U114" s="951"/>
      <c r="V114" s="951"/>
      <c r="W114" s="1283">
        <f>SUM(W110:W113)</f>
        <v>59.042000000000002</v>
      </c>
      <c r="X114" s="1242">
        <f t="shared" si="230"/>
        <v>38.640052356020952</v>
      </c>
      <c r="Y114" s="951"/>
      <c r="Z114" s="951"/>
      <c r="AA114" s="951"/>
      <c r="AB114" s="1283">
        <f>SUM(AB110:AB113)</f>
        <v>63.75</v>
      </c>
      <c r="AC114" s="1242">
        <f t="shared" si="231"/>
        <v>37.667287069041919</v>
      </c>
      <c r="AD114" s="951"/>
      <c r="AE114" s="951"/>
      <c r="AF114" s="1283">
        <f>SUM(AF110:AF113)</f>
        <v>54.878</v>
      </c>
      <c r="AG114" s="1242">
        <f t="shared" si="232"/>
        <v>38.212418095854837</v>
      </c>
      <c r="AH114" s="951"/>
      <c r="AI114" s="951"/>
      <c r="AJ114" s="1283">
        <f>SUM(AJ110:AJ113)</f>
        <v>47.424999999999997</v>
      </c>
      <c r="AK114" s="1242">
        <f t="shared" si="233"/>
        <v>41.281848173327184</v>
      </c>
      <c r="AL114" s="951"/>
      <c r="AM114" s="951"/>
      <c r="AN114" s="1283">
        <f>SUM(AN110:AN113)</f>
        <v>142.505</v>
      </c>
      <c r="AO114" s="1242">
        <f t="shared" si="234"/>
        <v>38.847165619420174</v>
      </c>
      <c r="AP114" s="951"/>
      <c r="AQ114" s="951"/>
      <c r="AR114" s="1283">
        <f>SUM(AR110:AR113)</f>
        <v>183.25600000000003</v>
      </c>
      <c r="AS114" s="1242">
        <f t="shared" si="235"/>
        <v>38.421106701302179</v>
      </c>
      <c r="AT114" s="951"/>
      <c r="AU114" s="951"/>
      <c r="AV114" s="1297">
        <f>SUM(AV110:AV113)</f>
        <v>241.708</v>
      </c>
      <c r="AW114" s="1243">
        <f t="shared" si="236"/>
        <v>38.423252213198275</v>
      </c>
      <c r="AX114" s="1158"/>
      <c r="AY114" s="951"/>
      <c r="AZ114" s="1297">
        <f>SUM(AZ110:AZ113)</f>
        <v>236.36200000000002</v>
      </c>
      <c r="BA114" s="1243">
        <f t="shared" si="237"/>
        <v>37.141586565280875</v>
      </c>
      <c r="BB114" s="1158"/>
      <c r="BC114" s="951"/>
      <c r="BD114" s="1297">
        <f>SUM(BD110:BD113)</f>
        <v>121.6679</v>
      </c>
      <c r="BE114" s="1243">
        <f t="shared" si="238"/>
        <v>37.247631993044465</v>
      </c>
      <c r="BF114" s="1158"/>
      <c r="BG114" s="1158"/>
      <c r="BH114" s="1297">
        <f>SUM(BH110:BH113)</f>
        <v>99.248999999999995</v>
      </c>
      <c r="BI114" s="1243">
        <f t="shared" si="239"/>
        <v>32.315611935244412</v>
      </c>
      <c r="BJ114" s="1158"/>
      <c r="BK114" s="1158"/>
      <c r="BL114" s="1297">
        <f>SUM(BL110:BL113)</f>
        <v>121.64400000000001</v>
      </c>
      <c r="BM114" s="1243">
        <f t="shared" si="240"/>
        <v>35.612614015755227</v>
      </c>
      <c r="BN114" s="1158"/>
      <c r="BO114" s="1158"/>
      <c r="BP114" s="1297">
        <f>SUM(BP110:BP113)</f>
        <v>109.40304</v>
      </c>
      <c r="BQ114" s="1243">
        <f t="shared" si="241"/>
        <v>36.477042440893158</v>
      </c>
      <c r="BR114" s="1158"/>
      <c r="BS114" s="1158"/>
      <c r="BT114" s="1297">
        <f>SUM(BT110:BT113)</f>
        <v>165.86799999999999</v>
      </c>
      <c r="BU114" s="1243">
        <f t="shared" si="242"/>
        <v>37.310934955326189</v>
      </c>
      <c r="BV114" s="1158"/>
      <c r="BW114" s="1158"/>
      <c r="BX114" s="1297">
        <f>SUM(BX110:BX113)</f>
        <v>91.656999999999996</v>
      </c>
      <c r="BY114" s="1243">
        <f t="shared" si="243"/>
        <v>38.797434866346379</v>
      </c>
      <c r="BZ114" s="1158"/>
      <c r="CA114" s="1158"/>
      <c r="CB114" s="1297">
        <f>SUM(CB110:CB113)</f>
        <v>87.737111999999996</v>
      </c>
      <c r="CC114" s="1243">
        <f t="shared" si="244"/>
        <v>41.661931783107676</v>
      </c>
      <c r="CD114" s="1158"/>
      <c r="CE114" s="1158"/>
      <c r="CF114" s="1297">
        <f>SUM(CF110:CF113)</f>
        <v>108.58099999999999</v>
      </c>
      <c r="CG114" s="1243">
        <f t="shared" si="245"/>
        <v>33.734217328627523</v>
      </c>
      <c r="CH114" s="1158"/>
      <c r="CI114" s="1158"/>
      <c r="CJ114" s="1297">
        <f>SUM(CJ110:CJ113)</f>
        <v>125.90100000000001</v>
      </c>
      <c r="CK114" s="1243">
        <f t="shared" si="246"/>
        <v>35.323081584728413</v>
      </c>
      <c r="CL114" s="1158"/>
      <c r="CM114" s="1158"/>
      <c r="CN114" s="1297">
        <f>SUM(CN110:CN113)</f>
        <v>109.17010000000002</v>
      </c>
      <c r="CO114" s="1243">
        <f>(CN114/CN94)*100</f>
        <v>34.392190960441319</v>
      </c>
      <c r="CP114" s="1158"/>
      <c r="CQ114" s="1158"/>
      <c r="CR114" s="1297">
        <f>SUM(CR110:CR113)</f>
        <v>80.494029590697252</v>
      </c>
      <c r="CS114" s="1243">
        <f>(CR114/CR94)*100</f>
        <v>25</v>
      </c>
      <c r="CT114" s="1158"/>
      <c r="CU114" s="1158"/>
      <c r="CV114" s="1158"/>
      <c r="CW114" s="1158"/>
      <c r="CX114" s="1158"/>
      <c r="CY114" s="1158"/>
      <c r="CZ114" s="1158"/>
      <c r="DA114" s="1158"/>
      <c r="DB114" s="951"/>
      <c r="DC114" s="951"/>
      <c r="DD114" s="951"/>
      <c r="DE114" s="951"/>
      <c r="DF114" s="951"/>
      <c r="DG114" s="951"/>
      <c r="DH114" s="951"/>
      <c r="DI114" s="951"/>
      <c r="DJ114" s="951"/>
      <c r="DK114" s="951"/>
      <c r="DL114" s="951"/>
      <c r="DM114" s="951"/>
      <c r="DN114" s="951"/>
      <c r="DO114" s="951"/>
      <c r="DP114" s="951"/>
      <c r="DQ114" s="951"/>
      <c r="DR114" s="951"/>
      <c r="DS114" s="951"/>
      <c r="DT114" s="951"/>
      <c r="DU114" s="951"/>
      <c r="DV114" s="951"/>
      <c r="DW114" s="951"/>
      <c r="DX114" s="951"/>
      <c r="DY114" s="951"/>
    </row>
    <row r="115" spans="1:129" ht="12.75" hidden="1" customHeight="1" outlineLevel="2">
      <c r="A115" s="1167" t="s">
        <v>769</v>
      </c>
      <c r="B115" s="951"/>
      <c r="C115" s="1226">
        <f>C110+C111</f>
        <v>-5.7289999999999974</v>
      </c>
      <c r="D115" s="1242">
        <f t="shared" si="226"/>
        <v>40.330869412178799</v>
      </c>
      <c r="E115" s="951"/>
      <c r="F115" s="951"/>
      <c r="G115" s="1226">
        <f>G110+G111</f>
        <v>-1.7150000000000005</v>
      </c>
      <c r="H115" s="1242">
        <f>(G115/G95)*100</f>
        <v>39.334862385321109</v>
      </c>
      <c r="I115" s="951"/>
      <c r="J115" s="951"/>
      <c r="K115" s="1226">
        <f>K110+K111</f>
        <v>-1.6189999999999998</v>
      </c>
      <c r="L115" s="1242">
        <f t="shared" si="227"/>
        <v>39.315201554152473</v>
      </c>
      <c r="M115" s="951"/>
      <c r="N115" s="951"/>
      <c r="O115" s="1226">
        <f>O110+O111</f>
        <v>9.9409999999999989</v>
      </c>
      <c r="P115" s="1242">
        <f t="shared" si="228"/>
        <v>39.294043242815924</v>
      </c>
      <c r="Q115" s="951"/>
      <c r="R115" s="951"/>
      <c r="S115" s="1226">
        <f>S110+S111</f>
        <v>18.905000000000001</v>
      </c>
      <c r="T115" s="1242">
        <f t="shared" si="229"/>
        <v>39.305985820321432</v>
      </c>
      <c r="U115" s="951"/>
      <c r="V115" s="951"/>
      <c r="W115" s="1226">
        <f>W110+W111</f>
        <v>9.9559999999999995</v>
      </c>
      <c r="X115" s="1242">
        <f t="shared" si="230"/>
        <v>39.288110177183214</v>
      </c>
      <c r="Y115" s="951"/>
      <c r="Z115" s="951"/>
      <c r="AA115" s="951"/>
      <c r="AB115" s="1226">
        <f>AB110+AB111</f>
        <v>18.004999999999999</v>
      </c>
      <c r="AC115" s="1242">
        <f t="shared" si="231"/>
        <v>36.853201244473546</v>
      </c>
      <c r="AD115" s="951"/>
      <c r="AE115" s="951"/>
      <c r="AF115" s="1226">
        <f>AF110+AF111</f>
        <v>14.094000000000001</v>
      </c>
      <c r="AG115" s="1242">
        <f t="shared" si="232"/>
        <v>38.227236974151744</v>
      </c>
      <c r="AH115" s="951"/>
      <c r="AI115" s="951"/>
      <c r="AJ115" s="1226">
        <f>AJ110+AJ111</f>
        <v>8.9640000000000004</v>
      </c>
      <c r="AK115" s="1242">
        <f t="shared" si="233"/>
        <v>38.19181117123258</v>
      </c>
      <c r="AL115" s="951"/>
      <c r="AM115" s="951"/>
      <c r="AN115" s="1226">
        <f>AN110+AN111</f>
        <v>36.897999999999996</v>
      </c>
      <c r="AO115" s="1242">
        <f t="shared" si="234"/>
        <v>38.604714424716711</v>
      </c>
      <c r="AP115" s="951"/>
      <c r="AQ115" s="951"/>
      <c r="AR115" s="1226">
        <f>AR110+AR111</f>
        <v>67.765000000000001</v>
      </c>
      <c r="AS115" s="1242">
        <f t="shared" si="235"/>
        <v>37.442743241077878</v>
      </c>
      <c r="AT115" s="951"/>
      <c r="AU115" s="951"/>
      <c r="AV115" s="1166">
        <f>AV110+AV111</f>
        <v>88.328000000000003</v>
      </c>
      <c r="AW115" s="1243">
        <f t="shared" si="236"/>
        <v>39.329780081306239</v>
      </c>
      <c r="AX115" s="1158"/>
      <c r="AY115" s="951"/>
      <c r="AZ115" s="1166">
        <f>AZ110+AZ111</f>
        <v>98.626999999999995</v>
      </c>
      <c r="BA115" s="1243">
        <f t="shared" si="237"/>
        <v>38.118040820743545</v>
      </c>
      <c r="BB115" s="1158"/>
      <c r="BC115" s="951"/>
      <c r="BD115" s="1166">
        <f>BD110+BD111</f>
        <v>60.613</v>
      </c>
      <c r="BE115" s="1243">
        <f t="shared" si="238"/>
        <v>36.882906674617686</v>
      </c>
      <c r="BF115" s="1158"/>
      <c r="BG115" s="1158"/>
      <c r="BH115" s="1166">
        <f>BH110+BH111</f>
        <v>34.412999999999997</v>
      </c>
      <c r="BI115" s="1243">
        <f t="shared" si="239"/>
        <v>36.330141570685043</v>
      </c>
      <c r="BJ115" s="1158"/>
      <c r="BK115" s="1158"/>
      <c r="BL115" s="1166">
        <f>BL110+BL111</f>
        <v>31.471</v>
      </c>
      <c r="BM115" s="1243">
        <f t="shared" si="240"/>
        <v>32.367249128364413</v>
      </c>
      <c r="BN115" s="1158"/>
      <c r="BO115" s="1158"/>
      <c r="BP115" s="1166">
        <f>BP110+BP111</f>
        <v>31.178999999999998</v>
      </c>
      <c r="BQ115" s="1243">
        <f t="shared" si="241"/>
        <v>35.373601688184955</v>
      </c>
      <c r="BR115" s="1158"/>
      <c r="BS115" s="1158"/>
      <c r="BT115" s="1166">
        <f>BT110+BT111</f>
        <v>48.68</v>
      </c>
      <c r="BU115" s="1243">
        <f t="shared" si="242"/>
        <v>36.235066433436295</v>
      </c>
      <c r="BV115" s="1158"/>
      <c r="BW115" s="1158"/>
      <c r="BX115" s="1166">
        <f>BX110+BX111</f>
        <v>32.513999999999996</v>
      </c>
      <c r="BY115" s="1243">
        <f t="shared" si="243"/>
        <v>37.264475312886816</v>
      </c>
      <c r="BZ115" s="1158"/>
      <c r="CA115" s="1158"/>
      <c r="CB115" s="1166">
        <f>CB110+CB111</f>
        <v>12.329000000000001</v>
      </c>
      <c r="CC115" s="1243">
        <f t="shared" si="244"/>
        <v>56.020537986186689</v>
      </c>
      <c r="CD115" s="1158"/>
      <c r="CE115" s="1158"/>
      <c r="CF115" s="1166">
        <f>CF110+CF111</f>
        <v>36.545999999999999</v>
      </c>
      <c r="CG115" s="1243">
        <f t="shared" si="245"/>
        <v>36.965185200169941</v>
      </c>
      <c r="CH115" s="1158"/>
      <c r="CI115" s="1158"/>
      <c r="CJ115" s="1166">
        <f>CJ110+CJ111</f>
        <v>47.067999999999998</v>
      </c>
      <c r="CK115" s="1243">
        <f t="shared" si="246"/>
        <v>36.448395490025995</v>
      </c>
      <c r="CL115" s="1158"/>
      <c r="CM115" s="1158"/>
      <c r="CN115" s="1166">
        <f>CN110+CN111</f>
        <v>32.490099999999998</v>
      </c>
      <c r="CO115" s="1243">
        <f>(CN115/CN95)*100</f>
        <v>33.94781936346731</v>
      </c>
      <c r="CP115" s="1158"/>
      <c r="CQ115" s="1158"/>
      <c r="CR115" s="2091">
        <f>CR110+CR111</f>
        <v>31.486285873800277</v>
      </c>
      <c r="CS115" s="2092">
        <f>(CR115/CR95)*100</f>
        <v>25</v>
      </c>
      <c r="CT115" s="2087"/>
      <c r="CU115" s="1158"/>
      <c r="CV115" s="1158"/>
      <c r="CW115" s="1158"/>
      <c r="CX115" s="1158"/>
      <c r="CY115" s="1158"/>
      <c r="CZ115" s="1158"/>
      <c r="DA115" s="1158"/>
      <c r="DB115" s="951"/>
      <c r="DC115" s="951"/>
      <c r="DD115" s="951"/>
      <c r="DE115" s="951"/>
      <c r="DF115" s="951"/>
      <c r="DG115" s="951"/>
      <c r="DH115" s="951"/>
      <c r="DI115" s="951"/>
      <c r="DJ115" s="951"/>
      <c r="DK115" s="951"/>
      <c r="DL115" s="951"/>
      <c r="DM115" s="951"/>
      <c r="DN115" s="951"/>
      <c r="DO115" s="951"/>
      <c r="DP115" s="951"/>
      <c r="DQ115" s="951"/>
      <c r="DR115" s="951"/>
      <c r="DS115" s="951"/>
      <c r="DT115" s="951"/>
      <c r="DU115" s="951"/>
      <c r="DV115" s="951"/>
      <c r="DW115" s="951"/>
      <c r="DX115" s="951"/>
      <c r="DY115" s="951"/>
    </row>
    <row r="116" spans="1:129" ht="12.75" hidden="1" customHeight="1" outlineLevel="2">
      <c r="A116" s="1167" t="s">
        <v>770</v>
      </c>
      <c r="B116" s="951"/>
      <c r="C116" s="1226">
        <f>C110+C111+C112</f>
        <v>-6.6599999999999984</v>
      </c>
      <c r="D116" s="1242">
        <f t="shared" si="226"/>
        <v>49.366244162775175</v>
      </c>
      <c r="E116" s="951"/>
      <c r="F116" s="951"/>
      <c r="G116" s="1226">
        <f>G110+G111+G112</f>
        <v>-0.32499999999999729</v>
      </c>
      <c r="H116" s="1242">
        <f>(G116/G96)*100</f>
        <v>39.393939393939206</v>
      </c>
      <c r="I116" s="951"/>
      <c r="J116" s="951"/>
      <c r="K116" s="1226">
        <f>K110+K111+K112</f>
        <v>2.444</v>
      </c>
      <c r="L116" s="1242">
        <f t="shared" si="227"/>
        <v>39.286288378074211</v>
      </c>
      <c r="M116" s="951"/>
      <c r="N116" s="951"/>
      <c r="O116" s="1226">
        <f>O110+O111+O112</f>
        <v>18.754999999999999</v>
      </c>
      <c r="P116" s="1242">
        <f t="shared" si="228"/>
        <v>39.085945315105022</v>
      </c>
      <c r="Q116" s="951"/>
      <c r="R116" s="951"/>
      <c r="S116" s="1226">
        <f>S110+S111+S112</f>
        <v>34.664000000000001</v>
      </c>
      <c r="T116" s="1242">
        <f t="shared" si="229"/>
        <v>39.304706722755775</v>
      </c>
      <c r="U116" s="951"/>
      <c r="V116" s="951"/>
      <c r="W116" s="1226">
        <f>W110+W111+W112</f>
        <v>28.641999999999999</v>
      </c>
      <c r="X116" s="1242">
        <f t="shared" si="230"/>
        <v>39.100105115148864</v>
      </c>
      <c r="Y116" s="951"/>
      <c r="Z116" s="951"/>
      <c r="AA116" s="951"/>
      <c r="AB116" s="1226">
        <f>AB110+AB111+AB112</f>
        <v>36.841999999999999</v>
      </c>
      <c r="AC116" s="1242">
        <f t="shared" si="231"/>
        <v>37.427744196678006</v>
      </c>
      <c r="AD116" s="951"/>
      <c r="AE116" s="951"/>
      <c r="AF116" s="1226">
        <f>AF110+AF111+AF112</f>
        <v>30.810000000000002</v>
      </c>
      <c r="AG116" s="1242">
        <f t="shared" si="232"/>
        <v>38.193110116649507</v>
      </c>
      <c r="AH116" s="951"/>
      <c r="AI116" s="951"/>
      <c r="AJ116" s="1226">
        <f>AJ110+AJ111+AJ112</f>
        <v>20.472000000000001</v>
      </c>
      <c r="AK116" s="1242">
        <f t="shared" si="233"/>
        <v>45.37435169998669</v>
      </c>
      <c r="AL116" s="951"/>
      <c r="AM116" s="951"/>
      <c r="AN116" s="1226">
        <f>AN110+AN111+AN112</f>
        <v>74.418999999999997</v>
      </c>
      <c r="AO116" s="1242">
        <f t="shared" si="234"/>
        <v>38.799301373791089</v>
      </c>
      <c r="AP116" s="951"/>
      <c r="AQ116" s="951"/>
      <c r="AR116" s="1226">
        <f>AR110+AR111+AR112</f>
        <v>111.78800000000001</v>
      </c>
      <c r="AS116" s="1242">
        <f t="shared" si="235"/>
        <v>37.467112208953509</v>
      </c>
      <c r="AT116" s="951"/>
      <c r="AU116" s="951"/>
      <c r="AV116" s="1166">
        <f>AV110+AV111+AV112</f>
        <v>148.964</v>
      </c>
      <c r="AW116" s="1243">
        <f t="shared" si="236"/>
        <v>38.575320330222397</v>
      </c>
      <c r="AX116" s="1158"/>
      <c r="AY116" s="951"/>
      <c r="AZ116" s="1166">
        <f>AZ110+AZ111+AZ112</f>
        <v>156.995</v>
      </c>
      <c r="BA116" s="1243">
        <f t="shared" si="237"/>
        <v>37.690710264443581</v>
      </c>
      <c r="BB116" s="1158"/>
      <c r="BC116" s="951"/>
      <c r="BD116" s="1166">
        <f>BD110+BD111+BD112</f>
        <v>97.457999999999998</v>
      </c>
      <c r="BE116" s="1243">
        <f t="shared" si="238"/>
        <v>36.959588604714654</v>
      </c>
      <c r="BF116" s="1158"/>
      <c r="BG116" s="1158"/>
      <c r="BH116" s="1166">
        <f>BH110+BH111+BH112</f>
        <v>50.587999999999994</v>
      </c>
      <c r="BI116" s="1243">
        <f t="shared" si="239"/>
        <v>28.285787772720671</v>
      </c>
      <c r="BJ116" s="1158"/>
      <c r="BK116" s="1158"/>
      <c r="BL116" s="1166">
        <f>BL110+BL111+BL112</f>
        <v>70.150000000000006</v>
      </c>
      <c r="BM116" s="1243">
        <f t="shared" si="240"/>
        <v>35.507840576629121</v>
      </c>
      <c r="BN116" s="1158"/>
      <c r="BO116" s="1158"/>
      <c r="BP116" s="1166">
        <f>BP110+BP111+BP112</f>
        <v>64.974000000000004</v>
      </c>
      <c r="BQ116" s="1243">
        <f t="shared" si="241"/>
        <v>36.119140798719215</v>
      </c>
      <c r="BR116" s="1158"/>
      <c r="BS116" s="1158"/>
      <c r="BT116" s="1166">
        <f>BT110+BT111+BT112</f>
        <v>97.602000000000004</v>
      </c>
      <c r="BU116" s="1243">
        <f t="shared" si="242"/>
        <v>36.732804431932784</v>
      </c>
      <c r="BV116" s="1158"/>
      <c r="BW116" s="1158"/>
      <c r="BX116" s="1166">
        <f>BX110+BX111+BX112</f>
        <v>57.364999999999995</v>
      </c>
      <c r="BY116" s="1243">
        <f t="shared" si="243"/>
        <v>38.51964760549005</v>
      </c>
      <c r="BZ116" s="1158"/>
      <c r="CA116" s="1158"/>
      <c r="CB116" s="1166">
        <f>CB110+CB111+CB112</f>
        <v>44.049111999999994</v>
      </c>
      <c r="CC116" s="1243">
        <f t="shared" si="244"/>
        <v>45.490712684987216</v>
      </c>
      <c r="CD116" s="1158"/>
      <c r="CE116" s="1158"/>
      <c r="CF116" s="1166">
        <f>CF110+CF111+CF112</f>
        <v>76.912999999999997</v>
      </c>
      <c r="CG116" s="1243">
        <f t="shared" si="245"/>
        <v>36.889082868900417</v>
      </c>
      <c r="CH116" s="1158"/>
      <c r="CI116" s="1158"/>
      <c r="CJ116" s="1166">
        <f>CJ110+CJ111+CJ112</f>
        <v>90.179000000000002</v>
      </c>
      <c r="CK116" s="1243">
        <f t="shared" si="246"/>
        <v>36.361473668081935</v>
      </c>
      <c r="CL116" s="1158"/>
      <c r="CM116" s="1158"/>
      <c r="CN116" s="1166">
        <f>CN110+CN111+CN112</f>
        <v>68.067100000000011</v>
      </c>
      <c r="CO116" s="1243">
        <f>(CN116/CN96)*100</f>
        <v>34.537626661119042</v>
      </c>
      <c r="CP116" s="1158"/>
      <c r="CQ116" s="1158"/>
      <c r="CR116" s="2091">
        <f>CR110+CR111+CR112</f>
        <v>56.46095433136157</v>
      </c>
      <c r="CS116" s="2092">
        <f>(CR116/CR96)*100</f>
        <v>25</v>
      </c>
      <c r="CT116" s="2087"/>
      <c r="CU116" s="1158"/>
      <c r="CV116" s="1158"/>
      <c r="CW116" s="1158"/>
      <c r="CX116" s="1158"/>
      <c r="CY116" s="1158"/>
      <c r="CZ116" s="1158"/>
      <c r="DA116" s="1158"/>
      <c r="DB116" s="951"/>
      <c r="DC116" s="951"/>
      <c r="DD116" s="951"/>
      <c r="DE116" s="951"/>
      <c r="DF116" s="951"/>
      <c r="DG116" s="951"/>
      <c r="DH116" s="951"/>
      <c r="DI116" s="951"/>
      <c r="DJ116" s="951"/>
      <c r="DK116" s="951"/>
      <c r="DL116" s="951"/>
      <c r="DM116" s="951"/>
      <c r="DN116" s="951"/>
      <c r="DO116" s="951"/>
      <c r="DP116" s="951"/>
      <c r="DQ116" s="951"/>
      <c r="DR116" s="951"/>
      <c r="DS116" s="951"/>
      <c r="DT116" s="951"/>
      <c r="DU116" s="951"/>
      <c r="DV116" s="951"/>
      <c r="DW116" s="951"/>
      <c r="DX116" s="951"/>
      <c r="DY116" s="951"/>
    </row>
    <row r="117" spans="1:129" ht="12.75" outlineLevel="1" collapsed="1">
      <c r="A117" s="1167"/>
      <c r="B117" s="951"/>
      <c r="C117" s="951"/>
      <c r="D117" s="951"/>
      <c r="E117" s="951"/>
      <c r="F117" s="951"/>
      <c r="G117" s="951"/>
      <c r="H117" s="951"/>
      <c r="I117" s="951"/>
      <c r="J117" s="951"/>
      <c r="K117" s="951"/>
      <c r="L117" s="951"/>
      <c r="M117" s="951"/>
      <c r="N117" s="951"/>
      <c r="O117" s="951"/>
      <c r="P117" s="951"/>
      <c r="Q117" s="951"/>
      <c r="R117" s="951"/>
      <c r="S117" s="951"/>
      <c r="T117" s="951"/>
      <c r="U117" s="951"/>
      <c r="V117" s="951"/>
      <c r="W117" s="951"/>
      <c r="X117" s="951"/>
      <c r="Y117" s="951"/>
      <c r="Z117" s="951"/>
      <c r="AA117" s="951"/>
      <c r="AB117" s="951"/>
      <c r="AC117" s="951"/>
      <c r="AD117" s="951"/>
      <c r="AE117" s="951"/>
      <c r="AF117" s="951"/>
      <c r="AG117" s="951"/>
      <c r="AH117" s="951"/>
      <c r="AI117" s="951"/>
      <c r="AJ117" s="951"/>
      <c r="AK117" s="951"/>
      <c r="AL117" s="951"/>
      <c r="AM117" s="951"/>
      <c r="AN117" s="951"/>
      <c r="AO117" s="951"/>
      <c r="AP117" s="951"/>
      <c r="AQ117" s="951"/>
      <c r="AR117" s="951"/>
      <c r="AS117" s="951"/>
      <c r="AT117" s="951"/>
      <c r="AU117" s="951"/>
      <c r="AV117" s="1158"/>
      <c r="AW117" s="1158"/>
      <c r="AX117" s="1158"/>
      <c r="AY117" s="951"/>
      <c r="AZ117" s="1158"/>
      <c r="BA117" s="1159"/>
      <c r="BB117" s="1158"/>
      <c r="BC117" s="951"/>
      <c r="BD117" s="1158"/>
      <c r="BE117" s="1158"/>
      <c r="BF117" s="1158"/>
      <c r="BG117" s="1158"/>
      <c r="BH117" s="1158"/>
      <c r="BI117" s="1158"/>
      <c r="BJ117" s="1158"/>
      <c r="BK117" s="1158"/>
      <c r="BL117" s="1158"/>
      <c r="BM117" s="1158"/>
      <c r="BN117" s="1158"/>
      <c r="BO117" s="1158"/>
      <c r="BP117" s="1158"/>
      <c r="BQ117" s="1298"/>
      <c r="BR117" s="1158"/>
      <c r="BS117" s="1158"/>
      <c r="BT117" s="1158"/>
      <c r="BU117" s="1158"/>
      <c r="BV117" s="1158"/>
      <c r="BW117" s="1158"/>
      <c r="BX117" s="1158"/>
      <c r="BY117" s="1158"/>
      <c r="BZ117" s="1158"/>
      <c r="CA117" s="1158"/>
      <c r="CB117" s="1158"/>
      <c r="CC117" s="1158"/>
      <c r="CD117" s="1158"/>
      <c r="CE117" s="1158"/>
      <c r="CF117" s="1158"/>
      <c r="CG117" s="1158"/>
      <c r="CH117" s="1158"/>
      <c r="CI117" s="1158"/>
      <c r="CJ117" s="1158"/>
      <c r="CK117" s="1158"/>
      <c r="CL117" s="1158"/>
      <c r="CM117" s="1158"/>
      <c r="CN117" s="1158"/>
      <c r="CO117" s="1158"/>
      <c r="CP117" s="1158"/>
      <c r="CQ117" s="1158"/>
      <c r="CR117" s="1158"/>
      <c r="CS117" s="1158"/>
      <c r="CT117" s="1158"/>
      <c r="CU117" s="1344"/>
      <c r="CV117" s="1158"/>
      <c r="CW117" s="1344"/>
      <c r="CX117" s="1344"/>
      <c r="CY117" s="1158"/>
      <c r="CZ117" s="1158"/>
      <c r="DA117" s="1158"/>
      <c r="DB117" s="1232"/>
      <c r="DC117" s="951"/>
      <c r="DD117" s="951"/>
      <c r="DE117" s="951"/>
      <c r="DF117" s="951"/>
      <c r="DG117" s="951"/>
      <c r="DH117" s="951"/>
      <c r="DI117" s="951"/>
      <c r="DJ117" s="951"/>
      <c r="DK117" s="951"/>
      <c r="DL117" s="951"/>
      <c r="DM117" s="951"/>
      <c r="DN117" s="951"/>
      <c r="DO117" s="951"/>
      <c r="DP117" s="951"/>
      <c r="DQ117" s="951"/>
      <c r="DR117" s="951"/>
      <c r="DS117" s="951"/>
      <c r="DT117" s="951"/>
      <c r="DU117" s="951"/>
      <c r="DV117" s="951"/>
      <c r="DW117" s="951"/>
      <c r="DX117" s="951"/>
      <c r="DY117" s="951"/>
    </row>
    <row r="118" spans="1:129" ht="12.75" outlineLevel="1">
      <c r="A118" s="1341"/>
      <c r="B118" s="1341"/>
      <c r="C118" s="1341"/>
      <c r="D118" s="1341"/>
      <c r="E118" s="1342"/>
      <c r="F118" s="1342"/>
      <c r="G118" s="1342"/>
      <c r="H118" s="1342"/>
      <c r="I118" s="1342"/>
      <c r="J118" s="1341"/>
      <c r="K118" s="1183"/>
      <c r="L118" s="1183"/>
      <c r="M118" s="1183"/>
      <c r="N118" s="45"/>
      <c r="O118" s="1342"/>
      <c r="P118" s="1342"/>
      <c r="Q118" s="1342"/>
      <c r="R118" s="1343"/>
      <c r="S118" s="1259"/>
      <c r="T118" s="1342"/>
      <c r="U118" s="1342"/>
      <c r="V118" s="1343"/>
      <c r="W118" s="1259"/>
      <c r="X118" s="1342"/>
      <c r="Y118" s="1341"/>
      <c r="Z118" s="1341"/>
      <c r="AA118" s="1341"/>
      <c r="AB118" s="1182"/>
      <c r="AC118" s="1342"/>
      <c r="AD118" s="1342"/>
      <c r="AE118" s="1342"/>
      <c r="AF118" s="1182"/>
      <c r="AG118" s="1342"/>
      <c r="AH118" s="1341"/>
      <c r="AI118" s="1183"/>
      <c r="AJ118" s="1183"/>
      <c r="AK118" s="1183"/>
      <c r="AL118" s="1183"/>
      <c r="AM118" s="1342"/>
      <c r="AN118" s="1342"/>
      <c r="AO118" s="1342"/>
      <c r="AP118" s="1343"/>
      <c r="AQ118" s="1342"/>
      <c r="AR118" s="1342"/>
      <c r="AS118" s="1342"/>
      <c r="AT118" s="1343"/>
      <c r="AU118" s="1342"/>
      <c r="AW118" s="1185"/>
      <c r="AX118" s="1185"/>
      <c r="AY118" s="1183"/>
      <c r="AZ118" s="1186"/>
      <c r="BA118" s="1185"/>
      <c r="BB118" s="1185"/>
      <c r="BC118" s="1183"/>
      <c r="BD118" s="1186"/>
      <c r="BE118" s="1185"/>
      <c r="BF118" s="1185"/>
      <c r="BG118" s="1185"/>
      <c r="BH118" s="1186"/>
      <c r="BI118" s="1185"/>
      <c r="BJ118" s="1185"/>
      <c r="BK118" s="1185"/>
      <c r="BL118" s="1186"/>
      <c r="BM118" s="1185"/>
      <c r="BN118" s="1185"/>
      <c r="BO118" s="1185"/>
      <c r="BP118" s="1186"/>
      <c r="BQ118" s="1185"/>
      <c r="BR118" s="1185"/>
      <c r="BS118" s="1182" t="s">
        <v>130</v>
      </c>
      <c r="BT118" s="1186"/>
      <c r="BU118" s="1185"/>
      <c r="BV118" s="1185"/>
      <c r="BW118" s="1185"/>
      <c r="BX118" s="1185"/>
      <c r="BY118" s="1185"/>
      <c r="BZ118" s="1185"/>
      <c r="CA118" s="1187"/>
      <c r="CB118" s="1185"/>
      <c r="CC118" s="1185"/>
      <c r="CD118" s="1185"/>
      <c r="CE118" s="1187"/>
      <c r="CF118" s="1185"/>
      <c r="CG118" s="1182" t="s">
        <v>130</v>
      </c>
      <c r="CH118" s="1185"/>
      <c r="CI118" s="1187"/>
      <c r="CJ118" s="1185"/>
      <c r="CK118" s="1185"/>
      <c r="CL118" s="1185"/>
      <c r="CM118" s="1187"/>
      <c r="CN118" s="1185"/>
      <c r="CO118" s="1185"/>
      <c r="CP118" s="1185"/>
      <c r="CQ118" s="1185"/>
      <c r="CR118" s="1185"/>
      <c r="CS118" s="1185"/>
      <c r="CT118" s="1185"/>
      <c r="CU118" s="1185"/>
      <c r="CV118" s="1344"/>
      <c r="CW118" s="1185"/>
      <c r="CX118" s="1185"/>
      <c r="CY118" s="1344"/>
      <c r="CZ118" s="1344"/>
      <c r="DA118" s="1344"/>
      <c r="DB118" s="1343"/>
      <c r="DC118" s="1343"/>
      <c r="DD118" s="1343"/>
      <c r="DE118" s="1343"/>
      <c r="DF118" s="1343"/>
      <c r="DG118" s="1343"/>
      <c r="DH118" s="1345"/>
      <c r="DI118" s="1345"/>
      <c r="DJ118" s="1345"/>
      <c r="DK118" s="1345"/>
      <c r="DL118" s="1346"/>
      <c r="DM118" s="1346"/>
      <c r="DN118" s="1346"/>
      <c r="DO118" s="1346"/>
      <c r="DP118" s="1346"/>
      <c r="DQ118" s="1345"/>
      <c r="DR118" s="1189"/>
      <c r="DS118" s="1189"/>
      <c r="DT118" s="1189"/>
      <c r="DU118" s="1189"/>
      <c r="DV118" s="1346"/>
      <c r="DW118" s="1346"/>
      <c r="DX118" s="1346"/>
      <c r="DY118" s="1347"/>
    </row>
    <row r="119" spans="1:129" ht="12.75" outlineLevel="1">
      <c r="A119" s="45"/>
      <c r="B119" s="1183"/>
      <c r="C119" s="1183"/>
      <c r="D119" s="1183"/>
      <c r="E119" s="1183"/>
      <c r="F119" s="1183"/>
      <c r="G119" s="1183"/>
      <c r="H119" s="1183"/>
      <c r="I119" s="1183"/>
      <c r="J119" s="1183"/>
      <c r="K119" s="1183"/>
      <c r="L119" s="1183"/>
      <c r="M119" s="1183"/>
      <c r="N119" s="45"/>
      <c r="O119" s="1183"/>
      <c r="P119" s="1183"/>
      <c r="Q119" s="1183"/>
      <c r="R119" s="45"/>
      <c r="S119" s="1183"/>
      <c r="T119" s="1183"/>
      <c r="U119" s="1183"/>
      <c r="V119" s="45"/>
      <c r="W119" s="1183"/>
      <c r="X119" s="1183"/>
      <c r="Y119" s="1183"/>
      <c r="Z119" s="1183"/>
      <c r="AA119" s="45"/>
      <c r="AB119" s="1183"/>
      <c r="AC119" s="1183"/>
      <c r="AD119" s="1183"/>
      <c r="AE119" s="45"/>
      <c r="AF119" s="1183"/>
      <c r="AG119" s="1183"/>
      <c r="AH119" s="1183"/>
      <c r="AI119" s="45"/>
      <c r="AJ119" s="1183"/>
      <c r="AK119" s="1183"/>
      <c r="AL119" s="1183"/>
      <c r="AM119" s="45"/>
      <c r="AN119" s="1183"/>
      <c r="AO119" s="1183"/>
      <c r="AP119" s="1183"/>
      <c r="AQ119" s="45"/>
      <c r="AR119" s="1183"/>
      <c r="AS119" s="1183"/>
      <c r="AT119" s="1183"/>
      <c r="AU119" s="45"/>
      <c r="AV119" s="1185"/>
      <c r="AW119" s="1185"/>
      <c r="AX119" s="1185"/>
      <c r="AY119" s="45"/>
      <c r="AZ119" s="1185"/>
      <c r="BA119" s="1185"/>
      <c r="BB119" s="1185"/>
      <c r="BC119" s="45"/>
      <c r="BD119" s="1185"/>
      <c r="BE119" s="1185"/>
      <c r="BF119" s="1185"/>
      <c r="BG119" s="1185"/>
      <c r="BH119" s="1185"/>
      <c r="BI119" s="1185"/>
      <c r="BJ119" s="1185"/>
      <c r="BK119" s="1185"/>
      <c r="BL119" s="1185"/>
      <c r="BM119" s="1185"/>
      <c r="BN119" s="1185"/>
      <c r="BO119" s="1185"/>
      <c r="BP119" s="1185"/>
      <c r="BQ119" s="1185"/>
      <c r="BR119" s="1185"/>
      <c r="BS119" s="1185"/>
      <c r="BT119" s="1185"/>
      <c r="BU119" s="1185"/>
      <c r="BV119" s="1185"/>
      <c r="BW119" s="1185"/>
      <c r="BX119" s="1185"/>
      <c r="BY119" s="1185"/>
      <c r="BZ119" s="1185"/>
      <c r="CA119" s="1185"/>
      <c r="CB119" s="1185"/>
      <c r="CC119" s="1185"/>
      <c r="CD119" s="1185"/>
      <c r="CE119" s="1185"/>
      <c r="CF119" s="1185"/>
      <c r="CG119" s="1185"/>
      <c r="CH119" s="1185"/>
      <c r="CI119" s="1185"/>
      <c r="CJ119" s="1185"/>
      <c r="CK119" s="1185"/>
      <c r="CL119" s="1185"/>
      <c r="CM119" s="1185"/>
      <c r="CN119" s="1185"/>
      <c r="CO119" s="1185"/>
      <c r="CP119" s="1185"/>
      <c r="CQ119" s="1185"/>
      <c r="CR119" s="1185"/>
      <c r="CS119" s="1185"/>
      <c r="CT119" s="1185"/>
      <c r="CU119" s="1158"/>
      <c r="CV119" s="1185"/>
      <c r="CW119" s="1158"/>
      <c r="CX119" s="1158"/>
      <c r="CY119" s="1185"/>
      <c r="CZ119" s="1185"/>
      <c r="DA119" s="1185"/>
      <c r="DB119" s="1183"/>
      <c r="DC119" s="1183"/>
      <c r="DD119" s="1183"/>
      <c r="DE119" s="1183"/>
      <c r="DF119" s="1183"/>
      <c r="DG119" s="1183"/>
      <c r="DH119" s="45"/>
      <c r="DI119" s="45"/>
      <c r="DJ119" s="45"/>
      <c r="DK119" s="45"/>
      <c r="DL119" s="45"/>
      <c r="DM119" s="45"/>
      <c r="DN119" s="45"/>
      <c r="DO119" s="45"/>
      <c r="DP119" s="45"/>
      <c r="DQ119" s="45"/>
      <c r="DR119" s="45"/>
      <c r="DS119" s="45"/>
      <c r="DT119" s="45"/>
      <c r="DU119" s="45"/>
      <c r="DV119" s="45"/>
      <c r="DW119" s="45"/>
      <c r="DX119" s="45"/>
      <c r="DY119" s="45"/>
    </row>
    <row r="120" spans="1:129" ht="12.75" outlineLevel="1">
      <c r="A120" s="1167" t="s">
        <v>734</v>
      </c>
      <c r="B120" s="951"/>
      <c r="C120" s="1222">
        <f>C90-C110</f>
        <v>-6.923</v>
      </c>
      <c r="D120" s="1269"/>
      <c r="E120" s="951"/>
      <c r="F120" s="951"/>
      <c r="G120" s="1222">
        <f>G90-G110</f>
        <v>-2.9910000000000001</v>
      </c>
      <c r="H120" s="1348" t="s">
        <v>714</v>
      </c>
      <c r="I120" s="951"/>
      <c r="J120" s="951"/>
      <c r="K120" s="1222">
        <f>K90-K110</f>
        <v>-3.6190000000000007</v>
      </c>
      <c r="L120" s="1348" t="s">
        <v>714</v>
      </c>
      <c r="M120" s="951"/>
      <c r="N120" s="951"/>
      <c r="O120" s="1222">
        <f>O90-O110</f>
        <v>5.8050000000000068</v>
      </c>
      <c r="P120" s="1348" t="s">
        <v>714</v>
      </c>
      <c r="Q120" s="951"/>
      <c r="R120" s="951"/>
      <c r="S120" s="1222">
        <f>S90-S110</f>
        <v>12.243000000000004</v>
      </c>
      <c r="T120" s="1270">
        <f t="shared" ref="T120:T126" si="247">(S120/O120-1)*100</f>
        <v>110.90439276485769</v>
      </c>
      <c r="U120" s="951"/>
      <c r="V120" s="951"/>
      <c r="W120" s="1222">
        <f>W90-W110</f>
        <v>12.607999999999997</v>
      </c>
      <c r="X120" s="1270">
        <f t="shared" ref="X120:X126" si="248">(W120/S120-1)*100</f>
        <v>2.9812954341255749</v>
      </c>
      <c r="Y120" s="951"/>
      <c r="Z120" s="951"/>
      <c r="AA120" s="951"/>
      <c r="AB120" s="1222">
        <f>AB90-AB110</f>
        <v>15.545000000000012</v>
      </c>
      <c r="AC120" s="1270">
        <f t="shared" ref="AC120:AC126" si="249">(AB120/W120-1)*100</f>
        <v>23.29473350253819</v>
      </c>
      <c r="AD120" s="951"/>
      <c r="AE120" s="951"/>
      <c r="AF120" s="1222">
        <f>AF90-AF110</f>
        <v>12.717999999999984</v>
      </c>
      <c r="AG120" s="1270">
        <f t="shared" ref="AG120:AG126" si="250">(AF120/AB120-1)*100</f>
        <v>-18.185911868768258</v>
      </c>
      <c r="AH120" s="951"/>
      <c r="AI120" s="951"/>
      <c r="AJ120" s="1222">
        <f>AJ90-AJ110</f>
        <v>6.403000000000004</v>
      </c>
      <c r="AK120" s="1270">
        <f t="shared" ref="AK120:AK126" si="251">(AJ120/AF120-1)*100</f>
        <v>-49.654033653090011</v>
      </c>
      <c r="AL120" s="951"/>
      <c r="AM120" s="951"/>
      <c r="AN120" s="1222">
        <f>AN90-AN110</f>
        <v>27.099000000000025</v>
      </c>
      <c r="AO120" s="1270">
        <f>(AN120/AJ120-1)*100</f>
        <v>323.22348898953629</v>
      </c>
      <c r="AP120" s="951"/>
      <c r="AQ120" s="951"/>
      <c r="AR120" s="1222">
        <f>AR90-AR110</f>
        <v>55.183999999999969</v>
      </c>
      <c r="AS120" s="1270">
        <f>(AR120/AN120-1)*100</f>
        <v>103.638510646149</v>
      </c>
      <c r="AT120" s="951"/>
      <c r="AU120" s="951"/>
      <c r="AV120" s="1201">
        <f>AV90-AV110</f>
        <v>64.155999999999963</v>
      </c>
      <c r="AW120" s="1271">
        <f>(AV120/AR120-1)*100</f>
        <v>16.258335749492602</v>
      </c>
      <c r="AX120" s="1158"/>
      <c r="AY120" s="951"/>
      <c r="AZ120" s="1201">
        <f>AZ90-AZ110</f>
        <v>78.769999999999953</v>
      </c>
      <c r="BA120" s="1271">
        <f>(AZ120/AV120-1)*100</f>
        <v>22.778851549348467</v>
      </c>
      <c r="BB120" s="1158"/>
      <c r="BC120" s="951"/>
      <c r="BD120" s="1201">
        <f>BD90-BD110</f>
        <v>43.895000000000024</v>
      </c>
      <c r="BE120" s="1271">
        <f>(BD120/AZ120-1)*100</f>
        <v>-44.274469975879086</v>
      </c>
      <c r="BF120" s="1158"/>
      <c r="BG120" s="1158"/>
      <c r="BH120" s="1201">
        <f>BH90-BH110</f>
        <v>23.553000000000001</v>
      </c>
      <c r="BI120" s="1271">
        <f>(BH120/BD120-1)*100</f>
        <v>-46.342408019136606</v>
      </c>
      <c r="BJ120" s="1245"/>
      <c r="BK120" s="1158"/>
      <c r="BL120" s="1201">
        <f>BL90-BL110</f>
        <v>37.768999999999984</v>
      </c>
      <c r="BM120" s="1271">
        <f>(BL120/BH120-1)*100</f>
        <v>60.357491614656247</v>
      </c>
      <c r="BN120" s="1158"/>
      <c r="BO120" s="1158"/>
      <c r="BP120" s="1201">
        <f>BP90-BP110</f>
        <v>31.871000000000066</v>
      </c>
      <c r="BQ120" s="1271">
        <f t="shared" ref="BQ120:BQ126" si="252">(BP120/BL120-1)*100</f>
        <v>-15.615981360374697</v>
      </c>
      <c r="BR120" s="1158"/>
      <c r="BS120" s="1158"/>
      <c r="BT120" s="1201">
        <f>BT90-BT110</f>
        <v>44.035000000000082</v>
      </c>
      <c r="BU120" s="1271">
        <f t="shared" ref="BU120:BU126" si="253">(BT120/BP120-1)*100</f>
        <v>38.166358131216427</v>
      </c>
      <c r="BV120" s="1158"/>
      <c r="BW120" s="1158"/>
      <c r="BX120" s="1201">
        <f>BX90-BX110</f>
        <v>35.143999999999977</v>
      </c>
      <c r="BY120" s="1271">
        <f t="shared" ref="BY120:BY126" si="254">(BX120/BT120-1)*100</f>
        <v>-20.19075735210648</v>
      </c>
      <c r="BZ120" s="1158"/>
      <c r="CA120" s="1158"/>
      <c r="CB120" s="1201">
        <f>CB90-CB110</f>
        <v>3.8660000000000325</v>
      </c>
      <c r="CC120" s="1271">
        <f t="shared" ref="CC120:CC126" si="255">(CB120/BX120-1)*100</f>
        <v>-88.99954473025258</v>
      </c>
      <c r="CD120" s="1158"/>
      <c r="CE120" s="1158"/>
      <c r="CF120" s="1201">
        <f>CF90-CF110</f>
        <v>29.054999999999978</v>
      </c>
      <c r="CG120" s="1271">
        <f t="shared" ref="CG120:CG126" si="256">(CF120/CB120-1)*100</f>
        <v>651.55199172270397</v>
      </c>
      <c r="CH120" s="1158"/>
      <c r="CI120" s="1158"/>
      <c r="CJ120" s="1201">
        <f>CJ90-CJ110</f>
        <v>40.476000000000056</v>
      </c>
      <c r="CK120" s="1271">
        <f t="shared" ref="CK120:CK126" si="257">(CJ120/CF120-1)*100</f>
        <v>39.308208569953827</v>
      </c>
      <c r="CL120" s="1158"/>
      <c r="CM120" s="1158"/>
      <c r="CN120" s="1201">
        <f>CN90-CN110</f>
        <v>28.65989999999999</v>
      </c>
      <c r="CO120" s="1271">
        <f t="shared" ref="CO120:CO126" si="258">(CN120/CJ120-1)*100</f>
        <v>-29.192855025200238</v>
      </c>
      <c r="CP120" s="1158"/>
      <c r="CQ120" s="1158"/>
      <c r="CR120" s="1201">
        <f>CR90-CR110</f>
        <v>40.082395506630647</v>
      </c>
      <c r="CS120" s="1271">
        <f t="shared" ref="CS120:CS126" si="259">(CR120/CN120-1)*100</f>
        <v>39.855322267805057</v>
      </c>
      <c r="CT120" s="1158"/>
      <c r="CU120" s="1158"/>
      <c r="CV120" s="1158"/>
      <c r="CW120" s="1158"/>
      <c r="CX120" s="1158"/>
      <c r="CY120" s="1158"/>
      <c r="CZ120" s="1158"/>
      <c r="DA120" s="1158"/>
      <c r="DB120" s="951"/>
      <c r="DC120" s="951"/>
      <c r="DD120" s="951"/>
      <c r="DE120" s="951"/>
      <c r="DF120" s="951"/>
      <c r="DG120" s="951"/>
      <c r="DH120" s="951"/>
      <c r="DI120" s="951"/>
      <c r="DJ120" s="951"/>
      <c r="DK120" s="951"/>
      <c r="DL120" s="951"/>
      <c r="DM120" s="951"/>
      <c r="DN120" s="951"/>
      <c r="DO120" s="951"/>
      <c r="DP120" s="951"/>
      <c r="DQ120" s="951"/>
      <c r="DR120" s="951"/>
      <c r="DS120" s="951"/>
      <c r="DT120" s="951"/>
      <c r="DU120" s="951"/>
      <c r="DV120" s="951"/>
      <c r="DW120" s="951"/>
      <c r="DX120" s="951"/>
      <c r="DY120" s="951"/>
    </row>
    <row r="121" spans="1:129" ht="12.75" outlineLevel="1">
      <c r="A121" s="1167" t="s">
        <v>735</v>
      </c>
      <c r="B121" s="951"/>
      <c r="C121" s="1226">
        <f>C91-C111</f>
        <v>-1.5529999999999999</v>
      </c>
      <c r="D121" s="1269"/>
      <c r="E121" s="951"/>
      <c r="F121" s="951"/>
      <c r="G121" s="1226">
        <f>G91-G111</f>
        <v>0.34599999999999997</v>
      </c>
      <c r="H121" s="1348" t="s">
        <v>714</v>
      </c>
      <c r="I121" s="951"/>
      <c r="J121" s="951"/>
      <c r="K121" s="1226">
        <f>K91-K111</f>
        <v>1.1199999999999983</v>
      </c>
      <c r="L121" s="1270">
        <f t="shared" ref="L121:L126" si="260">(K121/G121-1)*100</f>
        <v>223.69942196531744</v>
      </c>
      <c r="M121" s="951"/>
      <c r="N121" s="951"/>
      <c r="O121" s="1226">
        <f>O91-O111</f>
        <v>9.5529999999999902</v>
      </c>
      <c r="P121" s="1270">
        <f t="shared" ref="P121:P126" si="261">(O121/K121-1)*100</f>
        <v>752.94642857142901</v>
      </c>
      <c r="Q121" s="951"/>
      <c r="R121" s="951"/>
      <c r="S121" s="1226">
        <f>S91-S111</f>
        <v>16.949000000000002</v>
      </c>
      <c r="T121" s="1270">
        <f t="shared" si="247"/>
        <v>77.420705537527667</v>
      </c>
      <c r="U121" s="951"/>
      <c r="V121" s="951"/>
      <c r="W121" s="1226">
        <f>W91-W111</f>
        <v>2.7770000000000055</v>
      </c>
      <c r="X121" s="1270">
        <f t="shared" si="248"/>
        <v>-83.615552539972825</v>
      </c>
      <c r="Y121" s="951"/>
      <c r="Z121" s="951"/>
      <c r="AA121" s="951"/>
      <c r="AB121" s="1226">
        <f>AB91-AB111</f>
        <v>15.306000000000001</v>
      </c>
      <c r="AC121" s="1270">
        <f t="shared" si="249"/>
        <v>451.17032769175262</v>
      </c>
      <c r="AD121" s="951"/>
      <c r="AE121" s="951"/>
      <c r="AF121" s="1226">
        <f>AF91-AF111</f>
        <v>10.056999999999999</v>
      </c>
      <c r="AG121" s="1270">
        <f t="shared" si="250"/>
        <v>-34.293741016594815</v>
      </c>
      <c r="AH121" s="951"/>
      <c r="AI121" s="951"/>
      <c r="AJ121" s="1226">
        <f>AJ91-AJ111</f>
        <v>8.1039999999999992</v>
      </c>
      <c r="AK121" s="1270">
        <f t="shared" si="251"/>
        <v>-19.419309933379736</v>
      </c>
      <c r="AL121" s="951"/>
      <c r="AM121" s="951"/>
      <c r="AN121" s="1226">
        <f>AN91-AN111</f>
        <v>31.581999999999997</v>
      </c>
      <c r="AO121" s="1270">
        <f t="shared" ref="AO121:AO126" si="262">(AN121/AJ121-1)*100</f>
        <v>289.70878578479761</v>
      </c>
      <c r="AP121" s="951"/>
      <c r="AQ121" s="951"/>
      <c r="AR121" s="1226">
        <f>AR91-AR111</f>
        <v>58.034000000000077</v>
      </c>
      <c r="AS121" s="1270">
        <f t="shared" ref="AS121:AS126" si="263">(AR121/AN121-1)*100</f>
        <v>83.756570198214433</v>
      </c>
      <c r="AT121" s="951"/>
      <c r="AU121" s="951"/>
      <c r="AV121" s="1166">
        <f>AV91-AV111</f>
        <v>72.099000000000032</v>
      </c>
      <c r="AW121" s="1271">
        <f t="shared" ref="AW121:AW126" si="264">(AV121/AR121-1)*100</f>
        <v>24.235792811110613</v>
      </c>
      <c r="AX121" s="1158"/>
      <c r="AY121" s="951"/>
      <c r="AZ121" s="1166">
        <f>AZ91-AZ111</f>
        <v>81.343999999999937</v>
      </c>
      <c r="BA121" s="1271">
        <f t="shared" ref="BA121:BA126" si="265">(AZ121/AV121-1)*100</f>
        <v>12.822646638649493</v>
      </c>
      <c r="BB121" s="1158"/>
      <c r="BC121" s="951"/>
      <c r="BD121" s="1245">
        <f>BD91-BD111</f>
        <v>59.831000000000074</v>
      </c>
      <c r="BE121" s="1271">
        <f t="shared" ref="BE121:BE126" si="266">(BD121/AZ121-1)*100</f>
        <v>-26.446941384736277</v>
      </c>
      <c r="BF121" s="1158"/>
      <c r="BG121" s="1158"/>
      <c r="BH121" s="1349">
        <f>BH91-BH111</f>
        <v>36.757000000000012</v>
      </c>
      <c r="BI121" s="1271">
        <f t="shared" ref="BI121:BI126" si="267">(BH121/BD121-1)*100</f>
        <v>-38.565292239808848</v>
      </c>
      <c r="BJ121" s="1327"/>
      <c r="BK121" s="1158"/>
      <c r="BL121" s="1211">
        <f>BL91-BL111</f>
        <v>27.991000000000017</v>
      </c>
      <c r="BM121" s="1271">
        <f t="shared" ref="BM121:BM126" si="268">(BL121/BH121-1)*100</f>
        <v>-23.848518649508911</v>
      </c>
      <c r="BN121" s="1158"/>
      <c r="BO121" s="1158"/>
      <c r="BP121" s="1211">
        <f>BP91-BP111</f>
        <v>25.091999999999995</v>
      </c>
      <c r="BQ121" s="1271">
        <f t="shared" si="252"/>
        <v>-10.356900432281879</v>
      </c>
      <c r="BR121" s="1158"/>
      <c r="BS121" s="1158"/>
      <c r="BT121" s="1211">
        <f>BT91-BT111</f>
        <v>41.62999999999996</v>
      </c>
      <c r="BU121" s="1271">
        <f t="shared" si="253"/>
        <v>65.909453212179045</v>
      </c>
      <c r="BV121" s="1158"/>
      <c r="BW121" s="1158"/>
      <c r="BX121" s="1211">
        <f>BX91-BX111</f>
        <v>19.593999999999991</v>
      </c>
      <c r="BY121" s="1271">
        <f t="shared" si="254"/>
        <v>-52.932981023300485</v>
      </c>
      <c r="BZ121" s="1158"/>
      <c r="CA121" s="1158"/>
      <c r="CB121" s="1211">
        <f>CB91-CB111</f>
        <v>5.8130000000000255</v>
      </c>
      <c r="CC121" s="1271">
        <f t="shared" si="255"/>
        <v>-70.332754924976882</v>
      </c>
      <c r="CD121" s="1158"/>
      <c r="CE121" s="1158"/>
      <c r="CF121" s="1211">
        <f>CF91-CF111</f>
        <v>33.264999999999986</v>
      </c>
      <c r="CG121" s="1271">
        <f t="shared" si="256"/>
        <v>472.25184930328294</v>
      </c>
      <c r="CH121" s="1158"/>
      <c r="CI121" s="1158"/>
      <c r="CJ121" s="1211">
        <f>CJ91-CJ111</f>
        <v>41.59200000000002</v>
      </c>
      <c r="CK121" s="1271">
        <f t="shared" si="257"/>
        <v>25.032316248309151</v>
      </c>
      <c r="CL121" s="1158"/>
      <c r="CM121" s="1158"/>
      <c r="CN121" s="1211">
        <f>CN91-CN111</f>
        <v>34.555999999999933</v>
      </c>
      <c r="CO121" s="1271">
        <f t="shared" si="258"/>
        <v>-16.916714752837279</v>
      </c>
      <c r="CP121" s="1158"/>
      <c r="CQ121" s="1158"/>
      <c r="CR121" s="1211">
        <f>CR91-CR111</f>
        <v>54.376462114770185</v>
      </c>
      <c r="CS121" s="1271">
        <f t="shared" si="259"/>
        <v>57.357512775698247</v>
      </c>
      <c r="CT121" s="1158"/>
      <c r="CU121" s="1158"/>
      <c r="CV121" s="1158"/>
      <c r="CW121" s="1158"/>
      <c r="CX121" s="1158"/>
      <c r="CY121" s="1158"/>
      <c r="CZ121" s="1158"/>
      <c r="DA121" s="1158"/>
      <c r="DB121" s="951"/>
      <c r="DC121" s="951"/>
      <c r="DD121" s="951"/>
      <c r="DE121" s="951"/>
      <c r="DF121" s="951"/>
      <c r="DG121" s="951"/>
      <c r="DH121" s="951"/>
      <c r="DI121" s="951"/>
      <c r="DJ121" s="951"/>
      <c r="DK121" s="951"/>
      <c r="DL121" s="951"/>
      <c r="DM121" s="951"/>
      <c r="DN121" s="951"/>
      <c r="DO121" s="951"/>
      <c r="DP121" s="951"/>
      <c r="DQ121" s="951"/>
      <c r="DR121" s="951"/>
      <c r="DS121" s="951"/>
      <c r="DT121" s="951"/>
      <c r="DU121" s="951"/>
      <c r="DV121" s="951"/>
      <c r="DW121" s="951"/>
      <c r="DX121" s="951"/>
      <c r="DY121" s="951"/>
    </row>
    <row r="122" spans="1:129" ht="12.75" outlineLevel="1">
      <c r="A122" s="1167" t="s">
        <v>736</v>
      </c>
      <c r="B122" s="951"/>
      <c r="C122" s="1247">
        <f>C92-C112</f>
        <v>1.645</v>
      </c>
      <c r="D122" s="1269"/>
      <c r="E122" s="951"/>
      <c r="F122" s="951"/>
      <c r="G122" s="1247">
        <f>G92-G112</f>
        <v>2.145</v>
      </c>
      <c r="H122" s="1270">
        <f>(G122/(C122)-1)*100</f>
        <v>30.395136778115493</v>
      </c>
      <c r="I122" s="951"/>
      <c r="J122" s="951"/>
      <c r="K122" s="1247">
        <f>K92-K112</f>
        <v>6.2760000000000113</v>
      </c>
      <c r="L122" s="1270">
        <f t="shared" si="260"/>
        <v>192.5874125874131</v>
      </c>
      <c r="M122" s="951"/>
      <c r="N122" s="951"/>
      <c r="O122" s="1247">
        <f>O92-O112</f>
        <v>13.871000000000016</v>
      </c>
      <c r="P122" s="1270">
        <f t="shared" si="261"/>
        <v>121.01657106437207</v>
      </c>
      <c r="Q122" s="951"/>
      <c r="R122" s="951"/>
      <c r="S122" s="1247">
        <f>S92-S112</f>
        <v>24.33700000000001</v>
      </c>
      <c r="T122" s="1270">
        <f t="shared" si="247"/>
        <v>75.452382668877377</v>
      </c>
      <c r="U122" s="951"/>
      <c r="V122" s="951"/>
      <c r="W122" s="1247">
        <f>W92-W112</f>
        <v>29.225999999999999</v>
      </c>
      <c r="X122" s="1270">
        <f t="shared" si="248"/>
        <v>20.08875374943495</v>
      </c>
      <c r="Y122" s="951"/>
      <c r="Z122" s="951"/>
      <c r="AA122" s="951"/>
      <c r="AB122" s="1247">
        <f>AB92-AB112</f>
        <v>30.741999999999987</v>
      </c>
      <c r="AC122" s="1270">
        <f t="shared" si="249"/>
        <v>5.1871621159241377</v>
      </c>
      <c r="AD122" s="951"/>
      <c r="AE122" s="951"/>
      <c r="AF122" s="1247">
        <f>AF92-AF112</f>
        <v>27.084000000000039</v>
      </c>
      <c r="AG122" s="1270">
        <f t="shared" si="250"/>
        <v>-11.899030642118113</v>
      </c>
      <c r="AH122" s="951"/>
      <c r="AI122" s="951"/>
      <c r="AJ122" s="1247">
        <f>AJ92-AJ112</f>
        <v>10.13900000000001</v>
      </c>
      <c r="AK122" s="1270">
        <f t="shared" si="251"/>
        <v>-62.564613794122018</v>
      </c>
      <c r="AL122" s="951"/>
      <c r="AM122" s="951"/>
      <c r="AN122" s="1247">
        <f>AN92-AN112</f>
        <v>58.704999999999984</v>
      </c>
      <c r="AO122" s="1270">
        <f t="shared" si="262"/>
        <v>479.00187395206552</v>
      </c>
      <c r="AP122" s="951"/>
      <c r="AQ122" s="951"/>
      <c r="AR122" s="1247">
        <f>AR92-AR112</f>
        <v>73.357000000000028</v>
      </c>
      <c r="AS122" s="1270">
        <f>(AR122/AN122-1)*100</f>
        <v>24.958691763904351</v>
      </c>
      <c r="AT122" s="951"/>
      <c r="AU122" s="951"/>
      <c r="AV122" s="1327">
        <f>AV92-AV112</f>
        <v>100.94499999999996</v>
      </c>
      <c r="AW122" s="1271">
        <f t="shared" si="264"/>
        <v>37.607862916967605</v>
      </c>
      <c r="AX122" s="1158"/>
      <c r="AY122" s="951"/>
      <c r="AZ122" s="1211">
        <f>AZ92-AZ112</f>
        <v>99.425999999999988</v>
      </c>
      <c r="BA122" s="1271">
        <f t="shared" si="265"/>
        <v>-1.5047798306007998</v>
      </c>
      <c r="BB122" s="1158"/>
      <c r="BC122" s="951"/>
      <c r="BD122" s="1211">
        <f>BD92-BD112</f>
        <v>62.50399999999992</v>
      </c>
      <c r="BE122" s="1271">
        <f t="shared" si="266"/>
        <v>-37.13515579425912</v>
      </c>
      <c r="BF122" s="1158"/>
      <c r="BG122" s="1158"/>
      <c r="BH122" s="1349">
        <f>BH92-BH112</f>
        <v>67.947999999999951</v>
      </c>
      <c r="BI122" s="1271">
        <f t="shared" si="267"/>
        <v>8.7098425700755655</v>
      </c>
      <c r="BJ122" s="1327"/>
      <c r="BK122" s="1158"/>
      <c r="BL122" s="1211">
        <f>BL92-BL112</f>
        <v>61.651999999999944</v>
      </c>
      <c r="BM122" s="1271">
        <f t="shared" si="268"/>
        <v>-9.2659092247012627</v>
      </c>
      <c r="BN122" s="1158"/>
      <c r="BO122" s="1158"/>
      <c r="BP122" s="1211">
        <f>BP92-BP112</f>
        <v>57.950999999999937</v>
      </c>
      <c r="BQ122" s="1271">
        <f t="shared" si="252"/>
        <v>-6.0030493739051671</v>
      </c>
      <c r="BR122" s="1158"/>
      <c r="BS122" s="1158"/>
      <c r="BT122" s="1211">
        <f>BT92-BT112</f>
        <v>82.441000000000059</v>
      </c>
      <c r="BU122" s="1271">
        <f t="shared" si="253"/>
        <v>42.25984020983271</v>
      </c>
      <c r="BV122" s="1158"/>
      <c r="BW122" s="1158"/>
      <c r="BX122" s="1211">
        <f>BX92-BX112</f>
        <v>36.821000000000005</v>
      </c>
      <c r="BY122" s="1271">
        <f t="shared" si="254"/>
        <v>-55.336543710047216</v>
      </c>
      <c r="BZ122" s="1158"/>
      <c r="CA122" s="1158"/>
      <c r="CB122" s="1211">
        <f>CB92-CB112</f>
        <v>43.102887999999993</v>
      </c>
      <c r="CC122" s="1271">
        <f t="shared" si="255"/>
        <v>17.060612150674849</v>
      </c>
      <c r="CD122" s="1158"/>
      <c r="CE122" s="1158"/>
      <c r="CF122" s="1211">
        <f>CF92-CF112</f>
        <v>69.265000000000043</v>
      </c>
      <c r="CG122" s="1271">
        <f t="shared" si="256"/>
        <v>60.696888802439531</v>
      </c>
      <c r="CH122" s="1158"/>
      <c r="CI122" s="1158"/>
      <c r="CJ122" s="1211">
        <f>CJ92-CJ112</f>
        <v>75.760000000000019</v>
      </c>
      <c r="CK122" s="1271">
        <f t="shared" si="257"/>
        <v>9.3770302461560373</v>
      </c>
      <c r="CL122" s="1158"/>
      <c r="CM122" s="1158"/>
      <c r="CN122" s="1211">
        <f>CN92-CN112</f>
        <v>65.79800000000003</v>
      </c>
      <c r="CO122" s="1271">
        <f t="shared" si="258"/>
        <v>-13.14941921858499</v>
      </c>
      <c r="CP122" s="1158"/>
      <c r="CQ122" s="1158"/>
      <c r="CR122" s="1211">
        <f>CR92-CR112</f>
        <v>74.92400537268388</v>
      </c>
      <c r="CS122" s="1271">
        <f t="shared" si="259"/>
        <v>13.869730649387279</v>
      </c>
      <c r="CT122" s="1158"/>
      <c r="CU122" s="1158"/>
      <c r="CV122" s="1158"/>
      <c r="CW122" s="1158"/>
      <c r="CX122" s="1158"/>
      <c r="CY122" s="1158"/>
      <c r="CZ122" s="1158"/>
      <c r="DA122" s="1158"/>
      <c r="DB122" s="951"/>
      <c r="DC122" s="951"/>
      <c r="DD122" s="951"/>
      <c r="DE122" s="951"/>
      <c r="DF122" s="951"/>
      <c r="DG122" s="951"/>
      <c r="DH122" s="951"/>
      <c r="DI122" s="951"/>
      <c r="DJ122" s="951"/>
      <c r="DK122" s="951"/>
      <c r="DL122" s="951"/>
      <c r="DM122" s="951"/>
      <c r="DN122" s="951"/>
      <c r="DO122" s="951"/>
      <c r="DP122" s="951"/>
      <c r="DQ122" s="951"/>
      <c r="DR122" s="951"/>
      <c r="DS122" s="951"/>
      <c r="DT122" s="951"/>
      <c r="DU122" s="951"/>
      <c r="DV122" s="951"/>
      <c r="DW122" s="951"/>
      <c r="DX122" s="951"/>
      <c r="DY122" s="951"/>
    </row>
    <row r="123" spans="1:129" ht="12.75" outlineLevel="1">
      <c r="A123" s="1167" t="s">
        <v>737</v>
      </c>
      <c r="B123" s="951"/>
      <c r="C123" s="1248">
        <f>C93-C113</f>
        <v>8.5779999999999994</v>
      </c>
      <c r="D123" s="1269"/>
      <c r="E123" s="951"/>
      <c r="F123" s="951"/>
      <c r="G123" s="1248">
        <f>G93-G113</f>
        <v>6.4249999999999998</v>
      </c>
      <c r="H123" s="1270">
        <f>(G123/(C123)-1)*100</f>
        <v>-25.099090697132198</v>
      </c>
      <c r="I123" s="951"/>
      <c r="J123" s="951"/>
      <c r="K123" s="1248">
        <f>K93-K113</f>
        <v>15.760000000000005</v>
      </c>
      <c r="L123" s="1270">
        <f t="shared" si="260"/>
        <v>145.29182879377441</v>
      </c>
      <c r="M123" s="951"/>
      <c r="N123" s="951"/>
      <c r="O123" s="1248">
        <f>O93-O113</f>
        <v>24.888999999999992</v>
      </c>
      <c r="P123" s="1270">
        <f t="shared" si="261"/>
        <v>57.925126903553206</v>
      </c>
      <c r="Q123" s="951"/>
      <c r="R123" s="951"/>
      <c r="S123" s="1248">
        <f>S93-S113</f>
        <v>37.131</v>
      </c>
      <c r="T123" s="1270">
        <f t="shared" si="247"/>
        <v>49.186387560769873</v>
      </c>
      <c r="U123" s="951"/>
      <c r="V123" s="951"/>
      <c r="W123" s="1248">
        <f>W93-W113</f>
        <v>49.14699999999997</v>
      </c>
      <c r="X123" s="1270">
        <f t="shared" si="248"/>
        <v>32.361099889580046</v>
      </c>
      <c r="Y123" s="951"/>
      <c r="Z123" s="951"/>
      <c r="AA123" s="951"/>
      <c r="AB123" s="1248">
        <f>AB93-AB113</f>
        <v>43.902000000000029</v>
      </c>
      <c r="AC123" s="1270">
        <f t="shared" si="249"/>
        <v>-10.672065436343914</v>
      </c>
      <c r="AD123" s="951"/>
      <c r="AE123" s="951"/>
      <c r="AF123" s="1248">
        <f>AF93-AF113</f>
        <v>38.875999999999948</v>
      </c>
      <c r="AG123" s="1270">
        <f t="shared" si="250"/>
        <v>-11.448225593367223</v>
      </c>
      <c r="AH123" s="951"/>
      <c r="AI123" s="951"/>
      <c r="AJ123" s="1248">
        <f>AJ93-AJ113</f>
        <v>42.809999999999974</v>
      </c>
      <c r="AK123" s="1270">
        <f t="shared" si="251"/>
        <v>10.119353842988033</v>
      </c>
      <c r="AL123" s="951"/>
      <c r="AM123" s="951"/>
      <c r="AN123" s="1248">
        <f>AN93-AN113</f>
        <v>106.944</v>
      </c>
      <c r="AO123" s="1270">
        <f t="shared" si="262"/>
        <v>149.81079187105831</v>
      </c>
      <c r="AP123" s="951"/>
      <c r="AQ123" s="951"/>
      <c r="AR123" s="1248">
        <f>AR93-AR113</f>
        <v>107.13600000000007</v>
      </c>
      <c r="AS123" s="1270">
        <f t="shared" si="263"/>
        <v>0.1795332136445893</v>
      </c>
      <c r="AT123" s="951"/>
      <c r="AU123" s="951"/>
      <c r="AV123" s="1218">
        <f>AV93-AV113</f>
        <v>150.15900000000002</v>
      </c>
      <c r="AW123" s="1271">
        <f t="shared" si="264"/>
        <v>40.157370071684518</v>
      </c>
      <c r="AX123" s="1158"/>
      <c r="AY123" s="951"/>
      <c r="AZ123" s="1350">
        <f>AZ93-AZ113</f>
        <v>140.47899999999993</v>
      </c>
      <c r="BA123" s="1271">
        <f t="shared" si="265"/>
        <v>-6.4465000432875064</v>
      </c>
      <c r="BB123" s="1158"/>
      <c r="BC123" s="951"/>
      <c r="BD123" s="1218">
        <f>BD93-BD113</f>
        <v>38.74809999999993</v>
      </c>
      <c r="BE123" s="1271">
        <f t="shared" si="266"/>
        <v>-72.417158436492329</v>
      </c>
      <c r="BF123" s="1158"/>
      <c r="BG123" s="1158"/>
      <c r="BH123" s="1351">
        <f>BH93-BH113</f>
        <v>79.616999999999905</v>
      </c>
      <c r="BI123" s="1271">
        <f t="shared" si="267"/>
        <v>105.47330062635342</v>
      </c>
      <c r="BJ123" s="1327"/>
      <c r="BK123" s="1158"/>
      <c r="BL123" s="1218">
        <f>BL93-BL113</f>
        <v>92.519599999999997</v>
      </c>
      <c r="BM123" s="1271">
        <f t="shared" si="268"/>
        <v>16.205835437155525</v>
      </c>
      <c r="BN123" s="1158"/>
      <c r="BO123" s="1158"/>
      <c r="BP123" s="1218">
        <f>BP93-BP113</f>
        <v>75.605960000000096</v>
      </c>
      <c r="BQ123" s="1271">
        <f t="shared" si="252"/>
        <v>-18.281142590326706</v>
      </c>
      <c r="BR123" s="1158"/>
      <c r="BS123" s="1158"/>
      <c r="BT123" s="1218">
        <f>BT93-BT113</f>
        <v>110.58200000000015</v>
      </c>
      <c r="BU123" s="1271">
        <f t="shared" si="253"/>
        <v>46.260956146843469</v>
      </c>
      <c r="BV123" s="1158"/>
      <c r="BW123" s="1158"/>
      <c r="BX123" s="1218">
        <f>BX93-BX113</f>
        <v>53.029000000000039</v>
      </c>
      <c r="BY123" s="1271">
        <f t="shared" si="254"/>
        <v>-52.045540865602021</v>
      </c>
      <c r="BZ123" s="1158"/>
      <c r="CA123" s="1158"/>
      <c r="CB123" s="1218">
        <f>CB93-CB113</f>
        <v>70.074000000000069</v>
      </c>
      <c r="CC123" s="1271">
        <f t="shared" si="255"/>
        <v>32.14278979426355</v>
      </c>
      <c r="CD123" s="1158"/>
      <c r="CE123" s="1158"/>
      <c r="CF123" s="1218">
        <f>CF93-CF113</f>
        <v>81.706000000000017</v>
      </c>
      <c r="CG123" s="1271">
        <f t="shared" si="256"/>
        <v>16.599594714159217</v>
      </c>
      <c r="CH123" s="1158"/>
      <c r="CI123" s="1158"/>
      <c r="CJ123" s="1218">
        <f>CJ93-CJ113</f>
        <v>72.698000000000064</v>
      </c>
      <c r="CK123" s="1271">
        <f t="shared" si="257"/>
        <v>-11.024894132621776</v>
      </c>
      <c r="CL123" s="1158"/>
      <c r="CM123" s="1158"/>
      <c r="CN123" s="1218">
        <f>CN93-CN113</f>
        <v>79.242999999999967</v>
      </c>
      <c r="CO123" s="1271">
        <f t="shared" si="258"/>
        <v>9.0029987069794259</v>
      </c>
      <c r="CP123" s="1158"/>
      <c r="CQ123" s="1158"/>
      <c r="CR123" s="1218">
        <f>CR93-CR113</f>
        <v>72.099225778007053</v>
      </c>
      <c r="CS123" s="1271">
        <f t="shared" si="259"/>
        <v>-9.0150224272086081</v>
      </c>
      <c r="CT123" s="1158"/>
      <c r="CU123" s="1158"/>
      <c r="CV123" s="1158"/>
      <c r="CW123" s="1158"/>
      <c r="CX123" s="1158"/>
      <c r="CY123" s="1158"/>
      <c r="CZ123" s="1158"/>
      <c r="DA123" s="1158"/>
      <c r="DB123" s="951"/>
      <c r="DC123" s="951"/>
      <c r="DD123" s="951"/>
      <c r="DE123" s="951"/>
      <c r="DF123" s="951"/>
      <c r="DG123" s="951"/>
      <c r="DH123" s="951"/>
      <c r="DI123" s="951"/>
      <c r="DJ123" s="951"/>
      <c r="DK123" s="951"/>
      <c r="DL123" s="951"/>
      <c r="DM123" s="951"/>
      <c r="DN123" s="951"/>
      <c r="DO123" s="951"/>
      <c r="DP123" s="951"/>
      <c r="DQ123" s="951"/>
      <c r="DR123" s="951"/>
      <c r="DS123" s="951"/>
      <c r="DT123" s="951"/>
      <c r="DU123" s="951"/>
      <c r="DV123" s="951"/>
      <c r="DW123" s="951"/>
      <c r="DX123" s="951"/>
      <c r="DY123" s="951"/>
    </row>
    <row r="124" spans="1:129" ht="12.75" outlineLevel="1">
      <c r="A124" s="1167" t="s">
        <v>762</v>
      </c>
      <c r="B124" s="951"/>
      <c r="C124" s="1222">
        <f>SUM(C120:C123)</f>
        <v>1.7469999999999999</v>
      </c>
      <c r="D124" s="1269"/>
      <c r="E124" s="951"/>
      <c r="F124" s="951"/>
      <c r="G124" s="1222">
        <f>SUM(G120:G123)</f>
        <v>5.9249999999999998</v>
      </c>
      <c r="H124" s="1270">
        <f>(G124/(C124)-1)*100</f>
        <v>239.15283342873499</v>
      </c>
      <c r="I124" s="951"/>
      <c r="J124" s="951"/>
      <c r="K124" s="1222">
        <f>SUM(K120:K123)</f>
        <v>19.537000000000013</v>
      </c>
      <c r="L124" s="1270">
        <f t="shared" si="260"/>
        <v>229.73839662447281</v>
      </c>
      <c r="M124" s="951"/>
      <c r="N124" s="951"/>
      <c r="O124" s="1222">
        <f>O94-O114</f>
        <v>54.118000000000002</v>
      </c>
      <c r="P124" s="1270">
        <f t="shared" si="261"/>
        <v>177.00261043148879</v>
      </c>
      <c r="Q124" s="951"/>
      <c r="R124" s="951"/>
      <c r="S124" s="1222">
        <f>S94-S114</f>
        <v>90.660000000000039</v>
      </c>
      <c r="T124" s="1270">
        <f t="shared" si="247"/>
        <v>67.522820503344619</v>
      </c>
      <c r="U124" s="951"/>
      <c r="V124" s="951"/>
      <c r="W124" s="1222">
        <f>W94-W114</f>
        <v>93.757999999999953</v>
      </c>
      <c r="X124" s="1270">
        <f t="shared" si="248"/>
        <v>3.4171630266930375</v>
      </c>
      <c r="Y124" s="951"/>
      <c r="Z124" s="951"/>
      <c r="AA124" s="951"/>
      <c r="AB124" s="1222">
        <f>AB94-AB114</f>
        <v>105.49500000000003</v>
      </c>
      <c r="AC124" s="1270">
        <f t="shared" si="249"/>
        <v>12.518398430000733</v>
      </c>
      <c r="AD124" s="951"/>
      <c r="AE124" s="951"/>
      <c r="AF124" s="1222">
        <f>AF94-AF114</f>
        <v>88.734999999999971</v>
      </c>
      <c r="AG124" s="1270">
        <f t="shared" si="250"/>
        <v>-15.887008862979346</v>
      </c>
      <c r="AH124" s="951"/>
      <c r="AI124" s="951"/>
      <c r="AJ124" s="1222">
        <f>AJ94-AJ114</f>
        <v>67.455999999999989</v>
      </c>
      <c r="AK124" s="1270">
        <f t="shared" si="251"/>
        <v>-23.980391052008777</v>
      </c>
      <c r="AL124" s="951"/>
      <c r="AM124" s="951"/>
      <c r="AN124" s="1222">
        <f>AN94-AN114</f>
        <v>224.33000000000004</v>
      </c>
      <c r="AO124" s="1270">
        <f t="shared" si="262"/>
        <v>232.55751897533216</v>
      </c>
      <c r="AP124" s="951"/>
      <c r="AQ124" s="951"/>
      <c r="AR124" s="1222">
        <f>AR94-AR114</f>
        <v>293.71100000000018</v>
      </c>
      <c r="AS124" s="1270">
        <f t="shared" si="263"/>
        <v>30.928096999955489</v>
      </c>
      <c r="AT124" s="951"/>
      <c r="AU124" s="951"/>
      <c r="AV124" s="1201">
        <f>AV94-AV114</f>
        <v>387.35900000000004</v>
      </c>
      <c r="AW124" s="1271">
        <f t="shared" si="264"/>
        <v>31.884403376107741</v>
      </c>
      <c r="AX124" s="1158"/>
      <c r="AY124" s="951"/>
      <c r="AZ124" s="1201">
        <f>AZ94-AZ114</f>
        <v>400.01899999999983</v>
      </c>
      <c r="BA124" s="1271">
        <f t="shared" si="265"/>
        <v>3.2682860085863075</v>
      </c>
      <c r="BB124" s="1158"/>
      <c r="BC124" s="951"/>
      <c r="BD124" s="1201">
        <f>BD94-BD114</f>
        <v>204.97809999999996</v>
      </c>
      <c r="BE124" s="1271">
        <f t="shared" si="266"/>
        <v>-48.757908999322517</v>
      </c>
      <c r="BF124" s="1158"/>
      <c r="BG124" s="1158"/>
      <c r="BH124" s="1201">
        <f>BH94-BH114</f>
        <v>207.87499999999986</v>
      </c>
      <c r="BI124" s="1271">
        <f t="shared" si="267"/>
        <v>1.413272930132492</v>
      </c>
      <c r="BJ124" s="1327"/>
      <c r="BK124" s="1158"/>
      <c r="BL124" s="1201">
        <f>BL94-BL114</f>
        <v>219.93159999999995</v>
      </c>
      <c r="BM124" s="1271">
        <f t="shared" si="268"/>
        <v>5.7999278412508071</v>
      </c>
      <c r="BN124" s="1158"/>
      <c r="BO124" s="1158"/>
      <c r="BP124" s="1201">
        <f>BP94-BP114</f>
        <v>190.51996000000005</v>
      </c>
      <c r="BQ124" s="1271">
        <f t="shared" si="252"/>
        <v>-13.373085086454106</v>
      </c>
      <c r="BR124" s="1158"/>
      <c r="BS124" s="1158"/>
      <c r="BT124" s="1201">
        <f>BT94-BT114</f>
        <v>278.68800000000027</v>
      </c>
      <c r="BU124" s="1271">
        <f t="shared" si="253"/>
        <v>46.277586873312494</v>
      </c>
      <c r="BV124" s="1158"/>
      <c r="BW124" s="1158"/>
      <c r="BX124" s="1201">
        <f>BX94-BX114</f>
        <v>144.58800000000002</v>
      </c>
      <c r="BY124" s="1271">
        <f t="shared" si="254"/>
        <v>-48.118325869789913</v>
      </c>
      <c r="BZ124" s="1158"/>
      <c r="CA124" s="1158"/>
      <c r="CB124" s="1201">
        <f>CB94-CB114</f>
        <v>122.85588800000014</v>
      </c>
      <c r="CC124" s="1271">
        <f t="shared" si="255"/>
        <v>-15.030370431847651</v>
      </c>
      <c r="CD124" s="1158"/>
      <c r="CE124" s="1158"/>
      <c r="CF124" s="1201">
        <f>CF94-CF114</f>
        <v>213.29100000000003</v>
      </c>
      <c r="CG124" s="1271">
        <f t="shared" si="256"/>
        <v>73.610726740259921</v>
      </c>
      <c r="CH124" s="1158"/>
      <c r="CI124" s="1158"/>
      <c r="CJ124" s="1201">
        <f>CJ94-CJ114</f>
        <v>230.52600000000018</v>
      </c>
      <c r="CK124" s="1271">
        <f t="shared" si="257"/>
        <v>8.0805097261488648</v>
      </c>
      <c r="CL124" s="1158"/>
      <c r="CM124" s="1158"/>
      <c r="CN124" s="1201">
        <f>CN94-CN114</f>
        <v>208.25689999999989</v>
      </c>
      <c r="CO124" s="1271">
        <f t="shared" si="258"/>
        <v>-9.6601251051943287</v>
      </c>
      <c r="CP124" s="1158"/>
      <c r="CQ124" s="1158"/>
      <c r="CR124" s="1201">
        <f>CR94-CR114</f>
        <v>241.48208877209174</v>
      </c>
      <c r="CS124" s="1271">
        <f t="shared" si="259"/>
        <v>15.953943793503056</v>
      </c>
      <c r="CT124" s="1158"/>
      <c r="CU124" s="1158"/>
      <c r="CV124" s="1158"/>
      <c r="CW124" s="1158"/>
      <c r="CX124" s="1158"/>
      <c r="CY124" s="1158"/>
      <c r="CZ124" s="1158"/>
      <c r="DA124" s="1158"/>
      <c r="DB124" s="951"/>
      <c r="DC124" s="951"/>
      <c r="DD124" s="951"/>
      <c r="DE124" s="951"/>
      <c r="DF124" s="951"/>
      <c r="DG124" s="951"/>
      <c r="DH124" s="951"/>
      <c r="DI124" s="951"/>
      <c r="DJ124" s="951"/>
      <c r="DK124" s="951"/>
      <c r="DL124" s="951"/>
      <c r="DM124" s="951"/>
      <c r="DN124" s="951"/>
      <c r="DO124" s="951"/>
      <c r="DP124" s="951"/>
      <c r="DQ124" s="951"/>
      <c r="DR124" s="951"/>
      <c r="DS124" s="951"/>
      <c r="DT124" s="951"/>
      <c r="DU124" s="951"/>
      <c r="DV124" s="951"/>
      <c r="DW124" s="951"/>
      <c r="DX124" s="951"/>
      <c r="DY124" s="951"/>
    </row>
    <row r="125" spans="1:129" ht="12.75" hidden="1" customHeight="1" outlineLevel="2">
      <c r="A125" s="1167" t="s">
        <v>769</v>
      </c>
      <c r="B125" s="951"/>
      <c r="C125" s="1226">
        <f>C120+C121</f>
        <v>-8.4759999999999991</v>
      </c>
      <c r="D125" s="1269"/>
      <c r="E125" s="951"/>
      <c r="F125" s="951"/>
      <c r="G125" s="1226">
        <f>G120+G121</f>
        <v>-2.645</v>
      </c>
      <c r="H125" s="1348" t="s">
        <v>714</v>
      </c>
      <c r="I125" s="951"/>
      <c r="J125" s="951"/>
      <c r="K125" s="1226">
        <f>K120+K121</f>
        <v>-2.4990000000000023</v>
      </c>
      <c r="L125" s="1348" t="s">
        <v>714</v>
      </c>
      <c r="M125" s="951"/>
      <c r="N125" s="951"/>
      <c r="O125" s="1226">
        <f>O120+O121</f>
        <v>15.357999999999997</v>
      </c>
      <c r="P125" s="1348" t="s">
        <v>714</v>
      </c>
      <c r="Q125" s="951"/>
      <c r="R125" s="951"/>
      <c r="S125" s="1226">
        <f>S120+S121</f>
        <v>29.192000000000007</v>
      </c>
      <c r="T125" s="1270">
        <f t="shared" si="247"/>
        <v>90.076832920953336</v>
      </c>
      <c r="U125" s="951"/>
      <c r="V125" s="951"/>
      <c r="W125" s="1226">
        <f>W120+W121</f>
        <v>15.385000000000002</v>
      </c>
      <c r="X125" s="1270">
        <f t="shared" si="248"/>
        <v>-47.297204713620175</v>
      </c>
      <c r="Y125" s="951"/>
      <c r="Z125" s="951"/>
      <c r="AA125" s="951"/>
      <c r="AB125" s="1226">
        <f>AB120+AB121</f>
        <v>30.851000000000013</v>
      </c>
      <c r="AC125" s="1270">
        <f t="shared" si="249"/>
        <v>100.5264868378291</v>
      </c>
      <c r="AD125" s="951"/>
      <c r="AE125" s="951"/>
      <c r="AF125" s="1226">
        <f>AF120+AF121</f>
        <v>22.774999999999984</v>
      </c>
      <c r="AG125" s="1270">
        <f t="shared" si="250"/>
        <v>-26.177433470552092</v>
      </c>
      <c r="AH125" s="951"/>
      <c r="AI125" s="951"/>
      <c r="AJ125" s="1226">
        <f>AJ120+AJ121</f>
        <v>14.507000000000003</v>
      </c>
      <c r="AK125" s="1270">
        <f t="shared" si="251"/>
        <v>-36.302963776070193</v>
      </c>
      <c r="AL125" s="951"/>
      <c r="AM125" s="951"/>
      <c r="AN125" s="1226">
        <f>AN120+AN121</f>
        <v>58.681000000000026</v>
      </c>
      <c r="AO125" s="1270">
        <f t="shared" si="262"/>
        <v>304.50127524643278</v>
      </c>
      <c r="AP125" s="951"/>
      <c r="AQ125" s="951"/>
      <c r="AR125" s="1226">
        <f>AR120+AR121</f>
        <v>113.21800000000005</v>
      </c>
      <c r="AS125" s="1270">
        <f t="shared" si="263"/>
        <v>92.938088989621832</v>
      </c>
      <c r="AT125" s="951"/>
      <c r="AU125" s="951"/>
      <c r="AV125" s="1166">
        <f>AV120+AV121</f>
        <v>136.255</v>
      </c>
      <c r="AW125" s="1271">
        <f t="shared" si="264"/>
        <v>20.347471250154527</v>
      </c>
      <c r="AX125" s="1158"/>
      <c r="AY125" s="951"/>
      <c r="AZ125" s="1166">
        <f>AZ120+AZ121</f>
        <v>160.11399999999989</v>
      </c>
      <c r="BA125" s="1271">
        <f t="shared" si="265"/>
        <v>17.510550071556928</v>
      </c>
      <c r="BB125" s="1158"/>
      <c r="BC125" s="951"/>
      <c r="BD125" s="1166">
        <f>BD120+BD121</f>
        <v>103.7260000000001</v>
      </c>
      <c r="BE125" s="1271">
        <f t="shared" si="266"/>
        <v>-35.217407597086968</v>
      </c>
      <c r="BF125" s="1158"/>
      <c r="BG125" s="1158"/>
      <c r="BH125" s="1166">
        <f>BH120+BH121</f>
        <v>60.310000000000016</v>
      </c>
      <c r="BI125" s="1271">
        <f t="shared" si="267"/>
        <v>-41.856429439099209</v>
      </c>
      <c r="BJ125" s="1158"/>
      <c r="BK125" s="1158"/>
      <c r="BL125" s="1166">
        <f>BL120+BL121</f>
        <v>65.760000000000005</v>
      </c>
      <c r="BM125" s="1271">
        <f t="shared" si="268"/>
        <v>9.03664400596913</v>
      </c>
      <c r="BN125" s="1158"/>
      <c r="BO125" s="1158"/>
      <c r="BP125" s="1166">
        <f>BP120+BP121</f>
        <v>56.963000000000065</v>
      </c>
      <c r="BQ125" s="1271">
        <f t="shared" si="252"/>
        <v>-13.377433090024237</v>
      </c>
      <c r="BR125" s="1158"/>
      <c r="BS125" s="1158"/>
      <c r="BT125" s="1166">
        <f>BT120+BT121</f>
        <v>85.665000000000049</v>
      </c>
      <c r="BU125" s="1271">
        <f t="shared" si="253"/>
        <v>50.387093376402149</v>
      </c>
      <c r="BV125" s="1158"/>
      <c r="BW125" s="1158"/>
      <c r="BX125" s="1166">
        <f>BX120+BX121</f>
        <v>54.737999999999971</v>
      </c>
      <c r="BY125" s="1271">
        <f t="shared" si="254"/>
        <v>-36.10225879880938</v>
      </c>
      <c r="BZ125" s="1158"/>
      <c r="CA125" s="1158"/>
      <c r="CB125" s="1166">
        <f>CB120+CB121</f>
        <v>9.6790000000000589</v>
      </c>
      <c r="CC125" s="1271">
        <f t="shared" si="255"/>
        <v>-82.317585589535497</v>
      </c>
      <c r="CD125" s="1158"/>
      <c r="CE125" s="1158"/>
      <c r="CF125" s="1166">
        <f>CF120+CF121</f>
        <v>62.319999999999965</v>
      </c>
      <c r="CG125" s="1271">
        <f t="shared" si="256"/>
        <v>543.86816819918988</v>
      </c>
      <c r="CH125" s="1158"/>
      <c r="CI125" s="1158"/>
      <c r="CJ125" s="1166">
        <f>CJ120+CJ121</f>
        <v>82.068000000000069</v>
      </c>
      <c r="CK125" s="1271">
        <f t="shared" si="257"/>
        <v>31.688061617458473</v>
      </c>
      <c r="CL125" s="1158"/>
      <c r="CM125" s="1158"/>
      <c r="CN125" s="1166">
        <f>CN120+CN121</f>
        <v>63.21589999999992</v>
      </c>
      <c r="CO125" s="1271">
        <f t="shared" si="258"/>
        <v>-22.971316469269553</v>
      </c>
      <c r="CP125" s="1158"/>
      <c r="CQ125" s="1158"/>
      <c r="CR125" s="2091">
        <f>CR120+CR121</f>
        <v>94.458857621400824</v>
      </c>
      <c r="CS125" s="2093">
        <f t="shared" si="259"/>
        <v>49.422625670758372</v>
      </c>
      <c r="CT125" s="2087"/>
      <c r="CU125" s="1158"/>
      <c r="CV125" s="1158"/>
      <c r="CW125" s="1158"/>
      <c r="CX125" s="1158"/>
      <c r="CY125" s="1158"/>
      <c r="CZ125" s="1158"/>
      <c r="DA125" s="1158"/>
      <c r="DB125" s="951"/>
      <c r="DC125" s="951"/>
      <c r="DD125" s="951"/>
      <c r="DE125" s="951"/>
      <c r="DF125" s="951"/>
      <c r="DG125" s="951"/>
      <c r="DH125" s="951"/>
      <c r="DI125" s="951"/>
      <c r="DJ125" s="951"/>
      <c r="DK125" s="951"/>
      <c r="DL125" s="951"/>
      <c r="DM125" s="951"/>
      <c r="DN125" s="951"/>
      <c r="DO125" s="951"/>
      <c r="DP125" s="951"/>
      <c r="DQ125" s="951"/>
      <c r="DR125" s="951"/>
      <c r="DS125" s="951"/>
      <c r="DT125" s="951"/>
      <c r="DU125" s="951"/>
      <c r="DV125" s="951"/>
      <c r="DW125" s="951"/>
      <c r="DX125" s="951"/>
      <c r="DY125" s="951"/>
    </row>
    <row r="126" spans="1:129" ht="12.75" hidden="1" customHeight="1" outlineLevel="2">
      <c r="A126" s="1167" t="s">
        <v>770</v>
      </c>
      <c r="B126" s="951"/>
      <c r="C126" s="1226">
        <f>C120+C121+C122</f>
        <v>-6.8309999999999995</v>
      </c>
      <c r="D126" s="1269"/>
      <c r="E126" s="951"/>
      <c r="F126" s="951"/>
      <c r="G126" s="1226">
        <f>G120+G121+G122</f>
        <v>-0.5</v>
      </c>
      <c r="H126" s="1348" t="s">
        <v>714</v>
      </c>
      <c r="I126" s="951"/>
      <c r="J126" s="951"/>
      <c r="K126" s="1226">
        <f>K120+K121+K122</f>
        <v>3.777000000000009</v>
      </c>
      <c r="L126" s="1270">
        <f t="shared" si="260"/>
        <v>-855.4000000000018</v>
      </c>
      <c r="M126" s="951"/>
      <c r="N126" s="951"/>
      <c r="O126" s="1226">
        <f>O120+O121+O122</f>
        <v>29.229000000000013</v>
      </c>
      <c r="P126" s="1270">
        <f t="shared" si="261"/>
        <v>673.86814932485959</v>
      </c>
      <c r="Q126" s="951"/>
      <c r="R126" s="951"/>
      <c r="S126" s="1226">
        <f>S120+S121+S122</f>
        <v>53.529000000000018</v>
      </c>
      <c r="T126" s="1270">
        <f t="shared" si="247"/>
        <v>83.136610900133405</v>
      </c>
      <c r="U126" s="951"/>
      <c r="V126" s="951"/>
      <c r="W126" s="1226">
        <f>W120+W121+W122</f>
        <v>44.611000000000004</v>
      </c>
      <c r="X126" s="1270">
        <f t="shared" si="248"/>
        <v>-16.660128154831977</v>
      </c>
      <c r="Y126" s="951"/>
      <c r="Z126" s="951"/>
      <c r="AA126" s="951"/>
      <c r="AB126" s="1226">
        <f>AB120+AB121+AB122</f>
        <v>61.593000000000004</v>
      </c>
      <c r="AC126" s="1270">
        <f t="shared" si="249"/>
        <v>38.066844500235362</v>
      </c>
      <c r="AD126" s="951"/>
      <c r="AE126" s="951"/>
      <c r="AF126" s="1226">
        <f>AF120+AF121+AF122</f>
        <v>49.859000000000023</v>
      </c>
      <c r="AG126" s="1270">
        <f t="shared" si="250"/>
        <v>-19.050866169856928</v>
      </c>
      <c r="AH126" s="951"/>
      <c r="AI126" s="951"/>
      <c r="AJ126" s="1226">
        <f>AJ120+AJ121+AJ122</f>
        <v>24.646000000000015</v>
      </c>
      <c r="AK126" s="1270">
        <f t="shared" si="251"/>
        <v>-50.568603461762166</v>
      </c>
      <c r="AL126" s="951"/>
      <c r="AM126" s="951"/>
      <c r="AN126" s="1226">
        <f>AN120+AN121+AN122</f>
        <v>117.38600000000001</v>
      </c>
      <c r="AO126" s="1270">
        <f t="shared" si="262"/>
        <v>376.28824149963458</v>
      </c>
      <c r="AP126" s="951"/>
      <c r="AQ126" s="951"/>
      <c r="AR126" s="1226">
        <f>AR120+AR121+AR122</f>
        <v>186.57500000000007</v>
      </c>
      <c r="AS126" s="1270">
        <f t="shared" si="263"/>
        <v>58.94144105770711</v>
      </c>
      <c r="AT126" s="951"/>
      <c r="AU126" s="951"/>
      <c r="AV126" s="1166">
        <f>AV120+AV121+AV122</f>
        <v>237.19999999999996</v>
      </c>
      <c r="AW126" s="1271">
        <f t="shared" si="264"/>
        <v>27.13386037786405</v>
      </c>
      <c r="AX126" s="1158"/>
      <c r="AY126" s="951"/>
      <c r="AZ126" s="1166">
        <f>AZ120+AZ121+AZ122</f>
        <v>259.53999999999985</v>
      </c>
      <c r="BA126" s="1271">
        <f t="shared" si="265"/>
        <v>9.4182124789206956</v>
      </c>
      <c r="BB126" s="1158"/>
      <c r="BC126" s="951"/>
      <c r="BD126" s="1166">
        <f>BD120+BD121+BD122</f>
        <v>166.23000000000002</v>
      </c>
      <c r="BE126" s="1271">
        <f t="shared" si="266"/>
        <v>-35.952069045233834</v>
      </c>
      <c r="BF126" s="1158"/>
      <c r="BG126" s="1158"/>
      <c r="BH126" s="1166">
        <f>BH120+BH121+BH122</f>
        <v>128.25799999999998</v>
      </c>
      <c r="BI126" s="1271">
        <f t="shared" si="267"/>
        <v>-22.843048787824117</v>
      </c>
      <c r="BJ126" s="1158"/>
      <c r="BK126" s="1158"/>
      <c r="BL126" s="1166">
        <f>BL120+BL121+BL122</f>
        <v>127.41199999999995</v>
      </c>
      <c r="BM126" s="1271">
        <f t="shared" si="268"/>
        <v>-0.65960797767002921</v>
      </c>
      <c r="BN126" s="1158"/>
      <c r="BO126" s="1158"/>
      <c r="BP126" s="1166">
        <f>BP120+BP121+BP122</f>
        <v>114.914</v>
      </c>
      <c r="BQ126" s="1271">
        <f t="shared" si="252"/>
        <v>-9.8091231595139767</v>
      </c>
      <c r="BR126" s="1158"/>
      <c r="BS126" s="1158"/>
      <c r="BT126" s="1166">
        <f>BT120+BT121+BT122</f>
        <v>168.10600000000011</v>
      </c>
      <c r="BU126" s="1271">
        <f t="shared" si="253"/>
        <v>46.288528812851439</v>
      </c>
      <c r="BV126" s="1158"/>
      <c r="BW126" s="1158"/>
      <c r="BX126" s="1166">
        <f>BX120+BX121+BX122</f>
        <v>91.558999999999969</v>
      </c>
      <c r="BY126" s="1271">
        <f t="shared" si="254"/>
        <v>-45.534960084708509</v>
      </c>
      <c r="BZ126" s="1158"/>
      <c r="CA126" s="1158"/>
      <c r="CB126" s="1166">
        <f>CB120+CB121+CB122</f>
        <v>52.781888000000052</v>
      </c>
      <c r="CC126" s="1271">
        <f t="shared" si="255"/>
        <v>-42.352048405945823</v>
      </c>
      <c r="CD126" s="1158"/>
      <c r="CE126" s="1158"/>
      <c r="CF126" s="1166">
        <f>CF120+CF121+CF122</f>
        <v>131.58500000000001</v>
      </c>
      <c r="CG126" s="1271">
        <f t="shared" si="256"/>
        <v>149.29953244567508</v>
      </c>
      <c r="CH126" s="1158"/>
      <c r="CI126" s="1158"/>
      <c r="CJ126" s="1166">
        <f>CJ120+CJ121+CJ122</f>
        <v>157.82800000000009</v>
      </c>
      <c r="CK126" s="1271">
        <f t="shared" si="257"/>
        <v>19.943762586921054</v>
      </c>
      <c r="CL126" s="1158"/>
      <c r="CM126" s="1158"/>
      <c r="CN126" s="1166">
        <f>CN120+CN121+CN122</f>
        <v>129.01389999999995</v>
      </c>
      <c r="CO126" s="1271">
        <f t="shared" si="258"/>
        <v>-18.256646475910564</v>
      </c>
      <c r="CP126" s="1158"/>
      <c r="CQ126" s="1158"/>
      <c r="CR126" s="2091">
        <f>CR120+CR121+CR122</f>
        <v>169.38286299408469</v>
      </c>
      <c r="CS126" s="2093">
        <f t="shared" si="259"/>
        <v>31.29039816181416</v>
      </c>
      <c r="CT126" s="2087"/>
      <c r="CU126" s="1158"/>
      <c r="CV126" s="1158"/>
      <c r="CW126" s="1158"/>
      <c r="CX126" s="1158"/>
      <c r="CY126" s="1158"/>
      <c r="CZ126" s="1158"/>
      <c r="DA126" s="1158"/>
      <c r="DB126" s="951"/>
      <c r="DC126" s="951"/>
      <c r="DD126" s="951"/>
      <c r="DE126" s="951"/>
      <c r="DF126" s="951"/>
      <c r="DG126" s="951"/>
      <c r="DH126" s="951"/>
      <c r="DI126" s="951"/>
      <c r="DJ126" s="951"/>
      <c r="DK126" s="951"/>
      <c r="DL126" s="951"/>
      <c r="DM126" s="951"/>
      <c r="DN126" s="951"/>
      <c r="DO126" s="951"/>
      <c r="DP126" s="951"/>
      <c r="DQ126" s="951"/>
      <c r="DR126" s="951"/>
      <c r="DS126" s="951"/>
      <c r="DT126" s="951"/>
      <c r="DU126" s="951"/>
      <c r="DV126" s="951"/>
      <c r="DW126" s="951"/>
      <c r="DX126" s="951"/>
      <c r="DY126" s="951"/>
    </row>
    <row r="127" spans="1:129" ht="12.75" hidden="1" outlineLevel="2">
      <c r="A127" s="1167"/>
      <c r="B127" s="951"/>
      <c r="C127" s="951"/>
      <c r="D127" s="951"/>
      <c r="E127" s="951"/>
      <c r="F127" s="951"/>
      <c r="G127" s="951"/>
      <c r="H127" s="951"/>
      <c r="I127" s="951"/>
      <c r="J127" s="951"/>
      <c r="K127" s="951"/>
      <c r="L127" s="951"/>
      <c r="M127" s="951"/>
      <c r="N127" s="951"/>
      <c r="O127" s="951"/>
      <c r="P127" s="951"/>
      <c r="Q127" s="951"/>
      <c r="R127" s="951"/>
      <c r="S127" s="951"/>
      <c r="T127" s="951"/>
      <c r="U127" s="951"/>
      <c r="V127" s="951"/>
      <c r="W127" s="951"/>
      <c r="X127" s="951"/>
      <c r="Y127" s="951"/>
      <c r="Z127" s="951"/>
      <c r="AA127" s="951"/>
      <c r="AB127" s="951"/>
      <c r="AC127" s="951"/>
      <c r="AD127" s="951"/>
      <c r="AE127" s="951"/>
      <c r="AF127" s="951"/>
      <c r="AG127" s="951"/>
      <c r="AH127" s="951"/>
      <c r="AI127" s="951"/>
      <c r="AJ127" s="951"/>
      <c r="AK127" s="951"/>
      <c r="AL127" s="951"/>
      <c r="AM127" s="951"/>
      <c r="AN127" s="951"/>
      <c r="AO127" s="951"/>
      <c r="AP127" s="951"/>
      <c r="AQ127" s="951"/>
      <c r="AR127" s="951"/>
      <c r="AS127" s="951"/>
      <c r="AT127" s="951"/>
      <c r="AU127" s="951"/>
      <c r="AV127" s="1158"/>
      <c r="AW127" s="1158"/>
      <c r="AX127" s="1158"/>
      <c r="AY127" s="951"/>
      <c r="AZ127" s="1158"/>
      <c r="BA127" s="1158"/>
      <c r="BB127" s="1158"/>
      <c r="BC127" s="951"/>
      <c r="BD127" s="1158"/>
      <c r="BE127" s="1158"/>
      <c r="BF127" s="1158"/>
      <c r="BG127" s="1158"/>
      <c r="BH127" s="1158"/>
      <c r="BI127" s="1158"/>
      <c r="BJ127" s="1158"/>
      <c r="BK127" s="1158"/>
      <c r="BL127" s="1158"/>
      <c r="BM127" s="1158"/>
      <c r="BN127" s="1158"/>
      <c r="BO127" s="1158"/>
      <c r="BP127" s="1158"/>
      <c r="BQ127" s="1158"/>
      <c r="BR127" s="1158"/>
      <c r="BS127" s="1158"/>
      <c r="BT127" s="1158"/>
      <c r="BU127" s="1158"/>
      <c r="BV127" s="1158"/>
      <c r="BW127" s="1158"/>
      <c r="BX127" s="1158"/>
      <c r="BY127" s="1158"/>
      <c r="BZ127" s="1158"/>
      <c r="CA127" s="1158"/>
      <c r="CB127" s="1158"/>
      <c r="CC127" s="1158"/>
      <c r="CD127" s="1158"/>
      <c r="CE127" s="1158"/>
      <c r="CF127" s="1158"/>
      <c r="CG127" s="1158"/>
      <c r="CH127" s="1158"/>
      <c r="CI127" s="1158"/>
      <c r="CJ127" s="1158"/>
      <c r="CK127" s="1158"/>
      <c r="CL127" s="1158"/>
      <c r="CM127" s="1158"/>
      <c r="CN127" s="1158"/>
      <c r="CO127" s="1158"/>
      <c r="CP127" s="1158"/>
      <c r="CQ127" s="1158"/>
      <c r="CR127" s="2087"/>
      <c r="CS127" s="2087"/>
      <c r="CT127" s="2087"/>
      <c r="CU127" s="1185"/>
      <c r="CV127" s="1158"/>
      <c r="CW127" s="1185"/>
      <c r="CX127" s="1185"/>
      <c r="CY127" s="1158"/>
      <c r="CZ127" s="1158"/>
      <c r="DA127" s="1158"/>
      <c r="DB127" s="951"/>
      <c r="DC127" s="951"/>
      <c r="DD127" s="951"/>
      <c r="DE127" s="951"/>
      <c r="DF127" s="951"/>
      <c r="DG127" s="951"/>
      <c r="DH127" s="951"/>
      <c r="DI127" s="951"/>
      <c r="DJ127" s="951"/>
      <c r="DK127" s="951"/>
      <c r="DL127" s="951"/>
      <c r="DM127" s="951"/>
      <c r="DN127" s="951"/>
      <c r="DO127" s="951"/>
      <c r="DP127" s="951"/>
      <c r="DQ127" s="951"/>
      <c r="DR127" s="951"/>
      <c r="DS127" s="951"/>
      <c r="DT127" s="951"/>
      <c r="DU127" s="951"/>
      <c r="DV127" s="951"/>
      <c r="DW127" s="951"/>
      <c r="DX127" s="951"/>
      <c r="DY127" s="951"/>
    </row>
    <row r="128" spans="1:129" ht="12.75" hidden="1" outlineLevel="2">
      <c r="A128" s="45"/>
      <c r="B128" s="1181"/>
      <c r="C128" s="1181"/>
      <c r="D128" s="1181"/>
      <c r="E128" s="1181"/>
      <c r="F128" s="1181"/>
      <c r="G128" s="45"/>
      <c r="H128" s="1182"/>
      <c r="I128" s="1182"/>
      <c r="J128" s="1182"/>
      <c r="K128" s="1182"/>
      <c r="L128" s="1182"/>
      <c r="M128" s="1182"/>
      <c r="N128" s="1182"/>
      <c r="O128" s="1182"/>
      <c r="P128" s="1182"/>
      <c r="Q128" s="1182"/>
      <c r="R128" s="1182"/>
      <c r="S128" s="45"/>
      <c r="T128" s="1341"/>
      <c r="U128" s="45"/>
      <c r="V128" s="1341"/>
      <c r="W128" s="45"/>
      <c r="X128" s="1183"/>
      <c r="Y128" s="1183"/>
      <c r="Z128" s="1342"/>
      <c r="AA128" s="1342"/>
      <c r="AB128" s="1341"/>
      <c r="AC128" s="1183"/>
      <c r="AD128" s="1183"/>
      <c r="AE128" s="1183"/>
      <c r="AF128" s="1341"/>
      <c r="AG128" s="1183"/>
      <c r="AH128" s="1183"/>
      <c r="AI128" s="1183"/>
      <c r="AJ128" s="1183"/>
      <c r="AK128" s="1342"/>
      <c r="AL128" s="1342"/>
      <c r="AM128" s="1342"/>
      <c r="AN128" s="1343"/>
      <c r="AO128" s="1342"/>
      <c r="AP128" s="1342"/>
      <c r="AQ128" s="1183"/>
      <c r="AR128" s="1184"/>
      <c r="AS128" s="1183"/>
      <c r="AT128" s="1183"/>
      <c r="AU128" s="1183"/>
      <c r="AW128" s="1185"/>
      <c r="AX128" s="1185"/>
      <c r="AY128" s="1183"/>
      <c r="AZ128" s="1186"/>
      <c r="BA128" s="1185"/>
      <c r="BB128" s="1185"/>
      <c r="BC128" s="1183"/>
      <c r="BD128" s="1186"/>
      <c r="BE128" s="1185"/>
      <c r="BF128" s="1185"/>
      <c r="BG128" s="1185"/>
      <c r="BH128" s="1186"/>
      <c r="BI128" s="1185"/>
      <c r="BJ128" s="1185"/>
      <c r="BK128" s="1185"/>
      <c r="BL128" s="1186"/>
      <c r="BM128" s="1185"/>
      <c r="BN128" s="1185"/>
      <c r="BO128" s="1185"/>
      <c r="BP128" s="1186"/>
      <c r="BQ128" s="1185"/>
      <c r="BR128" s="1185"/>
      <c r="BS128" s="1185"/>
      <c r="BT128" s="1182" t="s">
        <v>480</v>
      </c>
      <c r="BU128" s="1185"/>
      <c r="BV128" s="1185"/>
      <c r="BW128" s="1185"/>
      <c r="BX128" s="1185"/>
      <c r="BY128" s="1185"/>
      <c r="BZ128" s="1185"/>
      <c r="CA128" s="1187"/>
      <c r="CB128" s="1185"/>
      <c r="CC128" s="1185"/>
      <c r="CD128" s="1185"/>
      <c r="CE128" s="1187"/>
      <c r="CF128" s="1185"/>
      <c r="CG128" s="1185"/>
      <c r="CH128" s="1185"/>
      <c r="CI128" s="1187"/>
      <c r="CJ128" s="1185"/>
      <c r="CK128" s="1185"/>
      <c r="CL128" s="1185"/>
      <c r="CM128" s="1187"/>
      <c r="CN128" s="1185"/>
      <c r="CO128" s="1185"/>
      <c r="CP128" s="1185"/>
      <c r="CQ128" s="1185"/>
      <c r="CR128" s="2088"/>
      <c r="CS128" s="2088"/>
      <c r="CT128" s="2088"/>
      <c r="CU128" s="1185"/>
      <c r="CV128" s="1185"/>
      <c r="CW128" s="1185"/>
      <c r="CX128" s="1185"/>
      <c r="CY128" s="1185"/>
      <c r="CZ128" s="1185"/>
      <c r="DA128" s="1185"/>
      <c r="DB128" s="1183"/>
      <c r="DC128" s="1183"/>
      <c r="DD128" s="1183"/>
      <c r="DE128" s="1183"/>
      <c r="DF128" s="1183"/>
      <c r="DG128" s="1183"/>
      <c r="DH128" s="45"/>
      <c r="DI128" s="45"/>
      <c r="DJ128" s="45"/>
      <c r="DK128" s="45"/>
      <c r="DL128" s="45"/>
      <c r="DM128" s="45"/>
      <c r="DN128" s="45"/>
      <c r="DO128" s="45"/>
      <c r="DP128" s="45"/>
      <c r="DQ128" s="45"/>
      <c r="DR128" s="45"/>
      <c r="DS128" s="45"/>
      <c r="DT128" s="45"/>
      <c r="DU128" s="45"/>
      <c r="DV128" s="45"/>
      <c r="DW128" s="45"/>
      <c r="DX128" s="45"/>
      <c r="DY128" s="45"/>
    </row>
    <row r="129" spans="1:129" ht="12.75" hidden="1" outlineLevel="2">
      <c r="A129" s="1182"/>
      <c r="B129" s="1183"/>
      <c r="C129" s="1183"/>
      <c r="D129" s="1183"/>
      <c r="E129" s="1183"/>
      <c r="F129" s="1183"/>
      <c r="G129" s="1183"/>
      <c r="H129" s="1183"/>
      <c r="I129" s="1183"/>
      <c r="J129" s="1183"/>
      <c r="K129" s="1183"/>
      <c r="L129" s="1183"/>
      <c r="M129" s="1183"/>
      <c r="N129" s="45"/>
      <c r="O129" s="1183"/>
      <c r="P129" s="1183"/>
      <c r="Q129" s="1183"/>
      <c r="R129" s="45"/>
      <c r="S129" s="1183"/>
      <c r="T129" s="1183"/>
      <c r="U129" s="1183"/>
      <c r="V129" s="45"/>
      <c r="W129" s="1183"/>
      <c r="X129" s="1183"/>
      <c r="Y129" s="1183"/>
      <c r="Z129" s="1183"/>
      <c r="AA129" s="45"/>
      <c r="AB129" s="1183"/>
      <c r="AC129" s="1183"/>
      <c r="AD129" s="1183"/>
      <c r="AE129" s="45"/>
      <c r="AF129" s="1183"/>
      <c r="AG129" s="1183"/>
      <c r="AH129" s="1183"/>
      <c r="AI129" s="45"/>
      <c r="AJ129" s="1352"/>
      <c r="AK129" s="1352"/>
      <c r="AL129" s="1352"/>
      <c r="AM129" s="45"/>
      <c r="AN129" s="1183"/>
      <c r="AO129" s="1183"/>
      <c r="AP129" s="1183"/>
      <c r="AQ129" s="45"/>
      <c r="AR129" s="1183"/>
      <c r="AS129" s="1158"/>
      <c r="AT129" s="45"/>
      <c r="AU129" s="45"/>
      <c r="AV129" s="1185"/>
      <c r="AW129" s="1185"/>
      <c r="AX129" s="1185"/>
      <c r="AY129" s="45"/>
      <c r="AZ129" s="1185"/>
      <c r="BA129" s="1185"/>
      <c r="BB129" s="1185"/>
      <c r="BC129" s="45"/>
      <c r="BD129" s="1185"/>
      <c r="BE129" s="1185"/>
      <c r="BF129" s="1185"/>
      <c r="BG129" s="1185"/>
      <c r="BH129" s="1185"/>
      <c r="BI129" s="1185"/>
      <c r="BJ129" s="1185"/>
      <c r="BK129" s="1185"/>
      <c r="BL129" s="1185"/>
      <c r="BM129" s="1185"/>
      <c r="BN129" s="1185"/>
      <c r="BO129" s="1185"/>
      <c r="BP129" s="1185"/>
      <c r="BQ129" s="1185"/>
      <c r="BR129" s="1185"/>
      <c r="BS129" s="1185"/>
      <c r="BT129" s="1185"/>
      <c r="BU129" s="1185"/>
      <c r="BV129" s="1185"/>
      <c r="BW129" s="1185"/>
      <c r="BX129" s="1185"/>
      <c r="BY129" s="1185"/>
      <c r="BZ129" s="1185"/>
      <c r="CA129" s="1185"/>
      <c r="CB129" s="1185"/>
      <c r="CC129" s="1185"/>
      <c r="CD129" s="1185"/>
      <c r="CE129" s="1185"/>
      <c r="CF129" s="1185"/>
      <c r="CG129" s="1185"/>
      <c r="CH129" s="1185"/>
      <c r="CI129" s="1185"/>
      <c r="CJ129" s="1185"/>
      <c r="CK129" s="1185"/>
      <c r="CL129" s="1185"/>
      <c r="CM129" s="1185"/>
      <c r="CN129" s="1185"/>
      <c r="CO129" s="1185"/>
      <c r="CP129" s="1185"/>
      <c r="CQ129" s="1185"/>
      <c r="CR129" s="2088"/>
      <c r="CS129" s="2088"/>
      <c r="CT129" s="2088"/>
      <c r="CU129" s="1158"/>
      <c r="CV129" s="1185"/>
      <c r="CW129" s="1158"/>
      <c r="CX129" s="1158"/>
      <c r="CY129" s="1185"/>
      <c r="CZ129" s="1185"/>
      <c r="DA129" s="1185"/>
      <c r="DB129" s="1183"/>
      <c r="DC129" s="1183"/>
      <c r="DD129" s="1183"/>
      <c r="DE129" s="1183"/>
      <c r="DF129" s="1183"/>
      <c r="DG129" s="1183"/>
      <c r="DH129" s="45"/>
      <c r="DI129" s="45"/>
      <c r="DJ129" s="45"/>
      <c r="DK129" s="45"/>
      <c r="DL129" s="45"/>
      <c r="DM129" s="45"/>
      <c r="DN129" s="45"/>
      <c r="DO129" s="45"/>
      <c r="DP129" s="45"/>
      <c r="DQ129" s="45"/>
      <c r="DR129" s="45"/>
      <c r="DS129" s="45"/>
      <c r="DT129" s="45"/>
      <c r="DU129" s="45"/>
      <c r="DV129" s="45"/>
      <c r="DW129" s="45"/>
      <c r="DX129" s="45"/>
      <c r="DY129" s="45"/>
    </row>
    <row r="130" spans="1:129" ht="12.75" hidden="1" outlineLevel="2">
      <c r="A130" s="1167" t="s">
        <v>734</v>
      </c>
      <c r="B130" s="951"/>
      <c r="C130" s="1222"/>
      <c r="D130" s="951"/>
      <c r="E130" s="951"/>
      <c r="F130" s="951"/>
      <c r="G130" s="1222"/>
      <c r="H130" s="951"/>
      <c r="I130" s="951"/>
      <c r="J130" s="951"/>
      <c r="K130" s="1222"/>
      <c r="L130" s="951"/>
      <c r="M130" s="951"/>
      <c r="N130" s="951"/>
      <c r="O130" s="1222"/>
      <c r="P130" s="951"/>
      <c r="Q130" s="951"/>
      <c r="R130" s="951"/>
      <c r="S130" s="1222"/>
      <c r="T130" s="951"/>
      <c r="U130" s="951"/>
      <c r="V130" s="951"/>
      <c r="W130" s="1222"/>
      <c r="X130" s="951"/>
      <c r="Y130" s="951"/>
      <c r="Z130" s="951"/>
      <c r="AA130" s="951"/>
      <c r="AB130" s="1222"/>
      <c r="AC130" s="951"/>
      <c r="AD130" s="951"/>
      <c r="AE130" s="951"/>
      <c r="AF130" s="1222"/>
      <c r="AG130" s="951"/>
      <c r="AH130" s="951"/>
      <c r="AI130" s="951"/>
      <c r="AJ130" s="1283"/>
      <c r="AK130" s="1012"/>
      <c r="AL130" s="1012"/>
      <c r="AM130" s="951"/>
      <c r="AN130" s="1353">
        <v>-1.7270000000000001</v>
      </c>
      <c r="AO130" s="951"/>
      <c r="AP130" s="951"/>
      <c r="AQ130" s="951"/>
      <c r="AR130" s="1222">
        <v>8.8999999999999996E-2</v>
      </c>
      <c r="AS130" s="951"/>
      <c r="AT130" s="951"/>
      <c r="AU130" s="951"/>
      <c r="AV130" s="1201"/>
      <c r="AW130" s="1158"/>
      <c r="AX130" s="1158"/>
      <c r="AY130" s="951"/>
      <c r="AZ130" s="1201"/>
      <c r="BA130" s="1158"/>
      <c r="BB130" s="1158"/>
      <c r="BC130" s="951"/>
      <c r="BD130" s="1201"/>
      <c r="BE130" s="1158"/>
      <c r="BF130" s="1158"/>
      <c r="BG130" s="1158"/>
      <c r="BH130" s="1211">
        <f>21.967-BH120</f>
        <v>-1.5860000000000021</v>
      </c>
      <c r="BI130" s="1158"/>
      <c r="BJ130" s="1158"/>
      <c r="BK130" s="1158"/>
      <c r="BL130" s="1201">
        <f>10.922-BL120</f>
        <v>-26.846999999999984</v>
      </c>
      <c r="BM130" s="1158"/>
      <c r="BN130" s="1158"/>
      <c r="BO130" s="1158"/>
      <c r="BP130" s="1201"/>
      <c r="BQ130" s="1158"/>
      <c r="BR130" s="1158"/>
      <c r="BS130" s="1158"/>
      <c r="BT130" s="1201"/>
      <c r="BU130" s="1158"/>
      <c r="BV130" s="1158"/>
      <c r="BW130" s="1158"/>
      <c r="BX130" s="1201"/>
      <c r="BY130" s="1158"/>
      <c r="BZ130" s="1158"/>
      <c r="CA130" s="1158"/>
      <c r="CB130" s="1201"/>
      <c r="CC130" s="1158"/>
      <c r="CD130" s="1158"/>
      <c r="CE130" s="1158"/>
      <c r="CF130" s="1201"/>
      <c r="CG130" s="1158"/>
      <c r="CH130" s="1158"/>
      <c r="CI130" s="1158"/>
      <c r="CJ130" s="1201"/>
      <c r="CK130" s="1158"/>
      <c r="CL130" s="1158"/>
      <c r="CM130" s="1158"/>
      <c r="CN130" s="1201"/>
      <c r="CO130" s="1158"/>
      <c r="CP130" s="1158"/>
      <c r="CQ130" s="1158"/>
      <c r="CR130" s="2090"/>
      <c r="CS130" s="2087"/>
      <c r="CT130" s="2087"/>
      <c r="CU130" s="1158"/>
      <c r="CV130" s="1158"/>
      <c r="CW130" s="1158"/>
      <c r="CX130" s="1158"/>
      <c r="CY130" s="1158"/>
      <c r="CZ130" s="1158"/>
      <c r="DA130" s="1158"/>
      <c r="DB130" s="951"/>
      <c r="DC130" s="951"/>
      <c r="DD130" s="951"/>
      <c r="DE130" s="951"/>
      <c r="DF130" s="951"/>
      <c r="DG130" s="951"/>
      <c r="DH130" s="951"/>
      <c r="DI130" s="951"/>
      <c r="DJ130" s="951"/>
      <c r="DK130" s="951"/>
      <c r="DL130" s="951"/>
      <c r="DM130" s="951"/>
      <c r="DN130" s="951"/>
      <c r="DO130" s="951"/>
      <c r="DP130" s="951"/>
      <c r="DQ130" s="951"/>
      <c r="DR130" s="951"/>
      <c r="DS130" s="951"/>
      <c r="DT130" s="951"/>
      <c r="DU130" s="951"/>
      <c r="DV130" s="951"/>
      <c r="DW130" s="951"/>
      <c r="DX130" s="951"/>
      <c r="DY130" s="951"/>
    </row>
    <row r="131" spans="1:129" ht="12.75" hidden="1" outlineLevel="2">
      <c r="A131" s="1167" t="s">
        <v>735</v>
      </c>
      <c r="B131" s="951"/>
      <c r="C131" s="1226"/>
      <c r="D131" s="951"/>
      <c r="E131" s="951"/>
      <c r="F131" s="951"/>
      <c r="G131" s="1226"/>
      <c r="H131" s="951"/>
      <c r="I131" s="951"/>
      <c r="J131" s="951"/>
      <c r="K131" s="1226"/>
      <c r="L131" s="951"/>
      <c r="M131" s="951"/>
      <c r="N131" s="951"/>
      <c r="O131" s="1226"/>
      <c r="P131" s="951"/>
      <c r="Q131" s="951"/>
      <c r="R131" s="951"/>
      <c r="S131" s="1226"/>
      <c r="T131" s="951"/>
      <c r="U131" s="951"/>
      <c r="V131" s="951"/>
      <c r="W131" s="1226"/>
      <c r="X131" s="951"/>
      <c r="Y131" s="951"/>
      <c r="Z131" s="951"/>
      <c r="AA131" s="951"/>
      <c r="AB131" s="1226"/>
      <c r="AC131" s="951"/>
      <c r="AD131" s="951"/>
      <c r="AE131" s="951"/>
      <c r="AF131" s="1226"/>
      <c r="AG131" s="951"/>
      <c r="AH131" s="951"/>
      <c r="AI131" s="951"/>
      <c r="AJ131" s="1247"/>
      <c r="AK131" s="1012"/>
      <c r="AL131" s="1012"/>
      <c r="AM131" s="951"/>
      <c r="AN131" s="1354">
        <v>-2.3279999999999998</v>
      </c>
      <c r="AO131" s="951"/>
      <c r="AP131" s="951"/>
      <c r="AQ131" s="951"/>
      <c r="AR131" s="1226">
        <v>-1.4999999999999999E-2</v>
      </c>
      <c r="AS131" s="951"/>
      <c r="AT131" s="951"/>
      <c r="AU131" s="951"/>
      <c r="AV131" s="1166"/>
      <c r="AW131" s="1158"/>
      <c r="AX131" s="1158"/>
      <c r="AY131" s="951"/>
      <c r="AZ131" s="1166"/>
      <c r="BA131" s="1158"/>
      <c r="BB131" s="1158"/>
      <c r="BC131" s="951"/>
      <c r="BD131" s="1166"/>
      <c r="BE131" s="1158"/>
      <c r="BF131" s="1158"/>
      <c r="BG131" s="1158"/>
      <c r="BH131" s="1211">
        <f>28.572-BH121</f>
        <v>-8.1850000000000129</v>
      </c>
      <c r="BI131" s="1158"/>
      <c r="BJ131" s="1158"/>
      <c r="BK131" s="1158"/>
      <c r="BL131" s="1166">
        <v>-16.18</v>
      </c>
      <c r="BM131" s="1158"/>
      <c r="BN131" s="1158"/>
      <c r="BO131" s="1158"/>
      <c r="BP131" s="1166"/>
      <c r="BQ131" s="1158"/>
      <c r="BR131" s="1158"/>
      <c r="BS131" s="1158"/>
      <c r="BT131" s="598">
        <v>-23.818999999999999</v>
      </c>
      <c r="BU131" s="1158"/>
      <c r="BV131" s="1158"/>
      <c r="BW131" s="1158"/>
      <c r="BX131" s="598"/>
      <c r="BY131" s="1158"/>
      <c r="BZ131" s="1158"/>
      <c r="CA131" s="1158"/>
      <c r="CC131" s="1158"/>
      <c r="CD131" s="1158"/>
      <c r="CE131" s="1158"/>
      <c r="CG131" s="1158"/>
      <c r="CH131" s="1158"/>
      <c r="CI131" s="1158"/>
      <c r="CK131" s="1158"/>
      <c r="CL131" s="1158"/>
      <c r="CM131" s="1158"/>
      <c r="CO131" s="1158"/>
      <c r="CP131" s="1158"/>
      <c r="CQ131" s="1158"/>
      <c r="CR131" s="2095"/>
      <c r="CS131" s="2087"/>
      <c r="CT131" s="2087"/>
      <c r="CU131" s="1158"/>
      <c r="CV131" s="1158"/>
      <c r="CW131" s="1158"/>
      <c r="CX131" s="1158"/>
      <c r="CY131" s="1158"/>
      <c r="CZ131" s="1158"/>
      <c r="DA131" s="1158"/>
      <c r="DB131" s="951"/>
      <c r="DC131" s="951"/>
      <c r="DD131" s="951"/>
      <c r="DE131" s="951"/>
      <c r="DF131" s="951"/>
      <c r="DG131" s="951"/>
      <c r="DH131" s="951"/>
      <c r="DI131" s="951"/>
      <c r="DJ131" s="951"/>
      <c r="DK131" s="951"/>
      <c r="DL131" s="951"/>
      <c r="DM131" s="951"/>
      <c r="DN131" s="951"/>
      <c r="DO131" s="951"/>
      <c r="DP131" s="951"/>
      <c r="DQ131" s="951"/>
      <c r="DR131" s="951"/>
      <c r="DS131" s="951"/>
      <c r="DT131" s="951"/>
      <c r="DU131" s="951"/>
      <c r="DV131" s="951"/>
      <c r="DW131" s="951"/>
      <c r="DX131" s="951"/>
      <c r="DY131" s="951"/>
    </row>
    <row r="132" spans="1:129" ht="12.75" hidden="1" outlineLevel="2">
      <c r="A132" s="1167" t="s">
        <v>736</v>
      </c>
      <c r="B132" s="951"/>
      <c r="C132" s="1247"/>
      <c r="D132" s="951"/>
      <c r="E132" s="951"/>
      <c r="F132" s="951"/>
      <c r="G132" s="1247"/>
      <c r="H132" s="951"/>
      <c r="I132" s="951"/>
      <c r="J132" s="951"/>
      <c r="K132" s="1247"/>
      <c r="L132" s="951"/>
      <c r="M132" s="951"/>
      <c r="N132" s="951"/>
      <c r="O132" s="1247"/>
      <c r="P132" s="951"/>
      <c r="Q132" s="951"/>
      <c r="R132" s="951"/>
      <c r="S132" s="1247"/>
      <c r="T132" s="951"/>
      <c r="U132" s="951"/>
      <c r="V132" s="951"/>
      <c r="W132" s="1247"/>
      <c r="X132" s="951"/>
      <c r="Y132" s="951"/>
      <c r="Z132" s="951"/>
      <c r="AA132" s="951"/>
      <c r="AB132" s="1247"/>
      <c r="AC132" s="951"/>
      <c r="AD132" s="951"/>
      <c r="AE132" s="951"/>
      <c r="AF132" s="1247"/>
      <c r="AG132" s="1012"/>
      <c r="AH132" s="1012"/>
      <c r="AI132" s="951"/>
      <c r="AJ132" s="1247"/>
      <c r="AK132" s="1012"/>
      <c r="AL132" s="1012"/>
      <c r="AM132" s="951"/>
      <c r="AN132" s="1355">
        <v>-0.80700000000000005</v>
      </c>
      <c r="AO132" s="951"/>
      <c r="AP132" s="951"/>
      <c r="AQ132" s="951"/>
      <c r="AR132" s="1247">
        <v>-3.6999999999999998E-2</v>
      </c>
      <c r="AS132" s="951"/>
      <c r="AT132" s="951"/>
      <c r="AU132" s="951"/>
      <c r="AV132" s="1211"/>
      <c r="AW132" s="1158"/>
      <c r="AX132" s="1158"/>
      <c r="AY132" s="951"/>
      <c r="AZ132" s="1211"/>
      <c r="BA132" s="1158"/>
      <c r="BB132" s="1158"/>
      <c r="BC132" s="951"/>
      <c r="BD132" s="1211">
        <f>42.604-BD122</f>
        <v>-19.89999999999992</v>
      </c>
      <c r="BE132" s="1158"/>
      <c r="BF132" s="1158"/>
      <c r="BG132" s="1158"/>
      <c r="BH132" s="1211">
        <f>59.159-BH122</f>
        <v>-8.7889999999999517</v>
      </c>
      <c r="BI132" s="1158"/>
      <c r="BJ132" s="1158"/>
      <c r="BK132" s="1158"/>
      <c r="BL132" s="1211">
        <f>33.024-BL122</f>
        <v>-28.627999999999943</v>
      </c>
      <c r="BM132" s="1158"/>
      <c r="BN132" s="1158"/>
      <c r="BO132" s="1158"/>
      <c r="BP132" s="1211"/>
      <c r="BQ132" s="1158"/>
      <c r="BR132" s="1158"/>
      <c r="BS132" s="1158"/>
      <c r="BT132" s="1210">
        <v>-3.8330000000000002</v>
      </c>
      <c r="BU132" s="1158"/>
      <c r="BV132" s="1158"/>
      <c r="BW132" s="1158"/>
      <c r="BX132" s="1211"/>
      <c r="BY132" s="1158"/>
      <c r="BZ132" s="1158"/>
      <c r="CA132" s="1158"/>
      <c r="CB132" s="598"/>
      <c r="CC132" s="1158"/>
      <c r="CD132" s="1158"/>
      <c r="CE132" s="1158"/>
      <c r="CF132" s="598"/>
      <c r="CG132" s="1158"/>
      <c r="CH132" s="1158"/>
      <c r="CI132" s="1158"/>
      <c r="CJ132" s="598"/>
      <c r="CK132" s="1158"/>
      <c r="CL132" s="1158"/>
      <c r="CM132" s="1158"/>
      <c r="CN132" s="598"/>
      <c r="CO132" s="1158"/>
      <c r="CP132" s="1158"/>
      <c r="CQ132" s="1158"/>
      <c r="CR132" s="2096"/>
      <c r="CS132" s="2087"/>
      <c r="CT132" s="2087"/>
      <c r="CU132" s="1158"/>
      <c r="CV132" s="1158"/>
      <c r="CW132" s="1158"/>
      <c r="CX132" s="1158"/>
      <c r="CY132" s="1158"/>
      <c r="CZ132" s="1158"/>
      <c r="DA132" s="1158"/>
      <c r="DB132" s="951"/>
      <c r="DC132" s="951"/>
      <c r="DD132" s="951"/>
      <c r="DE132" s="951"/>
      <c r="DF132" s="951"/>
      <c r="DG132" s="951"/>
      <c r="DH132" s="951"/>
      <c r="DI132" s="951"/>
      <c r="DJ132" s="951"/>
      <c r="DK132" s="951"/>
      <c r="DL132" s="951"/>
      <c r="DM132" s="951"/>
      <c r="DN132" s="951"/>
      <c r="DO132" s="951"/>
      <c r="DP132" s="951"/>
      <c r="DQ132" s="951"/>
      <c r="DR132" s="951"/>
      <c r="DS132" s="951"/>
      <c r="DT132" s="951"/>
      <c r="DU132" s="951"/>
      <c r="DV132" s="951"/>
      <c r="DW132" s="951"/>
      <c r="DX132" s="951"/>
      <c r="DY132" s="951"/>
    </row>
    <row r="133" spans="1:129" ht="12.75" hidden="1" outlineLevel="2">
      <c r="A133" s="1167" t="s">
        <v>737</v>
      </c>
      <c r="B133" s="951"/>
      <c r="C133" s="1248"/>
      <c r="D133" s="951"/>
      <c r="E133" s="951"/>
      <c r="F133" s="951"/>
      <c r="G133" s="1248"/>
      <c r="H133" s="951"/>
      <c r="I133" s="951"/>
      <c r="J133" s="951"/>
      <c r="K133" s="1248"/>
      <c r="L133" s="951"/>
      <c r="M133" s="951"/>
      <c r="N133" s="951"/>
      <c r="O133" s="1248"/>
      <c r="P133" s="951"/>
      <c r="Q133" s="951"/>
      <c r="R133" s="951"/>
      <c r="S133" s="1247"/>
      <c r="T133" s="1012"/>
      <c r="U133" s="1012"/>
      <c r="V133" s="1012"/>
      <c r="W133" s="1247"/>
      <c r="X133" s="1012"/>
      <c r="Y133" s="1012"/>
      <c r="Z133" s="1012"/>
      <c r="AA133" s="1012"/>
      <c r="AB133" s="1247"/>
      <c r="AC133" s="951"/>
      <c r="AD133" s="951"/>
      <c r="AE133" s="951"/>
      <c r="AF133" s="1247"/>
      <c r="AG133" s="1012"/>
      <c r="AH133" s="1012"/>
      <c r="AI133" s="951"/>
      <c r="AJ133" s="1248">
        <v>-7.8159999999999998</v>
      </c>
      <c r="AK133" s="1012"/>
      <c r="AL133" s="1012"/>
      <c r="AM133" s="951"/>
      <c r="AN133" s="1356">
        <v>-6.0270000000000001</v>
      </c>
      <c r="AO133" s="951"/>
      <c r="AP133" s="951"/>
      <c r="AQ133" s="951"/>
      <c r="AR133" s="256">
        <v>0.40500000000000003</v>
      </c>
      <c r="AS133" s="951"/>
      <c r="AT133" s="951"/>
      <c r="AU133" s="951"/>
      <c r="AV133" s="1218"/>
      <c r="AW133" s="1158"/>
      <c r="AX133" s="1158"/>
      <c r="AY133" s="951"/>
      <c r="AZ133" s="1218"/>
      <c r="BA133" s="1158"/>
      <c r="BB133" s="1158"/>
      <c r="BC133" s="951"/>
      <c r="BD133" s="1218">
        <f>32.731-BD123</f>
        <v>-6.0170999999999282</v>
      </c>
      <c r="BE133" s="1158"/>
      <c r="BF133" s="1158"/>
      <c r="BG133" s="1218"/>
      <c r="BH133" s="1218">
        <f>59.324-BH123</f>
        <v>-20.292999999999907</v>
      </c>
      <c r="BI133" s="1158"/>
      <c r="BJ133" s="1158"/>
      <c r="BK133" s="1158"/>
      <c r="BL133" s="1218"/>
      <c r="BM133" s="1158"/>
      <c r="BN133" s="1158"/>
      <c r="BO133" s="1158"/>
      <c r="BP133" s="1218">
        <f>-(20.73+6)*(1-0.36)</f>
        <v>-17.107199999999999</v>
      </c>
      <c r="BQ133" s="1158"/>
      <c r="BR133" s="1158"/>
      <c r="BS133" s="1158"/>
      <c r="BT133" s="1218"/>
      <c r="BU133" s="1158"/>
      <c r="BV133" s="1158"/>
      <c r="BW133" s="1158"/>
      <c r="BX133" s="1218"/>
      <c r="BY133" s="1158"/>
      <c r="BZ133" s="1158"/>
      <c r="CA133" s="1158"/>
      <c r="CB133" s="1218"/>
      <c r="CC133" s="1158"/>
      <c r="CD133" s="1158"/>
      <c r="CE133" s="1158"/>
      <c r="CF133" s="1218"/>
      <c r="CG133" s="1158"/>
      <c r="CH133" s="1158"/>
      <c r="CI133" s="1158"/>
      <c r="CJ133" s="1218"/>
      <c r="CK133" s="1158"/>
      <c r="CL133" s="1158"/>
      <c r="CM133" s="1158"/>
      <c r="CN133" s="1218"/>
      <c r="CO133" s="1158"/>
      <c r="CP133" s="1158"/>
      <c r="CQ133" s="1158"/>
      <c r="CR133" s="2089"/>
      <c r="CS133" s="2087"/>
      <c r="CT133" s="2087"/>
      <c r="CU133" s="1158"/>
      <c r="CV133" s="1158"/>
      <c r="CW133" s="1158"/>
      <c r="CX133" s="1158"/>
      <c r="CY133" s="1158"/>
      <c r="CZ133" s="1158"/>
      <c r="DA133" s="1158"/>
      <c r="DB133" s="951"/>
      <c r="DC133" s="951"/>
      <c r="DD133" s="951"/>
      <c r="DE133" s="951"/>
      <c r="DF133" s="951"/>
      <c r="DG133" s="951"/>
      <c r="DH133" s="951"/>
      <c r="DI133" s="951"/>
      <c r="DJ133" s="951"/>
      <c r="DK133" s="951"/>
      <c r="DL133" s="951"/>
      <c r="DM133" s="951"/>
      <c r="DN133" s="951"/>
      <c r="DO133" s="951"/>
      <c r="DP133" s="951"/>
      <c r="DQ133" s="951"/>
      <c r="DR133" s="951"/>
      <c r="DS133" s="951"/>
      <c r="DT133" s="951"/>
      <c r="DU133" s="951"/>
      <c r="DV133" s="951"/>
      <c r="DW133" s="951"/>
      <c r="DX133" s="951"/>
      <c r="DY133" s="951"/>
    </row>
    <row r="134" spans="1:129" ht="12.75" hidden="1" outlineLevel="2">
      <c r="A134" s="1167" t="s">
        <v>762</v>
      </c>
      <c r="B134" s="951"/>
      <c r="C134" s="1283"/>
      <c r="D134" s="1357"/>
      <c r="E134" s="1357"/>
      <c r="F134" s="1357"/>
      <c r="G134" s="1283"/>
      <c r="H134" s="951"/>
      <c r="I134" s="951"/>
      <c r="J134" s="951"/>
      <c r="K134" s="1283"/>
      <c r="L134" s="951"/>
      <c r="M134" s="951"/>
      <c r="N134" s="951"/>
      <c r="O134" s="1283"/>
      <c r="P134" s="951"/>
      <c r="Q134" s="951"/>
      <c r="R134" s="951"/>
      <c r="S134" s="1283"/>
      <c r="T134" s="1012"/>
      <c r="U134" s="1012"/>
      <c r="V134" s="1012"/>
      <c r="W134" s="1283"/>
      <c r="X134" s="1012"/>
      <c r="Y134" s="1012"/>
      <c r="Z134" s="1012"/>
      <c r="AA134" s="1012"/>
      <c r="AB134" s="1283"/>
      <c r="AC134" s="951"/>
      <c r="AD134" s="951"/>
      <c r="AE134" s="951"/>
      <c r="AF134" s="1283"/>
      <c r="AG134" s="1012"/>
      <c r="AH134" s="1012"/>
      <c r="AI134" s="951"/>
      <c r="AJ134" s="1283"/>
      <c r="AK134" s="1012"/>
      <c r="AL134" s="1012"/>
      <c r="AM134" s="951"/>
      <c r="AN134" s="1283">
        <f>SUM(AN130:AN133)</f>
        <v>-10.888999999999999</v>
      </c>
      <c r="AO134" s="951"/>
      <c r="AP134" s="951"/>
      <c r="AQ134" s="951"/>
      <c r="AR134" s="1283">
        <f>SUM(AR130:AR133)</f>
        <v>0.442</v>
      </c>
      <c r="AS134" s="951"/>
      <c r="AT134" s="951"/>
      <c r="AU134" s="951"/>
      <c r="AV134" s="1297">
        <f>SUM(AV130:AV133)</f>
        <v>0</v>
      </c>
      <c r="AW134" s="1158"/>
      <c r="AX134" s="1158"/>
      <c r="AY134" s="951"/>
      <c r="AZ134" s="1297">
        <f>SUM(AZ130:AZ133)</f>
        <v>0</v>
      </c>
      <c r="BA134" s="1158"/>
      <c r="BB134" s="1158"/>
      <c r="BC134" s="951"/>
      <c r="BD134" s="1297">
        <f>SUM(BD130:BD133)</f>
        <v>-25.917099999999849</v>
      </c>
      <c r="BE134" s="1158"/>
      <c r="BF134" s="1158"/>
      <c r="BG134" s="1158"/>
      <c r="BH134" s="1297">
        <f>SUM(BH130:BH133)</f>
        <v>-38.852999999999874</v>
      </c>
      <c r="BI134" s="1158"/>
      <c r="BJ134" s="1158"/>
      <c r="BK134" s="1158"/>
      <c r="BL134" s="1297">
        <f>SUM(BL130:BL133)</f>
        <v>-71.65499999999993</v>
      </c>
      <c r="BM134" s="1158"/>
      <c r="BN134" s="1158"/>
      <c r="BO134" s="1158"/>
      <c r="BP134" s="1297">
        <f>SUM(BP130:BP133)</f>
        <v>-17.107199999999999</v>
      </c>
      <c r="BQ134" s="1158"/>
      <c r="BR134" s="1158"/>
      <c r="BS134" s="1158"/>
      <c r="BT134" s="1297">
        <f>SUM(BT130:BT133)</f>
        <v>-27.652000000000001</v>
      </c>
      <c r="BU134" s="1158"/>
      <c r="BV134" s="1158"/>
      <c r="BW134" s="1158"/>
      <c r="BX134" s="1297">
        <f>SUM(BX130:BX133)</f>
        <v>0</v>
      </c>
      <c r="BY134" s="1158"/>
      <c r="BZ134" s="1158"/>
      <c r="CA134" s="1158"/>
      <c r="CB134" s="1297">
        <f>SUM(CB130:CB133)</f>
        <v>0</v>
      </c>
      <c r="CC134" s="1158"/>
      <c r="CD134" s="1158"/>
      <c r="CE134" s="1158"/>
      <c r="CF134" s="1297">
        <f>SUM(CF130:CF133)</f>
        <v>0</v>
      </c>
      <c r="CG134" s="1158"/>
      <c r="CH134" s="1158"/>
      <c r="CI134" s="1158"/>
      <c r="CJ134" s="1297">
        <f>SUM(CJ130:CJ133)</f>
        <v>0</v>
      </c>
      <c r="CK134" s="1158"/>
      <c r="CL134" s="1158"/>
      <c r="CM134" s="1158"/>
      <c r="CN134" s="1297">
        <f>SUM(CN130:CN133)</f>
        <v>0</v>
      </c>
      <c r="CO134" s="1158"/>
      <c r="CP134" s="1158"/>
      <c r="CQ134" s="1158"/>
      <c r="CR134" s="2094">
        <f>SUM(CR130:CR133)</f>
        <v>0</v>
      </c>
      <c r="CS134" s="2087"/>
      <c r="CT134" s="2087"/>
      <c r="CU134" s="1158"/>
      <c r="CV134" s="1158"/>
      <c r="CW134" s="1158"/>
      <c r="CX134" s="1158"/>
      <c r="CY134" s="1158"/>
      <c r="CZ134" s="1158"/>
      <c r="DA134" s="1158"/>
      <c r="DB134" s="951"/>
      <c r="DC134" s="951"/>
      <c r="DD134" s="951"/>
      <c r="DE134" s="951"/>
      <c r="DF134" s="951"/>
      <c r="DG134" s="951"/>
      <c r="DH134" s="951"/>
      <c r="DI134" s="951"/>
      <c r="DJ134" s="951"/>
      <c r="DK134" s="951"/>
      <c r="DL134" s="951"/>
      <c r="DM134" s="951"/>
      <c r="DN134" s="951"/>
      <c r="DO134" s="951"/>
      <c r="DP134" s="951"/>
      <c r="DQ134" s="951"/>
      <c r="DR134" s="951"/>
      <c r="DS134" s="951"/>
      <c r="DT134" s="951"/>
      <c r="DU134" s="951"/>
      <c r="DV134" s="951"/>
      <c r="DW134" s="951"/>
      <c r="DX134" s="951"/>
      <c r="DY134" s="951"/>
    </row>
    <row r="135" spans="1:129" ht="12.75" hidden="1" customHeight="1" outlineLevel="2">
      <c r="A135" s="1167" t="s">
        <v>769</v>
      </c>
      <c r="B135" s="951"/>
      <c r="C135" s="1226">
        <f>C130+C131</f>
        <v>0</v>
      </c>
      <c r="D135" s="951"/>
      <c r="E135" s="951"/>
      <c r="F135" s="951"/>
      <c r="G135" s="1226">
        <f>G130+G131</f>
        <v>0</v>
      </c>
      <c r="H135" s="951"/>
      <c r="I135" s="951"/>
      <c r="J135" s="951"/>
      <c r="K135" s="1226">
        <f>K130+K131</f>
        <v>0</v>
      </c>
      <c r="L135" s="951"/>
      <c r="M135" s="951"/>
      <c r="N135" s="951"/>
      <c r="O135" s="1226">
        <f>O130+O131</f>
        <v>0</v>
      </c>
      <c r="P135" s="951"/>
      <c r="Q135" s="951"/>
      <c r="R135" s="951"/>
      <c r="S135" s="1247"/>
      <c r="T135" s="1012"/>
      <c r="U135" s="1012"/>
      <c r="V135" s="1012"/>
      <c r="W135" s="1247"/>
      <c r="X135" s="1012"/>
      <c r="Y135" s="1012"/>
      <c r="Z135" s="1012"/>
      <c r="AA135" s="1012"/>
      <c r="AB135" s="1247"/>
      <c r="AC135" s="951"/>
      <c r="AD135" s="951"/>
      <c r="AE135" s="951"/>
      <c r="AF135" s="1247"/>
      <c r="AG135" s="1012"/>
      <c r="AH135" s="1012"/>
      <c r="AI135" s="951"/>
      <c r="AJ135" s="1247"/>
      <c r="AK135" s="1012"/>
      <c r="AL135" s="1012"/>
      <c r="AM135" s="951"/>
      <c r="AN135" s="1226">
        <f>AN130+AN131</f>
        <v>-4.0549999999999997</v>
      </c>
      <c r="AO135" s="951"/>
      <c r="AP135" s="951"/>
      <c r="AQ135" s="951"/>
      <c r="AR135" s="1226">
        <f>AR130+AR131</f>
        <v>7.3999999999999996E-2</v>
      </c>
      <c r="AS135" s="951"/>
      <c r="AT135" s="951"/>
      <c r="AU135" s="951"/>
      <c r="AV135" s="1166">
        <f>AV130+AV131</f>
        <v>0</v>
      </c>
      <c r="AW135" s="1158"/>
      <c r="AX135" s="1158"/>
      <c r="AY135" s="951"/>
      <c r="AZ135" s="1166">
        <f>AZ130+AZ131</f>
        <v>0</v>
      </c>
      <c r="BA135" s="1158"/>
      <c r="BB135" s="1158"/>
      <c r="BC135" s="951"/>
      <c r="BD135" s="1166">
        <f>BD130+BD131</f>
        <v>0</v>
      </c>
      <c r="BE135" s="1158"/>
      <c r="BF135" s="1158"/>
      <c r="BG135" s="1158"/>
      <c r="BH135" s="1166">
        <f>BH130+BH131</f>
        <v>-9.771000000000015</v>
      </c>
      <c r="BI135" s="1158"/>
      <c r="BJ135" s="1158"/>
      <c r="BK135" s="1158"/>
      <c r="BL135" s="1166">
        <f>BL130+BL131</f>
        <v>-43.026999999999987</v>
      </c>
      <c r="BM135" s="1158"/>
      <c r="BN135" s="1158"/>
      <c r="BO135" s="1158"/>
      <c r="BP135" s="1166">
        <f>BP130+BP131</f>
        <v>0</v>
      </c>
      <c r="BQ135" s="1158"/>
      <c r="BR135" s="1158"/>
      <c r="BS135" s="1158"/>
      <c r="BT135" s="1166">
        <f>BT130+BT131</f>
        <v>-23.818999999999999</v>
      </c>
      <c r="BU135" s="1158"/>
      <c r="BV135" s="1158"/>
      <c r="BW135" s="1158"/>
      <c r="BX135" s="1166">
        <f>BX130+BX131</f>
        <v>0</v>
      </c>
      <c r="BY135" s="1158"/>
      <c r="BZ135" s="1158"/>
      <c r="CA135" s="1158"/>
      <c r="CB135" s="1166">
        <f>CB130+CB132</f>
        <v>0</v>
      </c>
      <c r="CC135" s="1158"/>
      <c r="CD135" s="1158"/>
      <c r="CE135" s="1158"/>
      <c r="CF135" s="1166">
        <f>CF130+CF132</f>
        <v>0</v>
      </c>
      <c r="CG135" s="1158"/>
      <c r="CH135" s="1158"/>
      <c r="CI135" s="1158"/>
      <c r="CJ135" s="1166">
        <f>CJ130+CJ132</f>
        <v>0</v>
      </c>
      <c r="CK135" s="1158"/>
      <c r="CL135" s="1158"/>
      <c r="CM135" s="1158"/>
      <c r="CN135" s="1166">
        <f>CN130+CN132</f>
        <v>0</v>
      </c>
      <c r="CO135" s="1158"/>
      <c r="CP135" s="1158"/>
      <c r="CQ135" s="1158"/>
      <c r="CR135" s="2091">
        <f>CR130+CR132</f>
        <v>0</v>
      </c>
      <c r="CS135" s="2087"/>
      <c r="CT135" s="2087"/>
      <c r="CU135" s="1158"/>
      <c r="CV135" s="1158"/>
      <c r="CW135" s="1158"/>
      <c r="CX135" s="1158"/>
      <c r="CY135" s="1158"/>
      <c r="CZ135" s="1158"/>
      <c r="DA135" s="1158"/>
      <c r="DB135" s="951"/>
      <c r="DC135" s="951"/>
      <c r="DD135" s="951"/>
      <c r="DE135" s="951"/>
      <c r="DF135" s="951"/>
      <c r="DG135" s="951"/>
      <c r="DH135" s="951"/>
      <c r="DI135" s="951"/>
      <c r="DJ135" s="951"/>
      <c r="DK135" s="951"/>
      <c r="DL135" s="951"/>
      <c r="DM135" s="951"/>
      <c r="DN135" s="951"/>
      <c r="DO135" s="951"/>
      <c r="DP135" s="951"/>
      <c r="DQ135" s="951"/>
      <c r="DR135" s="951"/>
      <c r="DS135" s="951"/>
      <c r="DT135" s="951"/>
      <c r="DU135" s="951"/>
      <c r="DV135" s="951"/>
      <c r="DW135" s="951"/>
      <c r="DX135" s="951"/>
      <c r="DY135" s="951"/>
    </row>
    <row r="136" spans="1:129" ht="12.75" hidden="1" customHeight="1" outlineLevel="2">
      <c r="A136" s="1167" t="s">
        <v>770</v>
      </c>
      <c r="B136" s="951"/>
      <c r="C136" s="1226">
        <f>C130+C131+C132</f>
        <v>0</v>
      </c>
      <c r="D136" s="951"/>
      <c r="E136" s="951"/>
      <c r="F136" s="951"/>
      <c r="G136" s="1226">
        <f>G130+G131+G132</f>
        <v>0</v>
      </c>
      <c r="H136" s="951"/>
      <c r="I136" s="951"/>
      <c r="J136" s="951"/>
      <c r="K136" s="1226">
        <f>K130+K131+K132</f>
        <v>0</v>
      </c>
      <c r="L136" s="951"/>
      <c r="M136" s="951"/>
      <c r="N136" s="951"/>
      <c r="O136" s="1226">
        <f>O130+O131+O132</f>
        <v>0</v>
      </c>
      <c r="P136" s="1226"/>
      <c r="Q136" s="951"/>
      <c r="R136" s="951"/>
      <c r="S136" s="1247"/>
      <c r="T136" s="1012"/>
      <c r="U136" s="1012"/>
      <c r="V136" s="1012"/>
      <c r="W136" s="1247"/>
      <c r="X136" s="1012"/>
      <c r="Y136" s="1012"/>
      <c r="Z136" s="1012"/>
      <c r="AA136" s="1012"/>
      <c r="AB136" s="1247"/>
      <c r="AC136" s="951"/>
      <c r="AD136" s="951"/>
      <c r="AE136" s="951"/>
      <c r="AF136" s="1247"/>
      <c r="AG136" s="1012"/>
      <c r="AH136" s="1012"/>
      <c r="AI136" s="951"/>
      <c r="AJ136" s="1247"/>
      <c r="AK136" s="1012"/>
      <c r="AL136" s="1012"/>
      <c r="AM136" s="951"/>
      <c r="AN136" s="1226">
        <f>AN130+AN131+AN132</f>
        <v>-4.8620000000000001</v>
      </c>
      <c r="AO136" s="951"/>
      <c r="AP136" s="951"/>
      <c r="AQ136" s="951"/>
      <c r="AR136" s="1226">
        <f>AR130+AR131+AR132</f>
        <v>3.6999999999999998E-2</v>
      </c>
      <c r="AS136" s="951"/>
      <c r="AT136" s="951"/>
      <c r="AU136" s="951"/>
      <c r="AV136" s="1166">
        <f>AV130+AV131+AV132</f>
        <v>0</v>
      </c>
      <c r="AW136" s="1158"/>
      <c r="AX136" s="1158"/>
      <c r="AY136" s="951"/>
      <c r="AZ136" s="1166">
        <f>AZ130+AZ131+AZ132</f>
        <v>0</v>
      </c>
      <c r="BA136" s="1158"/>
      <c r="BB136" s="1158"/>
      <c r="BC136" s="951"/>
      <c r="BD136" s="1166">
        <f>BD130+BD131+BD132</f>
        <v>-19.89999999999992</v>
      </c>
      <c r="BE136" s="1158"/>
      <c r="BF136" s="1158"/>
      <c r="BG136" s="1158"/>
      <c r="BH136" s="1166">
        <f>BH130+BH131+BH132</f>
        <v>-18.559999999999967</v>
      </c>
      <c r="BI136" s="1158"/>
      <c r="BJ136" s="1158"/>
      <c r="BK136" s="1158"/>
      <c r="BL136" s="1166">
        <f>BL130+BL131+BL132</f>
        <v>-71.65499999999993</v>
      </c>
      <c r="BM136" s="1158"/>
      <c r="BN136" s="1158"/>
      <c r="BO136" s="1158"/>
      <c r="BP136" s="1166">
        <f>BP130+BP131+BP132</f>
        <v>0</v>
      </c>
      <c r="BQ136" s="1158"/>
      <c r="BR136" s="1158"/>
      <c r="BS136" s="1158"/>
      <c r="BT136" s="1166">
        <f>BT130+BT131+BT132</f>
        <v>-27.652000000000001</v>
      </c>
      <c r="BU136" s="1158"/>
      <c r="BV136" s="1158"/>
      <c r="BW136" s="1158"/>
      <c r="BX136" s="1166">
        <f>BX130+BX131+BX132</f>
        <v>0</v>
      </c>
      <c r="BY136" s="1158"/>
      <c r="BZ136" s="1158"/>
      <c r="CA136" s="1158"/>
      <c r="CB136" s="1166" t="e">
        <f>CB130+CB132+#REF!</f>
        <v>#REF!</v>
      </c>
      <c r="CC136" s="1158"/>
      <c r="CD136" s="1158"/>
      <c r="CE136" s="1158"/>
      <c r="CF136" s="1166" t="e">
        <f>CF130+CF132+#REF!</f>
        <v>#REF!</v>
      </c>
      <c r="CG136" s="1158"/>
      <c r="CH136" s="1158"/>
      <c r="CI136" s="1158"/>
      <c r="CJ136" s="1166" t="e">
        <f>CJ130+CJ132+#REF!</f>
        <v>#REF!</v>
      </c>
      <c r="CK136" s="1158"/>
      <c r="CL136" s="1158"/>
      <c r="CM136" s="1158"/>
      <c r="CN136" s="1166" t="e">
        <f>CN130+CN132+#REF!</f>
        <v>#REF!</v>
      </c>
      <c r="CO136" s="1158"/>
      <c r="CP136" s="1158"/>
      <c r="CQ136" s="1158"/>
      <c r="CR136" s="2091" t="e">
        <f>CR130+CR132+#REF!</f>
        <v>#REF!</v>
      </c>
      <c r="CS136" s="2087"/>
      <c r="CT136" s="2087"/>
      <c r="CU136" s="1158"/>
      <c r="CV136" s="1158"/>
      <c r="CW136" s="1158"/>
      <c r="CX136" s="1158"/>
      <c r="CY136" s="1158"/>
      <c r="CZ136" s="1158"/>
      <c r="DA136" s="1158"/>
      <c r="DB136" s="951"/>
      <c r="DC136" s="951"/>
      <c r="DD136" s="951"/>
      <c r="DE136" s="951"/>
      <c r="DF136" s="951"/>
      <c r="DG136" s="951"/>
      <c r="DH136" s="951"/>
      <c r="DI136" s="951"/>
      <c r="DJ136" s="951"/>
      <c r="DK136" s="951"/>
      <c r="DL136" s="951"/>
      <c r="DM136" s="951"/>
      <c r="DN136" s="951"/>
      <c r="DO136" s="951"/>
      <c r="DP136" s="951"/>
      <c r="DQ136" s="951"/>
      <c r="DR136" s="951"/>
      <c r="DS136" s="951"/>
      <c r="DT136" s="951"/>
      <c r="DU136" s="951"/>
      <c r="DV136" s="951"/>
      <c r="DW136" s="951"/>
      <c r="DX136" s="951"/>
      <c r="DY136" s="951"/>
    </row>
    <row r="137" spans="1:129" ht="12.75" outlineLevel="1" collapsed="1">
      <c r="A137" s="1167"/>
      <c r="B137" s="951"/>
      <c r="C137" s="1226"/>
      <c r="D137" s="951"/>
      <c r="E137" s="951"/>
      <c r="F137" s="951"/>
      <c r="G137" s="1226"/>
      <c r="H137" s="951"/>
      <c r="I137" s="951"/>
      <c r="J137" s="951"/>
      <c r="K137" s="1226"/>
      <c r="L137" s="951"/>
      <c r="M137" s="951"/>
      <c r="N137" s="951"/>
      <c r="O137" s="1226"/>
      <c r="P137" s="1226"/>
      <c r="Q137" s="951"/>
      <c r="R137" s="951"/>
      <c r="S137" s="1247"/>
      <c r="T137" s="1012"/>
      <c r="U137" s="1012"/>
      <c r="V137" s="1012"/>
      <c r="W137" s="1247"/>
      <c r="X137" s="1012"/>
      <c r="Y137" s="1012"/>
      <c r="Z137" s="1012"/>
      <c r="AA137" s="1012"/>
      <c r="AB137" s="1247"/>
      <c r="AC137" s="951"/>
      <c r="AD137" s="951"/>
      <c r="AE137" s="951"/>
      <c r="AF137" s="1247"/>
      <c r="AG137" s="1012"/>
      <c r="AH137" s="1012"/>
      <c r="AI137" s="951"/>
      <c r="AJ137" s="1247"/>
      <c r="AK137" s="1012"/>
      <c r="AL137" s="1012"/>
      <c r="AM137" s="951"/>
      <c r="AN137" s="1226"/>
      <c r="AO137" s="951"/>
      <c r="AP137" s="951"/>
      <c r="AQ137" s="951"/>
      <c r="AR137" s="1226"/>
      <c r="AS137" s="951"/>
      <c r="AT137" s="951"/>
      <c r="AU137" s="951"/>
      <c r="AV137" s="1166"/>
      <c r="AW137" s="1158"/>
      <c r="AX137" s="1158"/>
      <c r="AY137" s="951"/>
      <c r="AZ137" s="1166"/>
      <c r="BA137" s="1158"/>
      <c r="BB137" s="1158"/>
      <c r="BC137" s="951"/>
      <c r="BD137" s="1166"/>
      <c r="BE137" s="1158"/>
      <c r="BF137" s="1158"/>
      <c r="BG137" s="1158"/>
      <c r="BH137" s="1166"/>
      <c r="BI137" s="1158"/>
      <c r="BJ137" s="1158"/>
      <c r="BK137" s="1158"/>
      <c r="BL137" s="1166"/>
      <c r="BM137" s="1158"/>
      <c r="BN137" s="1158"/>
      <c r="BO137" s="1158"/>
      <c r="BP137" s="1166"/>
      <c r="BQ137" s="1158"/>
      <c r="BR137" s="1158"/>
      <c r="BS137" s="1158"/>
      <c r="BT137" s="1166"/>
      <c r="BU137" s="1158"/>
      <c r="BV137" s="1158"/>
      <c r="BW137" s="1158"/>
      <c r="BX137" s="1158"/>
      <c r="BY137" s="1158"/>
      <c r="BZ137" s="1158"/>
      <c r="CA137" s="1158"/>
      <c r="CB137" s="1158"/>
      <c r="CC137" s="1158"/>
      <c r="CD137" s="1158"/>
      <c r="CE137" s="1158"/>
      <c r="CF137" s="1158"/>
      <c r="CG137" s="1158"/>
      <c r="CH137" s="1158"/>
      <c r="CI137" s="1158"/>
      <c r="CJ137" s="1158"/>
      <c r="CK137" s="1158"/>
      <c r="CL137" s="1158"/>
      <c r="CM137" s="1158"/>
      <c r="CN137" s="1245"/>
      <c r="CO137" s="1158"/>
      <c r="CP137" s="1158"/>
      <c r="CQ137" s="1158"/>
      <c r="CR137" s="1158"/>
      <c r="CS137" s="1158"/>
      <c r="CT137" s="1158"/>
      <c r="CU137" s="1185"/>
      <c r="CV137" s="1158"/>
      <c r="CW137" s="1185"/>
      <c r="CX137" s="1185"/>
      <c r="CY137" s="1158"/>
      <c r="CZ137" s="1158"/>
      <c r="DA137" s="1158"/>
      <c r="DB137" s="951"/>
      <c r="DC137" s="951"/>
      <c r="DD137" s="951"/>
      <c r="DE137" s="951"/>
      <c r="DF137" s="951"/>
      <c r="DG137" s="951"/>
      <c r="DH137" s="951"/>
      <c r="DI137" s="951"/>
      <c r="DJ137" s="951"/>
      <c r="DK137" s="951"/>
      <c r="DL137" s="951"/>
      <c r="DM137" s="951"/>
      <c r="DN137" s="951"/>
      <c r="DO137" s="951"/>
      <c r="DP137" s="951"/>
      <c r="DQ137" s="951"/>
      <c r="DR137" s="951"/>
      <c r="DS137" s="951"/>
      <c r="DT137" s="951"/>
      <c r="DU137" s="951"/>
      <c r="DV137" s="951"/>
      <c r="DW137" s="951"/>
      <c r="DX137" s="951"/>
      <c r="DY137" s="951"/>
    </row>
    <row r="138" spans="1:129" ht="12.75" outlineLevel="1">
      <c r="A138" s="45"/>
      <c r="B138" s="1181"/>
      <c r="C138" s="1181"/>
      <c r="D138" s="1181"/>
      <c r="E138" s="1181"/>
      <c r="F138" s="1181"/>
      <c r="G138" s="45"/>
      <c r="H138" s="1182"/>
      <c r="I138" s="1182"/>
      <c r="J138" s="1182"/>
      <c r="K138" s="1182"/>
      <c r="L138" s="1182"/>
      <c r="M138" s="1182"/>
      <c r="N138" s="1182"/>
      <c r="O138" s="1182"/>
      <c r="P138" s="1182"/>
      <c r="Q138" s="45"/>
      <c r="R138" s="1182"/>
      <c r="S138" s="45"/>
      <c r="T138" s="1182"/>
      <c r="U138" s="1182"/>
      <c r="V138" s="1182"/>
      <c r="W138" s="45"/>
      <c r="X138" s="1183"/>
      <c r="Y138" s="1183"/>
      <c r="Z138" s="1183"/>
      <c r="AA138" s="1183"/>
      <c r="AB138" s="1182"/>
      <c r="AC138" s="1183"/>
      <c r="AD138" s="1183"/>
      <c r="AE138" s="1183"/>
      <c r="AF138" s="1182"/>
      <c r="AG138" s="1183"/>
      <c r="AH138" s="1183"/>
      <c r="AI138" s="1183"/>
      <c r="AJ138" s="1183"/>
      <c r="AK138" s="1183"/>
      <c r="AL138" s="1183"/>
      <c r="AM138" s="1183"/>
      <c r="AN138" s="1183"/>
      <c r="AO138" s="1183"/>
      <c r="AP138" s="1183"/>
      <c r="AQ138" s="1183"/>
      <c r="AR138" s="1184"/>
      <c r="AS138" s="1183"/>
      <c r="AT138" s="1183"/>
      <c r="AU138" s="1183"/>
      <c r="AW138" s="1185"/>
      <c r="AX138" s="1185"/>
      <c r="AY138" s="1183"/>
      <c r="AZ138" s="1186"/>
      <c r="BA138" s="1185"/>
      <c r="BB138" s="1185"/>
      <c r="BC138" s="1183"/>
      <c r="BD138" s="1186"/>
      <c r="BE138" s="1185"/>
      <c r="BF138" s="1185"/>
      <c r="BG138" s="1185"/>
      <c r="BH138" s="1186"/>
      <c r="BI138" s="1185"/>
      <c r="BJ138" s="1185"/>
      <c r="BK138" s="1185"/>
      <c r="BL138" s="1186"/>
      <c r="BM138" s="1185"/>
      <c r="BN138" s="1185"/>
      <c r="BO138" s="1185"/>
      <c r="BP138" s="1186"/>
      <c r="BQ138" s="1185"/>
      <c r="BR138" s="1185"/>
      <c r="BS138" s="1185"/>
      <c r="BT138" s="1182" t="s">
        <v>538</v>
      </c>
      <c r="BU138" s="1185"/>
      <c r="BV138" s="1185"/>
      <c r="BW138" s="1185"/>
      <c r="BX138" s="1185"/>
      <c r="BY138" s="1185"/>
      <c r="BZ138" s="1185"/>
      <c r="CA138" s="1187"/>
      <c r="CB138" s="1185"/>
      <c r="CC138" s="1185"/>
      <c r="CD138" s="1185"/>
      <c r="CE138" s="1187"/>
      <c r="CF138" s="1185"/>
      <c r="CG138" s="1182" t="s">
        <v>538</v>
      </c>
      <c r="CH138" s="1185"/>
      <c r="CI138" s="1187"/>
      <c r="CJ138" s="1185"/>
      <c r="CK138" s="1185"/>
      <c r="CL138" s="1185"/>
      <c r="CM138" s="1187"/>
      <c r="CN138" s="1185"/>
      <c r="CO138" s="1185"/>
      <c r="CP138" s="1185"/>
      <c r="CQ138" s="1185"/>
      <c r="CR138" s="1185"/>
      <c r="CS138" s="1185"/>
      <c r="CT138" s="1185"/>
      <c r="CU138" s="1358"/>
      <c r="CV138" s="1185"/>
      <c r="CW138" s="1358"/>
      <c r="CX138" s="1358"/>
      <c r="CY138" s="1185"/>
      <c r="CZ138" s="1185"/>
      <c r="DA138" s="1185"/>
      <c r="DB138" s="1183"/>
      <c r="DC138" s="1183"/>
      <c r="DD138" s="1183"/>
      <c r="DE138" s="1183"/>
      <c r="DF138" s="1183"/>
      <c r="DG138" s="1183"/>
      <c r="DH138" s="45"/>
      <c r="DI138" s="45"/>
      <c r="DJ138" s="45"/>
      <c r="DK138" s="45"/>
      <c r="DL138" s="45"/>
      <c r="DM138" s="45"/>
      <c r="DN138" s="45"/>
      <c r="DO138" s="45"/>
      <c r="DP138" s="45"/>
      <c r="DQ138" s="45"/>
      <c r="DR138" s="45"/>
      <c r="DS138" s="45"/>
      <c r="DT138" s="45"/>
      <c r="DU138" s="45"/>
      <c r="DV138" s="45"/>
      <c r="DW138" s="45"/>
      <c r="DX138" s="45"/>
      <c r="DY138" s="45"/>
    </row>
    <row r="139" spans="1:129" ht="12.75" outlineLevel="1">
      <c r="A139" s="45"/>
      <c r="B139" s="1183"/>
      <c r="C139" s="1183"/>
      <c r="D139" s="1183"/>
      <c r="E139" s="1183"/>
      <c r="F139" s="1183"/>
      <c r="G139" s="1183"/>
      <c r="H139" s="1183"/>
      <c r="I139" s="1183"/>
      <c r="J139" s="1183"/>
      <c r="K139" s="1183"/>
      <c r="L139" s="1183"/>
      <c r="M139" s="1183"/>
      <c r="N139" s="45"/>
      <c r="O139" s="1183"/>
      <c r="P139" s="1183"/>
      <c r="Q139" s="1183"/>
      <c r="R139" s="45"/>
      <c r="S139" s="1183"/>
      <c r="T139" s="1183"/>
      <c r="U139" s="1183"/>
      <c r="V139" s="45"/>
      <c r="W139" s="1183"/>
      <c r="X139" s="1183"/>
      <c r="Y139" s="1183"/>
      <c r="Z139" s="1183"/>
      <c r="AA139" s="45"/>
      <c r="AB139" s="1183"/>
      <c r="AC139" s="1183"/>
      <c r="AD139" s="1183"/>
      <c r="AE139" s="45"/>
      <c r="AF139" s="1183"/>
      <c r="AG139" s="1183"/>
      <c r="AH139" s="1183"/>
      <c r="AI139" s="45"/>
      <c r="AJ139" s="1183"/>
      <c r="AK139" s="1183"/>
      <c r="AL139" s="1183"/>
      <c r="AM139" s="45"/>
      <c r="AN139" s="1183"/>
      <c r="AO139" s="1183"/>
      <c r="AP139" s="1183"/>
      <c r="AQ139" s="45"/>
      <c r="AR139" s="1183"/>
      <c r="AS139" s="1183"/>
      <c r="AT139" s="1183"/>
      <c r="AU139" s="45"/>
      <c r="AV139" s="1185"/>
      <c r="AW139" s="1185"/>
      <c r="AX139" s="1358"/>
      <c r="AY139" s="45"/>
      <c r="AZ139" s="1185"/>
      <c r="BA139" s="1185"/>
      <c r="BB139" s="1358"/>
      <c r="BC139" s="45"/>
      <c r="BD139" s="1185"/>
      <c r="BE139" s="1185"/>
      <c r="BF139" s="1358"/>
      <c r="BG139" s="1358"/>
      <c r="BH139" s="1185"/>
      <c r="BI139" s="1185"/>
      <c r="BJ139" s="1358"/>
      <c r="BK139" s="1358"/>
      <c r="BL139" s="1185"/>
      <c r="BM139" s="1185"/>
      <c r="BN139" s="1358"/>
      <c r="BO139" s="1358"/>
      <c r="BP139" s="1185"/>
      <c r="BQ139" s="1185"/>
      <c r="BR139" s="1358"/>
      <c r="BS139" s="1358"/>
      <c r="BT139" s="1185"/>
      <c r="BU139" s="1185"/>
      <c r="BV139" s="1358"/>
      <c r="BW139" s="1358"/>
      <c r="BX139" s="1358"/>
      <c r="BY139" s="1358"/>
      <c r="BZ139" s="1358"/>
      <c r="CA139" s="1358"/>
      <c r="CB139" s="1358"/>
      <c r="CC139" s="1358"/>
      <c r="CD139" s="1358"/>
      <c r="CE139" s="1358"/>
      <c r="CF139" s="1358"/>
      <c r="CG139" s="1358"/>
      <c r="CH139" s="1358"/>
      <c r="CI139" s="1358"/>
      <c r="CJ139" s="1358"/>
      <c r="CK139" s="1358"/>
      <c r="CL139" s="1358"/>
      <c r="CM139" s="1358"/>
      <c r="CN139" s="1358"/>
      <c r="CO139" s="1358"/>
      <c r="CP139" s="1358"/>
      <c r="CQ139" s="1358"/>
      <c r="CR139" s="1358"/>
      <c r="CS139" s="1358"/>
      <c r="CT139" s="1358"/>
      <c r="CU139" s="1361"/>
      <c r="CV139" s="1358"/>
      <c r="CW139" s="1361"/>
      <c r="CX139" s="1361"/>
      <c r="CY139" s="1358"/>
      <c r="CZ139" s="1358"/>
      <c r="DA139" s="1358"/>
      <c r="DB139" s="208"/>
      <c r="DC139" s="208"/>
      <c r="DD139" s="208"/>
      <c r="DE139" s="208"/>
      <c r="DF139" s="1183"/>
      <c r="DG139" s="1183"/>
      <c r="DH139" s="45"/>
      <c r="DI139" s="45"/>
      <c r="DJ139" s="45"/>
      <c r="DK139" s="45"/>
      <c r="DL139" s="45"/>
      <c r="DM139" s="45"/>
      <c r="DN139" s="45"/>
      <c r="DO139" s="45"/>
      <c r="DP139" s="45"/>
      <c r="DQ139" s="45"/>
      <c r="DR139" s="45"/>
      <c r="DS139" s="45"/>
      <c r="DT139" s="45"/>
      <c r="DU139" s="45"/>
      <c r="DV139" s="45"/>
      <c r="DW139" s="45"/>
      <c r="DX139" s="45"/>
      <c r="DY139" s="45"/>
    </row>
    <row r="140" spans="1:129" ht="12.75" outlineLevel="1">
      <c r="A140" s="1167" t="s">
        <v>734</v>
      </c>
      <c r="B140" s="951"/>
      <c r="C140" s="1359">
        <f>C111/C168</f>
        <v>108.9333950418545</v>
      </c>
      <c r="D140" s="1360"/>
      <c r="E140" s="951"/>
      <c r="F140" s="951"/>
      <c r="G140" s="1359">
        <f>G111/G168</f>
        <v>86.39960982658981</v>
      </c>
      <c r="H140" s="1360">
        <f>(G140/C140-1)</f>
        <v>-0.20685837622711323</v>
      </c>
      <c r="I140" s="951"/>
      <c r="J140" s="951"/>
      <c r="K140" s="1359">
        <f>K111/K168</f>
        <v>137.65821428571451</v>
      </c>
      <c r="L140" s="1360">
        <f>(K140/G140-1)</f>
        <v>0.59327356410525911</v>
      </c>
      <c r="M140" s="951"/>
      <c r="N140" s="951"/>
      <c r="O140" s="1359">
        <f>O111/O168</f>
        <v>140.17347848843309</v>
      </c>
      <c r="P140" s="1360">
        <f>(O140/K140-1)</f>
        <v>1.8271806123375089E-2</v>
      </c>
      <c r="Q140" s="951"/>
      <c r="R140" s="951"/>
      <c r="S140" s="1359">
        <f>S111/S168</f>
        <v>141.9056316596849</v>
      </c>
      <c r="T140" s="1270">
        <f>(S140/O140-1)*100</f>
        <v>1.2357210436171995</v>
      </c>
      <c r="U140" s="951"/>
      <c r="V140" s="951"/>
      <c r="W140" s="1222">
        <f>+W120+W130</f>
        <v>12.607999999999997</v>
      </c>
      <c r="X140" s="1270"/>
      <c r="Y140" s="951"/>
      <c r="Z140" s="951"/>
      <c r="AA140" s="951"/>
      <c r="AB140" s="1222">
        <f>+AB120+AB130</f>
        <v>15.545000000000012</v>
      </c>
      <c r="AC140" s="1270">
        <f>(AB140/W140-1)*100</f>
        <v>23.29473350253819</v>
      </c>
      <c r="AD140" s="951"/>
      <c r="AE140" s="951"/>
      <c r="AF140" s="1222">
        <f>+AF120+AF130</f>
        <v>12.717999999999984</v>
      </c>
      <c r="AG140" s="1270">
        <f>(AF140/AB140-1)*100</f>
        <v>-18.185911868768258</v>
      </c>
      <c r="AH140" s="951"/>
      <c r="AI140" s="951"/>
      <c r="AJ140" s="1222">
        <f>+AJ120+AJ130</f>
        <v>6.403000000000004</v>
      </c>
      <c r="AK140" s="1270">
        <f>(AJ140/AF140-1)*100</f>
        <v>-49.654033653090011</v>
      </c>
      <c r="AL140" s="951"/>
      <c r="AM140" s="951"/>
      <c r="AN140" s="1222">
        <f>+AN120+AN130</f>
        <v>25.372000000000025</v>
      </c>
      <c r="AO140" s="1270">
        <f>(AN140/AJ140-1)*100</f>
        <v>296.25175698891161</v>
      </c>
      <c r="AP140" s="951"/>
      <c r="AQ140" s="951"/>
      <c r="AR140" s="1222">
        <f>+AR120+AR130</f>
        <v>55.272999999999968</v>
      </c>
      <c r="AS140" s="1270">
        <f>(AR140/AN140-1)*100</f>
        <v>117.85038625256155</v>
      </c>
      <c r="AT140" s="951"/>
      <c r="AU140" s="951"/>
      <c r="AV140" s="1222">
        <f>+AV120+AV130</f>
        <v>64.155999999999963</v>
      </c>
      <c r="AW140" s="1271">
        <f>(AV140/AR140-1)*100</f>
        <v>16.071137806885826</v>
      </c>
      <c r="AX140" s="1361"/>
      <c r="AY140" s="951"/>
      <c r="AZ140" s="1201">
        <f>+AZ120+AZ130</f>
        <v>78.769999999999953</v>
      </c>
      <c r="BA140" s="1271">
        <f>(AZ140/AV140-1)*100</f>
        <v>22.778851549348467</v>
      </c>
      <c r="BB140" s="1361"/>
      <c r="BC140" s="951"/>
      <c r="BD140" s="1201">
        <f>+BD120+BD130</f>
        <v>43.895000000000024</v>
      </c>
      <c r="BE140" s="1271">
        <f>(BD140/AZ140-1)*100</f>
        <v>-44.274469975879086</v>
      </c>
      <c r="BF140" s="1361"/>
      <c r="BG140" s="1361"/>
      <c r="BH140" s="1201">
        <f>+BH120+BH130</f>
        <v>21.966999999999999</v>
      </c>
      <c r="BI140" s="1271">
        <f>(BH140/BD140-1)*100</f>
        <v>-49.955575805900473</v>
      </c>
      <c r="BJ140" s="1361"/>
      <c r="BK140" s="1361"/>
      <c r="BL140" s="1201">
        <f>+BL120+BL130</f>
        <v>10.922000000000001</v>
      </c>
      <c r="BM140" s="1271">
        <f>(BL140/BH140-1)*100</f>
        <v>-50.279965402649431</v>
      </c>
      <c r="BN140" s="1361"/>
      <c r="BO140" s="1361"/>
      <c r="BP140" s="1201">
        <f>+BP120+BP130</f>
        <v>31.871000000000066</v>
      </c>
      <c r="BQ140" s="1271">
        <f>(BP140/BL140-1)*100</f>
        <v>191.80553012268874</v>
      </c>
      <c r="BR140" s="1361"/>
      <c r="BS140" s="1361"/>
      <c r="BT140" s="1201">
        <f>+BT120+BT130</f>
        <v>44.035000000000082</v>
      </c>
      <c r="BU140" s="1271">
        <f>(BT140/BP140-1)*100</f>
        <v>38.166358131216427</v>
      </c>
      <c r="BV140" s="1361"/>
      <c r="BW140" s="1361"/>
      <c r="BX140" s="1201">
        <f>+BX120+BX130</f>
        <v>35.143999999999977</v>
      </c>
      <c r="BY140" s="1271">
        <f>(BX140/BT140-1)*100</f>
        <v>-20.19075735210648</v>
      </c>
      <c r="BZ140" s="1361"/>
      <c r="CA140" s="1361"/>
      <c r="CB140" s="1201">
        <f>+CB120+CB130</f>
        <v>3.8660000000000325</v>
      </c>
      <c r="CC140" s="1271">
        <f>(CB140/BX140-1)*100</f>
        <v>-88.99954473025258</v>
      </c>
      <c r="CD140" s="1361"/>
      <c r="CE140" s="1361"/>
      <c r="CF140" s="1201">
        <f>+CF120+CF130</f>
        <v>29.054999999999978</v>
      </c>
      <c r="CG140" s="1271">
        <f>(CF140/CB140-1)*100</f>
        <v>651.55199172270397</v>
      </c>
      <c r="CH140" s="1361"/>
      <c r="CI140" s="1361"/>
      <c r="CJ140" s="1201">
        <f>+CJ120+CJ130</f>
        <v>40.476000000000056</v>
      </c>
      <c r="CK140" s="1271">
        <f>(CJ140/CF140-1)*100</f>
        <v>39.308208569953827</v>
      </c>
      <c r="CL140" s="1361"/>
      <c r="CM140" s="1361"/>
      <c r="CN140" s="1201">
        <f>+CN120+CN130</f>
        <v>28.65989999999999</v>
      </c>
      <c r="CO140" s="1271">
        <f>(CN140/CJ140-1)*100</f>
        <v>-29.192855025200238</v>
      </c>
      <c r="CP140" s="1361"/>
      <c r="CQ140" s="1361"/>
      <c r="CR140" s="1201">
        <f>+CR120+CR130</f>
        <v>40.082395506630647</v>
      </c>
      <c r="CS140" s="1271">
        <f>(CR140/CN140-1)*100</f>
        <v>39.855322267805057</v>
      </c>
      <c r="CT140" s="1361"/>
      <c r="CU140" s="1361"/>
      <c r="CV140" s="1361"/>
      <c r="CW140" s="1361"/>
      <c r="CX140" s="1361"/>
      <c r="CY140" s="1361"/>
      <c r="CZ140" s="1361"/>
      <c r="DA140" s="1361"/>
      <c r="DB140" s="1362"/>
      <c r="DC140" s="951"/>
      <c r="DD140" s="951"/>
      <c r="DE140" s="951"/>
      <c r="DF140" s="951"/>
      <c r="DG140" s="951"/>
      <c r="DH140" s="951"/>
      <c r="DI140" s="951"/>
      <c r="DJ140" s="951"/>
      <c r="DK140" s="951"/>
      <c r="DL140" s="951"/>
      <c r="DM140" s="951"/>
      <c r="DN140" s="951"/>
      <c r="DO140" s="951"/>
      <c r="DP140" s="951"/>
      <c r="DQ140" s="951"/>
      <c r="DR140" s="951"/>
      <c r="DS140" s="951"/>
      <c r="DT140" s="951"/>
      <c r="DU140" s="951"/>
      <c r="DV140" s="951"/>
      <c r="DW140" s="951"/>
      <c r="DX140" s="951"/>
      <c r="DY140" s="951"/>
    </row>
    <row r="141" spans="1:129" ht="12.75" outlineLevel="1">
      <c r="A141" s="1167" t="s">
        <v>735</v>
      </c>
      <c r="B141" s="951"/>
      <c r="C141" s="1363">
        <f>C112/C169</f>
        <v>-113.17380319148941</v>
      </c>
      <c r="D141" s="1269"/>
      <c r="E141" s="951"/>
      <c r="F141" s="951"/>
      <c r="G141" s="1363">
        <f>G112/G169</f>
        <v>87.167580419580631</v>
      </c>
      <c r="H141" s="1269">
        <f>(G141/C141-1)*100</f>
        <v>-177.02098715556426</v>
      </c>
      <c r="I141" s="951"/>
      <c r="J141" s="951"/>
      <c r="K141" s="1363">
        <f>K112/K169</f>
        <v>134.43441539196914</v>
      </c>
      <c r="L141" s="1269">
        <f>(K141/G141-1)*100</f>
        <v>54.225246066106081</v>
      </c>
      <c r="M141" s="951"/>
      <c r="N141" s="951"/>
      <c r="O141" s="1363">
        <f>O112/O169</f>
        <v>137.25210871602607</v>
      </c>
      <c r="P141" s="1269">
        <f>(O141/K141-1)*100</f>
        <v>2.0959613026481527</v>
      </c>
      <c r="Q141" s="951"/>
      <c r="R141" s="951"/>
      <c r="S141" s="1363">
        <f>S112/S169</f>
        <v>142.80132754653403</v>
      </c>
      <c r="T141" s="1270">
        <f>(S141/O141-1)*100</f>
        <v>4.0430845707363661</v>
      </c>
      <c r="U141" s="951"/>
      <c r="V141" s="951"/>
      <c r="W141" s="1364">
        <f>+W121+W131</f>
        <v>2.7770000000000055</v>
      </c>
      <c r="X141" s="1270"/>
      <c r="Y141" s="951"/>
      <c r="Z141" s="951"/>
      <c r="AA141" s="951"/>
      <c r="AB141" s="1364">
        <f>+AB121+AB131</f>
        <v>15.306000000000001</v>
      </c>
      <c r="AC141" s="1270">
        <f>(AB141/W141-1)*100</f>
        <v>451.17032769175262</v>
      </c>
      <c r="AD141" s="951"/>
      <c r="AE141" s="951"/>
      <c r="AF141" s="1364">
        <f>+AF121+AF131</f>
        <v>10.056999999999999</v>
      </c>
      <c r="AG141" s="1270">
        <f>(AF141/AB141-1)*100</f>
        <v>-34.293741016594815</v>
      </c>
      <c r="AH141" s="951"/>
      <c r="AI141" s="951"/>
      <c r="AJ141" s="1364">
        <f>+AJ121+AJ131</f>
        <v>8.1039999999999992</v>
      </c>
      <c r="AK141" s="1270">
        <f>(AJ141/AF141-1)*100</f>
        <v>-19.419309933379736</v>
      </c>
      <c r="AL141" s="951"/>
      <c r="AM141" s="951"/>
      <c r="AN141" s="1364">
        <f>+AN121+AN131</f>
        <v>29.253999999999998</v>
      </c>
      <c r="AO141" s="1270">
        <f>(AN141/AJ141-1)*100</f>
        <v>260.98223099703853</v>
      </c>
      <c r="AP141" s="951"/>
      <c r="AQ141" s="951"/>
      <c r="AR141" s="1364">
        <f>+AR121+AR131</f>
        <v>58.019000000000077</v>
      </c>
      <c r="AS141" s="1270">
        <f>(AR141/AN141-1)*100</f>
        <v>98.32843371846613</v>
      </c>
      <c r="AT141" s="951"/>
      <c r="AU141" s="951"/>
      <c r="AV141" s="1364">
        <f>+AV121+AV131</f>
        <v>72.099000000000032</v>
      </c>
      <c r="AW141" s="1271">
        <f>(AV141/AR141-1)*100</f>
        <v>24.26791223564684</v>
      </c>
      <c r="AX141" s="1361"/>
      <c r="AY141" s="951"/>
      <c r="AZ141" s="1365">
        <f>+AZ121+AZ131</f>
        <v>81.343999999999937</v>
      </c>
      <c r="BA141" s="1271">
        <f>(AZ141/AV141-1)*100</f>
        <v>12.822646638649493</v>
      </c>
      <c r="BB141" s="1361"/>
      <c r="BC141" s="951"/>
      <c r="BD141" s="1365">
        <f>+BD121+BD131</f>
        <v>59.831000000000074</v>
      </c>
      <c r="BE141" s="1271">
        <f>(BD141/AZ141-1)*100</f>
        <v>-26.446941384736277</v>
      </c>
      <c r="BF141" s="1361"/>
      <c r="BG141" s="1361"/>
      <c r="BH141" s="1365">
        <f>+BH121+BH131</f>
        <v>28.571999999999999</v>
      </c>
      <c r="BI141" s="1271">
        <f>(BH141/BD141-1)*100</f>
        <v>-52.245491467633897</v>
      </c>
      <c r="BJ141" s="1361"/>
      <c r="BK141" s="1361"/>
      <c r="BL141" s="1365">
        <f>+BL121+BL131</f>
        <v>11.811000000000018</v>
      </c>
      <c r="BM141" s="1271">
        <f>(BL141/BH141-1)*100</f>
        <v>-58.662326753464868</v>
      </c>
      <c r="BN141" s="1361"/>
      <c r="BO141" s="1361"/>
      <c r="BP141" s="1365">
        <f>+BP121+BP131</f>
        <v>25.091999999999995</v>
      </c>
      <c r="BQ141" s="1271">
        <f>(BP141/BL141-1)*100</f>
        <v>112.44602489204945</v>
      </c>
      <c r="BR141" s="1361"/>
      <c r="BS141" s="1361"/>
      <c r="BT141" s="1365">
        <f>+BT121+BT131</f>
        <v>17.810999999999961</v>
      </c>
      <c r="BU141" s="1271">
        <f>(BT141/BP141-1)*100</f>
        <v>-29.017216642754807</v>
      </c>
      <c r="BV141" s="1361"/>
      <c r="BW141" s="1361"/>
      <c r="BX141" s="1365">
        <f>+BX121+BX131</f>
        <v>19.593999999999991</v>
      </c>
      <c r="BY141" s="1271">
        <f>(BX141/BT141-1)*100</f>
        <v>10.010667564988118</v>
      </c>
      <c r="BZ141" s="1361"/>
      <c r="CA141" s="1361"/>
      <c r="CB141" s="1365">
        <f>+CB121+CB132</f>
        <v>5.8130000000000255</v>
      </c>
      <c r="CC141" s="1271">
        <f>(CB141/BX141-1)*100</f>
        <v>-70.332754924976882</v>
      </c>
      <c r="CD141" s="1361"/>
      <c r="CE141" s="1361"/>
      <c r="CF141" s="1365">
        <f>+CF121+CF132</f>
        <v>33.264999999999986</v>
      </c>
      <c r="CG141" s="1271">
        <f>(CF141/CB141-1)*100</f>
        <v>472.25184930328294</v>
      </c>
      <c r="CH141" s="1361"/>
      <c r="CI141" s="1361"/>
      <c r="CJ141" s="1365">
        <f>+CJ121+CJ132</f>
        <v>41.59200000000002</v>
      </c>
      <c r="CK141" s="1271">
        <f>(CJ141/CF141-1)*100</f>
        <v>25.032316248309151</v>
      </c>
      <c r="CL141" s="1361"/>
      <c r="CM141" s="1361"/>
      <c r="CN141" s="1365">
        <f>+CN121+CN132</f>
        <v>34.555999999999933</v>
      </c>
      <c r="CO141" s="1271">
        <f>(CN141/CJ141-1)*100</f>
        <v>-16.916714752837279</v>
      </c>
      <c r="CP141" s="1361"/>
      <c r="CQ141" s="1361"/>
      <c r="CR141" s="1365">
        <f>+CR121+CR132</f>
        <v>54.376462114770185</v>
      </c>
      <c r="CS141" s="1271">
        <f>(CR141/CN141-1)*100</f>
        <v>57.357512775698247</v>
      </c>
      <c r="CT141" s="1361"/>
      <c r="CU141" s="1361"/>
      <c r="CV141" s="1361"/>
      <c r="CW141" s="1361"/>
      <c r="CX141" s="1361"/>
      <c r="CY141" s="1361"/>
      <c r="CZ141" s="1361"/>
      <c r="DA141" s="1361"/>
      <c r="DB141" s="1362"/>
      <c r="DC141" s="951"/>
      <c r="DD141" s="951"/>
      <c r="DE141" s="951"/>
      <c r="DF141" s="951"/>
      <c r="DG141" s="951"/>
      <c r="DH141" s="951"/>
      <c r="DI141" s="951"/>
      <c r="DJ141" s="951"/>
      <c r="DK141" s="951"/>
      <c r="DL141" s="951"/>
      <c r="DM141" s="951"/>
      <c r="DN141" s="951"/>
      <c r="DO141" s="951"/>
      <c r="DP141" s="951"/>
      <c r="DQ141" s="951"/>
      <c r="DR141" s="951"/>
      <c r="DS141" s="951"/>
      <c r="DT141" s="951"/>
      <c r="DU141" s="951"/>
      <c r="DV141" s="951"/>
      <c r="DW141" s="951"/>
      <c r="DX141" s="951"/>
      <c r="DY141" s="951"/>
    </row>
    <row r="142" spans="1:129" ht="12.75" outlineLevel="1">
      <c r="A142" s="1167" t="s">
        <v>736</v>
      </c>
      <c r="B142" s="951"/>
      <c r="C142" s="1363">
        <f>C113/C170</f>
        <v>129.49713292725576</v>
      </c>
      <c r="D142" s="1269"/>
      <c r="E142" s="951"/>
      <c r="F142" s="951"/>
      <c r="G142" s="1363">
        <f>G113/G170</f>
        <v>89.686124824902777</v>
      </c>
      <c r="H142" s="1269">
        <f>(G142/C142-1)*100</f>
        <v>-30.742771830104211</v>
      </c>
      <c r="I142" s="951"/>
      <c r="J142" s="951"/>
      <c r="K142" s="1363">
        <f>K113/K170</f>
        <v>134.16710053934008</v>
      </c>
      <c r="L142" s="1269">
        <f>(K142/G142-1)*100</f>
        <v>49.596273449520758</v>
      </c>
      <c r="M142" s="951"/>
      <c r="N142" s="951"/>
      <c r="O142" s="1363">
        <f>O113/O170</f>
        <v>144.05829659689027</v>
      </c>
      <c r="P142" s="1269">
        <f>(O142/K142-1)*100</f>
        <v>7.3722962021154581</v>
      </c>
      <c r="Q142" s="951"/>
      <c r="R142" s="951"/>
      <c r="S142" s="1363">
        <f>S113/S170</f>
        <v>142.7355207239234</v>
      </c>
      <c r="T142" s="1270">
        <f>(S142/O142-1)*100</f>
        <v>-0.91822262529475118</v>
      </c>
      <c r="U142" s="951"/>
      <c r="V142" s="951"/>
      <c r="W142" s="1364">
        <f>+W122+W132</f>
        <v>29.225999999999999</v>
      </c>
      <c r="X142" s="1270"/>
      <c r="Y142" s="951"/>
      <c r="Z142" s="951"/>
      <c r="AA142" s="951"/>
      <c r="AB142" s="1364">
        <f>+AB122+AB132</f>
        <v>30.741999999999987</v>
      </c>
      <c r="AC142" s="1270">
        <f>(AB142/W142-1)*100</f>
        <v>5.1871621159241377</v>
      </c>
      <c r="AD142" s="951"/>
      <c r="AE142" s="951"/>
      <c r="AF142" s="1364">
        <f>+AF122+AF132</f>
        <v>27.084000000000039</v>
      </c>
      <c r="AG142" s="1270">
        <f>(AF142/AB142-1)*100</f>
        <v>-11.899030642118113</v>
      </c>
      <c r="AH142" s="951"/>
      <c r="AI142" s="951"/>
      <c r="AJ142" s="1364">
        <f>+AJ122+AJ132</f>
        <v>10.13900000000001</v>
      </c>
      <c r="AK142" s="1270">
        <f>(AJ142/AF142-1)*100</f>
        <v>-62.564613794122018</v>
      </c>
      <c r="AL142" s="951"/>
      <c r="AM142" s="951"/>
      <c r="AN142" s="1364">
        <f>+AN122+AN132</f>
        <v>57.897999999999982</v>
      </c>
      <c r="AO142" s="1270">
        <f>(AN142/AJ142-1)*100</f>
        <v>471.04250912318702</v>
      </c>
      <c r="AP142" s="951"/>
      <c r="AQ142" s="951"/>
      <c r="AR142" s="1364">
        <f>+AR122+AR132</f>
        <v>73.320000000000022</v>
      </c>
      <c r="AS142" s="1270">
        <f>(AR142/AN142-1)*100</f>
        <v>26.636498670075028</v>
      </c>
      <c r="AT142" s="951"/>
      <c r="AU142" s="951"/>
      <c r="AV142" s="1364">
        <f>+AV122+AV132</f>
        <v>100.94499999999996</v>
      </c>
      <c r="AW142" s="1271">
        <f>(AV142/AR142-1)*100</f>
        <v>37.677304964538919</v>
      </c>
      <c r="AX142" s="1361"/>
      <c r="AY142" s="951"/>
      <c r="AZ142" s="1365">
        <f>+AZ122+AZ132</f>
        <v>99.425999999999988</v>
      </c>
      <c r="BA142" s="1271">
        <f>(AZ142/AV142-1)*100</f>
        <v>-1.5047798306007998</v>
      </c>
      <c r="BB142" s="1361"/>
      <c r="BC142" s="951"/>
      <c r="BD142" s="1365">
        <f>+BD122+BD132</f>
        <v>42.603999999999999</v>
      </c>
      <c r="BE142" s="1271">
        <f>(BD142/AZ142-1)*100</f>
        <v>-57.150041236698648</v>
      </c>
      <c r="BF142" s="1361"/>
      <c r="BG142" s="1361"/>
      <c r="BH142" s="1365">
        <f>+BH122+BH132</f>
        <v>59.158999999999999</v>
      </c>
      <c r="BI142" s="1271">
        <f>(BH142/BD142-1)*100</f>
        <v>38.857853722655157</v>
      </c>
      <c r="BJ142" s="1361"/>
      <c r="BK142" s="1361"/>
      <c r="BL142" s="1365">
        <f>+BL122+BL132</f>
        <v>33.024000000000001</v>
      </c>
      <c r="BM142" s="1271">
        <f>(BL142/BH142-1)*100</f>
        <v>-44.177555401544986</v>
      </c>
      <c r="BN142" s="1361"/>
      <c r="BO142" s="1361"/>
      <c r="BP142" s="1365">
        <f>+BP122+BP132</f>
        <v>57.950999999999937</v>
      </c>
      <c r="BQ142" s="1271">
        <f>(BP142/BL142-1)*100</f>
        <v>75.481468023255616</v>
      </c>
      <c r="BR142" s="1361"/>
      <c r="BS142" s="1361"/>
      <c r="BT142" s="1365">
        <f>+BT122+BT132</f>
        <v>78.608000000000061</v>
      </c>
      <c r="BU142" s="1271">
        <f>(BT142/BP142-1)*100</f>
        <v>35.645631654328902</v>
      </c>
      <c r="BV142" s="1361"/>
      <c r="BW142" s="1361"/>
      <c r="BX142" s="1365">
        <f>+BX122+BX132</f>
        <v>36.821000000000005</v>
      </c>
      <c r="BY142" s="1271">
        <f>(BX142/BT142-1)*100</f>
        <v>-53.15871158151846</v>
      </c>
      <c r="BZ142" s="1361"/>
      <c r="CA142" s="1361"/>
      <c r="CB142" s="1365">
        <f>+CB122+CB133</f>
        <v>43.102887999999993</v>
      </c>
      <c r="CC142" s="1271">
        <f>(CB142/BX142-1)*100</f>
        <v>17.060612150674849</v>
      </c>
      <c r="CD142" s="1361"/>
      <c r="CE142" s="1361"/>
      <c r="CF142" s="1365">
        <f>+CF122+CF133</f>
        <v>69.265000000000043</v>
      </c>
      <c r="CG142" s="1271">
        <f>(CF142/CB142-1)*100</f>
        <v>60.696888802439531</v>
      </c>
      <c r="CH142" s="1361"/>
      <c r="CI142" s="1361"/>
      <c r="CJ142" s="1365">
        <f>+CJ122+CJ133</f>
        <v>75.760000000000019</v>
      </c>
      <c r="CK142" s="1271">
        <f>(CJ142/CF142-1)*100</f>
        <v>9.3770302461560373</v>
      </c>
      <c r="CL142" s="1361"/>
      <c r="CM142" s="1361"/>
      <c r="CN142" s="1365">
        <f>+CN122+CN133</f>
        <v>65.79800000000003</v>
      </c>
      <c r="CO142" s="1271">
        <f>(CN142/CJ142-1)*100</f>
        <v>-13.14941921858499</v>
      </c>
      <c r="CP142" s="1361"/>
      <c r="CQ142" s="1361"/>
      <c r="CR142" s="1365">
        <f>+CR122+CR133</f>
        <v>74.92400537268388</v>
      </c>
      <c r="CS142" s="1271">
        <f>(CR142/CN142-1)*100</f>
        <v>13.869730649387279</v>
      </c>
      <c r="CT142" s="1361"/>
      <c r="CU142" s="1368"/>
      <c r="CV142" s="1361"/>
      <c r="CW142" s="1368"/>
      <c r="CX142" s="1368"/>
      <c r="CY142" s="1361"/>
      <c r="CZ142" s="1361"/>
      <c r="DA142" s="1361"/>
      <c r="DB142" s="1362"/>
      <c r="DC142" s="951"/>
      <c r="DD142" s="951"/>
      <c r="DE142" s="951"/>
      <c r="DF142" s="951"/>
      <c r="DG142" s="951"/>
      <c r="DH142" s="951"/>
      <c r="DI142" s="951"/>
      <c r="DJ142" s="951"/>
      <c r="DK142" s="951"/>
      <c r="DL142" s="951"/>
      <c r="DM142" s="951"/>
      <c r="DN142" s="951"/>
      <c r="DO142" s="951"/>
      <c r="DP142" s="951"/>
      <c r="DQ142" s="951"/>
      <c r="DR142" s="951"/>
      <c r="DS142" s="951"/>
      <c r="DT142" s="951"/>
      <c r="DU142" s="951"/>
      <c r="DV142" s="951"/>
      <c r="DW142" s="951"/>
      <c r="DX142" s="951"/>
      <c r="DY142" s="951"/>
    </row>
    <row r="143" spans="1:129" ht="12.75" outlineLevel="1">
      <c r="A143" s="1167" t="s">
        <v>737</v>
      </c>
      <c r="B143" s="951"/>
      <c r="C143" s="1366">
        <f>C114/C171</f>
        <v>-126.48280981682871</v>
      </c>
      <c r="D143" s="1269"/>
      <c r="E143" s="951"/>
      <c r="F143" s="951"/>
      <c r="G143" s="1366">
        <f>G114/G171</f>
        <v>88.819957594936838</v>
      </c>
      <c r="H143" s="1269">
        <f>(G143/C143-1)*100</f>
        <v>-170.22294786427113</v>
      </c>
      <c r="I143" s="951"/>
      <c r="J143" s="951"/>
      <c r="K143" s="1366">
        <f>K114/K171</f>
        <v>132.75312359241431</v>
      </c>
      <c r="L143" s="1269">
        <f>(K143/G143-1)*100</f>
        <v>49.463169300118956</v>
      </c>
      <c r="M143" s="951"/>
      <c r="N143" s="951"/>
      <c r="O143" s="1366">
        <f>O114/O171</f>
        <v>141.03432987176171</v>
      </c>
      <c r="P143" s="1269">
        <f>(O143/K143-1)*100</f>
        <v>6.2380500399921379</v>
      </c>
      <c r="Q143" s="951"/>
      <c r="R143" s="951"/>
      <c r="S143" s="1366">
        <f>S114/S171</f>
        <v>142.00180086035732</v>
      </c>
      <c r="T143" s="1270">
        <f>(S143/O143-1)*100</f>
        <v>0.68598261818615391</v>
      </c>
      <c r="U143" s="951"/>
      <c r="V143" s="951"/>
      <c r="W143" s="1367">
        <f>+W123+W133</f>
        <v>49.14699999999997</v>
      </c>
      <c r="X143" s="1270"/>
      <c r="Y143" s="951"/>
      <c r="Z143" s="951"/>
      <c r="AA143" s="951"/>
      <c r="AB143" s="1367">
        <f>+AB123+AB133</f>
        <v>43.902000000000029</v>
      </c>
      <c r="AC143" s="1270">
        <f>(AB143/W143-1)*100</f>
        <v>-10.672065436343914</v>
      </c>
      <c r="AD143" s="951"/>
      <c r="AE143" s="951"/>
      <c r="AF143" s="1367">
        <f>+AF123+AF133</f>
        <v>38.875999999999948</v>
      </c>
      <c r="AG143" s="1270">
        <f>(AF143/AB143-1)*100</f>
        <v>-11.448225593367223</v>
      </c>
      <c r="AH143" s="951"/>
      <c r="AI143" s="951"/>
      <c r="AJ143" s="1367">
        <f>+AJ123+AJ133</f>
        <v>34.993999999999971</v>
      </c>
      <c r="AK143" s="1270">
        <f>(AJ143/AF143-1)*100</f>
        <v>-9.9855952258462324</v>
      </c>
      <c r="AL143" s="951"/>
      <c r="AM143" s="951"/>
      <c r="AN143" s="1367">
        <f>+AN123+AN133</f>
        <v>100.917</v>
      </c>
      <c r="AO143" s="1270">
        <f>(AN143/AJ143-1)*100</f>
        <v>188.38372292393007</v>
      </c>
      <c r="AP143" s="951"/>
      <c r="AQ143" s="951"/>
      <c r="AR143" s="1367">
        <f>+AR123+AR133</f>
        <v>107.54100000000007</v>
      </c>
      <c r="AS143" s="1270">
        <f>(AR143/AN143-1)*100</f>
        <v>6.5638098635512954</v>
      </c>
      <c r="AT143" s="1232"/>
      <c r="AU143" s="951"/>
      <c r="AV143" s="1367">
        <f>+AV123+AV133</f>
        <v>150.15900000000002</v>
      </c>
      <c r="AW143" s="1271">
        <f>(AV143/AR143-1)*100</f>
        <v>39.629536641838861</v>
      </c>
      <c r="AX143" s="1368"/>
      <c r="AY143" s="951"/>
      <c r="AZ143" s="1369">
        <f>+AZ123+AZ133</f>
        <v>140.47899999999993</v>
      </c>
      <c r="BA143" s="1271">
        <f>(AZ143/AV143-1)*100</f>
        <v>-6.4465000432875064</v>
      </c>
      <c r="BB143" s="1368"/>
      <c r="BC143" s="951"/>
      <c r="BD143" s="1369">
        <f>+BD123+BD133</f>
        <v>32.731000000000002</v>
      </c>
      <c r="BE143" s="1271">
        <f>(BD143/AZ143-1)*100</f>
        <v>-76.700432093053038</v>
      </c>
      <c r="BF143" s="1368"/>
      <c r="BG143" s="1368"/>
      <c r="BH143" s="1369">
        <f>+BH123+BH133</f>
        <v>59.323999999999998</v>
      </c>
      <c r="BI143" s="1271">
        <f>(BH143/BD143-1)*100</f>
        <v>81.247135742873724</v>
      </c>
      <c r="BJ143" s="1368"/>
      <c r="BK143" s="1368"/>
      <c r="BL143" s="1369">
        <f>+BL123+BL133</f>
        <v>92.519599999999997</v>
      </c>
      <c r="BM143" s="1271">
        <f>(BL143/BH143-1)*100</f>
        <v>55.956442586474274</v>
      </c>
      <c r="BN143" s="1368"/>
      <c r="BO143" s="1368"/>
      <c r="BP143" s="1369">
        <f>+BP123+BP133</f>
        <v>58.498760000000097</v>
      </c>
      <c r="BQ143" s="1271">
        <f>(BP143/BL143-1)*100</f>
        <v>-36.771494904863303</v>
      </c>
      <c r="BR143" s="1368"/>
      <c r="BS143" s="1368"/>
      <c r="BT143" s="1369">
        <f>+BT123+BT133</f>
        <v>110.58200000000015</v>
      </c>
      <c r="BU143" s="1271">
        <f>(BT143/BP143-1)*100</f>
        <v>89.033066683806567</v>
      </c>
      <c r="BV143" s="1368"/>
      <c r="BW143" s="1368"/>
      <c r="BX143" s="1369">
        <f>+BX123+BX133</f>
        <v>53.029000000000039</v>
      </c>
      <c r="BY143" s="1271">
        <f>(BX143/BT143-1)*100</f>
        <v>-52.045540865602021</v>
      </c>
      <c r="BZ143" s="1368"/>
      <c r="CA143" s="1368"/>
      <c r="CB143" s="1369">
        <f>+CB123+CB133</f>
        <v>70.074000000000069</v>
      </c>
      <c r="CC143" s="1271">
        <f>(CB143/BX143-1)*100</f>
        <v>32.14278979426355</v>
      </c>
      <c r="CD143" s="1368"/>
      <c r="CE143" s="1368"/>
      <c r="CF143" s="1369">
        <f>+CF123+CF133</f>
        <v>81.706000000000017</v>
      </c>
      <c r="CG143" s="1271">
        <f>(CF143/CB143-1)*100</f>
        <v>16.599594714159217</v>
      </c>
      <c r="CH143" s="1368"/>
      <c r="CI143" s="1368"/>
      <c r="CJ143" s="1369">
        <f>+CJ123+CJ133</f>
        <v>72.698000000000064</v>
      </c>
      <c r="CK143" s="1271">
        <f>(CJ143/CF143-1)*100</f>
        <v>-11.024894132621776</v>
      </c>
      <c r="CL143" s="1368"/>
      <c r="CM143" s="1368"/>
      <c r="CN143" s="1369">
        <f>+CN123+CN133</f>
        <v>79.242999999999967</v>
      </c>
      <c r="CO143" s="1271">
        <f>(CN143/CJ143-1)*100</f>
        <v>9.0029987069794259</v>
      </c>
      <c r="CP143" s="1368"/>
      <c r="CQ143" s="1368"/>
      <c r="CR143" s="1369">
        <f>+CR123+CR133</f>
        <v>72.099225778007053</v>
      </c>
      <c r="CS143" s="1271">
        <f>(CR143/CN143-1)*100</f>
        <v>-9.0150224272086081</v>
      </c>
      <c r="CT143" s="1368"/>
      <c r="CU143" s="1361"/>
      <c r="CV143" s="1368"/>
      <c r="CW143" s="1361"/>
      <c r="CX143" s="1361"/>
      <c r="CY143" s="1368"/>
      <c r="CZ143" s="1368"/>
      <c r="DA143" s="1368"/>
      <c r="DB143" s="1370"/>
      <c r="DC143" s="951"/>
      <c r="DD143" s="951"/>
      <c r="DE143" s="951"/>
      <c r="DF143" s="951"/>
      <c r="DG143" s="951"/>
      <c r="DH143" s="951"/>
      <c r="DI143" s="951"/>
      <c r="DJ143" s="951"/>
      <c r="DK143" s="951"/>
      <c r="DL143" s="951"/>
      <c r="DM143" s="951"/>
      <c r="DN143" s="951"/>
      <c r="DO143" s="951"/>
      <c r="DP143" s="951"/>
      <c r="DQ143" s="951"/>
      <c r="DR143" s="951"/>
      <c r="DS143" s="951"/>
      <c r="DT143" s="951"/>
      <c r="DU143" s="951"/>
      <c r="DV143" s="951"/>
      <c r="DW143" s="951"/>
      <c r="DX143" s="951"/>
      <c r="DY143" s="951"/>
    </row>
    <row r="144" spans="1:129" ht="12.75" outlineLevel="1">
      <c r="A144" s="1167" t="s">
        <v>762</v>
      </c>
      <c r="B144" s="951"/>
      <c r="C144" s="1359">
        <f>C115/C172</f>
        <v>135.1605673371873</v>
      </c>
      <c r="D144" s="1269"/>
      <c r="E144" s="951"/>
      <c r="F144" s="951"/>
      <c r="G144" s="1359">
        <f>G115/G172</f>
        <v>86.920349716446168</v>
      </c>
      <c r="H144" s="1269">
        <f>(G144/C144-1)*100</f>
        <v>-35.691044045705631</v>
      </c>
      <c r="I144" s="951"/>
      <c r="J144" s="951"/>
      <c r="K144" s="1359">
        <f>K115/K172</f>
        <v>126.62761169974186</v>
      </c>
      <c r="L144" s="1269">
        <f>(K144/G144-1)*100</f>
        <v>45.682354147020533</v>
      </c>
      <c r="M144" s="951"/>
      <c r="N144" s="951"/>
      <c r="O144" s="1359">
        <f>SUM(O140:O143)</f>
        <v>562.51821367311118</v>
      </c>
      <c r="P144" s="1269">
        <f>(O144/K144-1)*100</f>
        <v>344.23029552744691</v>
      </c>
      <c r="Q144" s="951"/>
      <c r="R144" s="951"/>
      <c r="S144" s="1359">
        <f>S115/S172</f>
        <v>141.47350616417464</v>
      </c>
      <c r="T144" s="1270">
        <f>(S144/O144-1)*100</f>
        <v>-74.849968814274291</v>
      </c>
      <c r="U144" s="951"/>
      <c r="V144" s="951"/>
      <c r="W144" s="1222">
        <f>SUM(W140:W143)</f>
        <v>93.757999999999981</v>
      </c>
      <c r="X144" s="1270"/>
      <c r="Y144" s="951"/>
      <c r="Z144" s="951"/>
      <c r="AA144" s="951"/>
      <c r="AB144" s="1222">
        <f>SUM(AB140:AB143)</f>
        <v>105.49500000000003</v>
      </c>
      <c r="AC144" s="1270">
        <f>(AB144/W144-1)*100</f>
        <v>12.518398430000687</v>
      </c>
      <c r="AD144" s="951"/>
      <c r="AE144" s="951"/>
      <c r="AF144" s="1222">
        <f>SUM(AF140:AF143)</f>
        <v>88.734999999999971</v>
      </c>
      <c r="AG144" s="1270">
        <f>(AF144/AB144-1)*100</f>
        <v>-15.887008862979346</v>
      </c>
      <c r="AH144" s="951"/>
      <c r="AI144" s="951"/>
      <c r="AJ144" s="1222">
        <f>SUM(AJ140:AJ143)</f>
        <v>59.639999999999986</v>
      </c>
      <c r="AK144" s="1270">
        <f>(AJ144/AF144-1)*100</f>
        <v>-32.788640333577504</v>
      </c>
      <c r="AL144" s="951"/>
      <c r="AM144" s="951"/>
      <c r="AN144" s="1222">
        <f>SUM(AN140:AN143)</f>
        <v>213.441</v>
      </c>
      <c r="AO144" s="1270">
        <f>(AN144/AJ144-1)*100</f>
        <v>257.88229376257556</v>
      </c>
      <c r="AP144" s="951"/>
      <c r="AQ144" s="951"/>
      <c r="AR144" s="1222">
        <f>SUM(AR140:AR143)</f>
        <v>294.15300000000013</v>
      </c>
      <c r="AS144" s="1270">
        <f>(AR144/AN144-1)*100</f>
        <v>37.814665411050427</v>
      </c>
      <c r="AT144" s="1232"/>
      <c r="AU144" s="951"/>
      <c r="AV144" s="1222">
        <f>SUM(AV140:AV143)</f>
        <v>387.35899999999998</v>
      </c>
      <c r="AW144" s="1271">
        <f>(AV144/AR144-1)*100</f>
        <v>31.686231314995862</v>
      </c>
      <c r="AX144" s="1361"/>
      <c r="AY144" s="951"/>
      <c r="AZ144" s="1201">
        <f>SUM(AZ140:AZ143)</f>
        <v>400.01899999999978</v>
      </c>
      <c r="BA144" s="1271">
        <f>(AZ144/AV144-1)*100</f>
        <v>3.2682860085863075</v>
      </c>
      <c r="BB144" s="1361"/>
      <c r="BC144" s="951"/>
      <c r="BD144" s="1201">
        <f>SUM(BD140:BD143)</f>
        <v>179.06100000000009</v>
      </c>
      <c r="BE144" s="1271">
        <f>(BD144/AZ144-1)*100</f>
        <v>-55.236876248378152</v>
      </c>
      <c r="BF144" s="1361"/>
      <c r="BG144" s="1361"/>
      <c r="BH144" s="1201">
        <f>SUM(BH140:BH143)</f>
        <v>169.02199999999999</v>
      </c>
      <c r="BI144" s="1271">
        <f>(BH144/BD144-1)*100</f>
        <v>-5.606469303756878</v>
      </c>
      <c r="BJ144" s="1361"/>
      <c r="BK144" s="1361"/>
      <c r="BL144" s="1201">
        <f>SUM(BL140:BL143)</f>
        <v>148.27660000000003</v>
      </c>
      <c r="BM144" s="1271">
        <f>(BL144/BH144-1)*100</f>
        <v>-12.273786844316103</v>
      </c>
      <c r="BN144" s="1361"/>
      <c r="BO144" s="1361"/>
      <c r="BP144" s="1201">
        <f>SUM(BP140:BP143)</f>
        <v>173.41276000000011</v>
      </c>
      <c r="BQ144" s="1271">
        <f>(BP144/BL144-1)*100</f>
        <v>16.952209586677913</v>
      </c>
      <c r="BR144" s="1361"/>
      <c r="BS144" s="1361"/>
      <c r="BT144" s="1201">
        <f>SUM(BT140:BT143)</f>
        <v>251.03600000000029</v>
      </c>
      <c r="BU144" s="1271">
        <f>(BT144/BP144-1)*100</f>
        <v>44.762127077615354</v>
      </c>
      <c r="BV144" s="1361"/>
      <c r="BW144" s="1361"/>
      <c r="BX144" s="1201">
        <f>SUM(BX140:BX143)</f>
        <v>144.58800000000002</v>
      </c>
      <c r="BY144" s="1271">
        <f>(BX144/BT144-1)*100</f>
        <v>-42.403479978967219</v>
      </c>
      <c r="BZ144" s="1361"/>
      <c r="CA144" s="1361"/>
      <c r="CB144" s="1201">
        <f>SUM(CB140:CB143)</f>
        <v>122.85588800000012</v>
      </c>
      <c r="CC144" s="1271">
        <f>(CB144/BX144-1)*100</f>
        <v>-15.030370431847661</v>
      </c>
      <c r="CD144" s="1361"/>
      <c r="CE144" s="1361"/>
      <c r="CF144" s="1201">
        <f>SUM(CF140:CF143)</f>
        <v>213.29100000000003</v>
      </c>
      <c r="CG144" s="1271">
        <f>(CF144/CB144-1)*100</f>
        <v>73.610726740259949</v>
      </c>
      <c r="CH144" s="1361"/>
      <c r="CI144" s="1361"/>
      <c r="CJ144" s="1201">
        <f>SUM(CJ140:CJ143)</f>
        <v>230.52600000000015</v>
      </c>
      <c r="CK144" s="1271">
        <f>(CJ144/CF144-1)*100</f>
        <v>8.0805097261488434</v>
      </c>
      <c r="CL144" s="1361"/>
      <c r="CM144" s="1361"/>
      <c r="CN144" s="1201">
        <f>SUM(CN140:CN143)</f>
        <v>208.25689999999992</v>
      </c>
      <c r="CO144" s="1271">
        <f>(CN144/CJ144-1)*100</f>
        <v>-9.6601251051943056</v>
      </c>
      <c r="CP144" s="1361"/>
      <c r="CQ144" s="1361"/>
      <c r="CR144" s="1201">
        <f>SUM(CR140:CR143)</f>
        <v>241.48208877209174</v>
      </c>
      <c r="CS144" s="1271">
        <f>(CR144/CN144-1)*100</f>
        <v>15.953943793503033</v>
      </c>
      <c r="CT144" s="1361"/>
      <c r="CU144" s="1306"/>
      <c r="CV144" s="1361"/>
      <c r="CW144" s="1158"/>
      <c r="CX144" s="1158"/>
      <c r="CY144" s="1361"/>
      <c r="CZ144" s="1361"/>
      <c r="DA144" s="1361"/>
      <c r="DB144" s="1370"/>
      <c r="DC144" s="951"/>
      <c r="DD144" s="951"/>
      <c r="DE144" s="951"/>
      <c r="DF144" s="951"/>
      <c r="DG144" s="951"/>
      <c r="DH144" s="951"/>
      <c r="DI144" s="951"/>
      <c r="DJ144" s="951"/>
      <c r="DK144" s="951"/>
      <c r="DL144" s="951"/>
      <c r="DM144" s="951"/>
      <c r="DN144" s="951"/>
      <c r="DO144" s="951"/>
      <c r="DP144" s="951"/>
      <c r="DQ144" s="951"/>
      <c r="DR144" s="951"/>
      <c r="DS144" s="951"/>
      <c r="DT144" s="951"/>
      <c r="DU144" s="951"/>
      <c r="DV144" s="951"/>
      <c r="DW144" s="951"/>
      <c r="DX144" s="951"/>
      <c r="DY144" s="951"/>
    </row>
    <row r="145" spans="1:129" ht="12.75" outlineLevel="1">
      <c r="A145" s="1167"/>
      <c r="B145" s="951"/>
      <c r="C145" s="1226"/>
      <c r="D145" s="951"/>
      <c r="E145" s="951"/>
      <c r="F145" s="951"/>
      <c r="G145" s="1226"/>
      <c r="H145" s="951"/>
      <c r="I145" s="951"/>
      <c r="J145" s="951"/>
      <c r="K145" s="1226"/>
      <c r="L145" s="951"/>
      <c r="M145" s="951"/>
      <c r="N145" s="951"/>
      <c r="O145" s="1226"/>
      <c r="P145" s="1226"/>
      <c r="Q145" s="951"/>
      <c r="R145" s="951"/>
      <c r="S145" s="1247"/>
      <c r="T145" s="1012"/>
      <c r="U145" s="1012"/>
      <c r="V145" s="1012"/>
      <c r="W145" s="1247"/>
      <c r="X145" s="1012"/>
      <c r="Y145" s="1012"/>
      <c r="Z145" s="1012"/>
      <c r="AA145" s="1012"/>
      <c r="AB145" s="1247"/>
      <c r="AC145" s="951"/>
      <c r="AD145" s="951"/>
      <c r="AE145" s="951"/>
      <c r="AF145" s="1247"/>
      <c r="AG145" s="1012"/>
      <c r="AH145" s="1012"/>
      <c r="AI145" s="951"/>
      <c r="AJ145" s="1247"/>
      <c r="AK145" s="1012"/>
      <c r="AL145" s="1012"/>
      <c r="AM145" s="951"/>
      <c r="AN145" s="1226"/>
      <c r="AO145" s="951"/>
      <c r="AP145" s="951"/>
      <c r="AQ145" s="951"/>
      <c r="AR145" s="1226"/>
      <c r="AS145" s="951"/>
      <c r="AT145" s="951"/>
      <c r="AU145" s="951"/>
      <c r="AV145" s="1166"/>
      <c r="AW145" s="1158"/>
      <c r="AX145" s="1158"/>
      <c r="AY145" s="951"/>
      <c r="AZ145" s="1166"/>
      <c r="BA145" s="1158"/>
      <c r="BB145" s="1158"/>
      <c r="BC145" s="951"/>
      <c r="BD145" s="1166"/>
      <c r="BE145" s="1158"/>
      <c r="BF145" s="1158"/>
      <c r="BG145" s="1158"/>
      <c r="BH145" s="1166"/>
      <c r="BI145" s="1158"/>
      <c r="BJ145" s="1158"/>
      <c r="BK145" s="1158"/>
      <c r="BL145" s="1166"/>
      <c r="BM145" s="1158"/>
      <c r="BN145" s="1158"/>
      <c r="BO145" s="1158"/>
      <c r="BP145" s="1166"/>
      <c r="BQ145" s="1158"/>
      <c r="BR145" s="1158"/>
      <c r="BS145" s="1158"/>
      <c r="BT145" s="1166"/>
      <c r="BU145" s="1158"/>
      <c r="BV145" s="1158"/>
      <c r="BW145" s="1158"/>
      <c r="BX145" s="1158"/>
      <c r="BY145" s="1158"/>
      <c r="BZ145" s="1158"/>
      <c r="CA145" s="1158"/>
      <c r="CB145" s="1158"/>
      <c r="CC145" s="1158"/>
      <c r="CD145" s="1158"/>
      <c r="CE145" s="1158"/>
      <c r="CF145" s="1166"/>
      <c r="CG145" s="1158"/>
      <c r="CH145" s="1158"/>
      <c r="CI145" s="1158"/>
      <c r="CJ145" s="1158"/>
      <c r="CK145" s="1158"/>
      <c r="CL145" s="1158"/>
      <c r="CM145" s="1158"/>
      <c r="CN145" s="1158"/>
      <c r="CO145" s="1158"/>
      <c r="CP145" s="1158"/>
      <c r="CQ145" s="1158"/>
      <c r="CR145" s="1158"/>
      <c r="CS145" s="1158"/>
      <c r="CT145" s="1158"/>
      <c r="CU145" s="1158"/>
      <c r="CV145" s="1158"/>
      <c r="CW145" s="1158"/>
      <c r="CX145" s="1158"/>
      <c r="CY145" s="1158"/>
      <c r="CZ145" s="1158"/>
      <c r="DA145" s="1158"/>
      <c r="DB145" s="951"/>
      <c r="DC145" s="951"/>
      <c r="DD145" s="951"/>
      <c r="DE145" s="951"/>
      <c r="DF145" s="951"/>
      <c r="DG145" s="951"/>
      <c r="DH145" s="951"/>
      <c r="DI145" s="951"/>
      <c r="DJ145" s="951"/>
      <c r="DK145" s="951"/>
      <c r="DL145" s="951"/>
      <c r="DM145" s="951"/>
      <c r="DN145" s="951"/>
      <c r="DO145" s="951"/>
      <c r="DP145" s="951"/>
      <c r="DQ145" s="951"/>
      <c r="DR145" s="951"/>
      <c r="DS145" s="951"/>
      <c r="DT145" s="951"/>
      <c r="DU145" s="951"/>
      <c r="DV145" s="951"/>
      <c r="DW145" s="951"/>
      <c r="DX145" s="951"/>
      <c r="DY145" s="951"/>
    </row>
    <row r="146" spans="1:129" ht="12.75">
      <c r="A146" s="1371"/>
      <c r="B146" s="1158"/>
      <c r="C146" s="1158"/>
      <c r="D146" s="1158"/>
      <c r="E146" s="1158"/>
      <c r="F146" s="1158"/>
      <c r="G146" s="1158"/>
      <c r="H146" s="1158"/>
      <c r="I146" s="1158"/>
      <c r="J146" s="1158"/>
      <c r="K146" s="1158"/>
      <c r="L146" s="1158"/>
      <c r="M146" s="1158"/>
      <c r="N146" s="1158"/>
      <c r="O146" s="1158"/>
      <c r="P146" s="1158"/>
      <c r="Q146" s="1158"/>
      <c r="R146" s="1158"/>
      <c r="S146" s="1158"/>
      <c r="T146" s="1158"/>
      <c r="U146" s="1158"/>
      <c r="V146" s="1158"/>
      <c r="W146" s="1158"/>
      <c r="X146" s="1158"/>
      <c r="Y146" s="1158"/>
      <c r="Z146" s="1158"/>
      <c r="AA146" s="1158"/>
      <c r="AB146" s="1158"/>
      <c r="AC146" s="1158"/>
      <c r="AD146" s="1158"/>
      <c r="AE146" s="1158"/>
      <c r="AF146" s="1158"/>
      <c r="AG146" s="1158"/>
      <c r="AH146" s="1158"/>
      <c r="AI146" s="1158"/>
      <c r="AJ146" s="1158"/>
      <c r="AK146" s="1158"/>
      <c r="AL146" s="1158"/>
      <c r="AM146" s="1158"/>
      <c r="AN146" s="1158"/>
      <c r="AO146" s="1158"/>
      <c r="AP146" s="1158"/>
      <c r="AQ146" s="1158"/>
      <c r="AR146" s="1158"/>
      <c r="AS146" s="1158"/>
      <c r="AT146" s="1158"/>
      <c r="AU146" s="1158"/>
      <c r="AV146" s="1158"/>
      <c r="AW146" s="1158"/>
      <c r="AX146" s="1158"/>
      <c r="AY146" s="1158"/>
      <c r="AZ146" s="1158"/>
      <c r="BA146" s="1158"/>
      <c r="BB146" s="1158"/>
      <c r="BC146" s="1158"/>
      <c r="BD146" s="1158"/>
      <c r="BE146" s="1158"/>
      <c r="BF146" s="1158"/>
      <c r="BG146" s="1158"/>
      <c r="BH146" s="1158"/>
      <c r="BI146" s="1158"/>
      <c r="BJ146" s="1158"/>
      <c r="BK146" s="1158"/>
      <c r="BL146" s="1158"/>
      <c r="BM146" s="1158"/>
      <c r="BN146" s="1158"/>
      <c r="BO146" s="1158"/>
      <c r="BP146" s="1158"/>
      <c r="BQ146" s="1158"/>
      <c r="BR146" s="1158"/>
      <c r="BS146" s="1158"/>
      <c r="BT146" s="1158"/>
      <c r="BU146" s="1158"/>
      <c r="BV146" s="1158"/>
      <c r="BW146" s="1158"/>
      <c r="BX146" s="1158"/>
      <c r="BY146" s="1158"/>
      <c r="BZ146" s="1158"/>
      <c r="CA146" s="1158"/>
      <c r="CB146" s="1158"/>
      <c r="CC146" s="1158"/>
      <c r="CD146" s="1158"/>
      <c r="CE146" s="1158"/>
      <c r="CF146" s="1158"/>
      <c r="CG146" s="1158"/>
      <c r="CH146" s="1158"/>
      <c r="CI146" s="1158"/>
      <c r="CJ146" s="1158"/>
      <c r="CK146" s="1158"/>
      <c r="CL146" s="1158"/>
      <c r="CM146" s="1158"/>
      <c r="CN146" s="1158"/>
      <c r="CO146" s="1158"/>
      <c r="CP146" s="1158"/>
      <c r="CQ146" s="1158"/>
      <c r="CR146" s="1158"/>
      <c r="CS146" s="1158"/>
      <c r="CT146" s="1158"/>
      <c r="CU146" s="1185"/>
      <c r="CV146" s="1158"/>
      <c r="CW146" s="1185"/>
      <c r="CX146" s="1185"/>
      <c r="CY146" s="1158"/>
      <c r="CZ146" s="1158"/>
      <c r="DA146" s="1158"/>
      <c r="DB146" s="1158"/>
      <c r="DC146" s="1158"/>
      <c r="DD146" s="1158"/>
      <c r="DE146" s="1158"/>
      <c r="DF146" s="1158"/>
      <c r="DG146" s="1158"/>
      <c r="DH146" s="1158"/>
      <c r="DI146" s="1158"/>
      <c r="DJ146" s="1158"/>
      <c r="DK146" s="1158"/>
      <c r="DL146" s="1158"/>
      <c r="DM146" s="1158"/>
      <c r="DN146" s="1158"/>
      <c r="DO146" s="1158"/>
      <c r="DP146" s="1158"/>
      <c r="DQ146" s="1158"/>
      <c r="DR146" s="1158"/>
      <c r="DS146" s="1158"/>
      <c r="DT146" s="1158"/>
      <c r="DU146" s="1158"/>
      <c r="DV146" s="1158"/>
      <c r="DW146" s="1158"/>
      <c r="DX146" s="1158"/>
      <c r="DY146" s="1158"/>
    </row>
    <row r="147" spans="1:129" ht="12.75">
      <c r="A147" s="45"/>
      <c r="B147" s="1181"/>
      <c r="C147" s="1181"/>
      <c r="D147" s="1181"/>
      <c r="E147" s="1181"/>
      <c r="F147" s="1181"/>
      <c r="G147" s="45"/>
      <c r="H147" s="1182"/>
      <c r="I147" s="1182"/>
      <c r="J147" s="1182"/>
      <c r="K147" s="1182"/>
      <c r="L147" s="1182"/>
      <c r="M147" s="1182"/>
      <c r="N147" s="1182"/>
      <c r="O147" s="1182"/>
      <c r="P147" s="1182"/>
      <c r="Q147" s="45"/>
      <c r="R147" s="1182"/>
      <c r="S147" s="45"/>
      <c r="T147" s="1182"/>
      <c r="U147" s="1182"/>
      <c r="V147" s="1182"/>
      <c r="W147" s="45"/>
      <c r="X147" s="1183"/>
      <c r="Y147" s="1183"/>
      <c r="Z147" s="1183"/>
      <c r="AA147" s="1183"/>
      <c r="AB147" s="1182"/>
      <c r="AC147" s="1183"/>
      <c r="AD147" s="1183"/>
      <c r="AE147" s="1183"/>
      <c r="AF147" s="1182"/>
      <c r="AG147" s="1183"/>
      <c r="AH147" s="1183"/>
      <c r="AI147" s="1183"/>
      <c r="AJ147" s="1183"/>
      <c r="AK147" s="1183"/>
      <c r="AL147" s="1183"/>
      <c r="AM147" s="1183"/>
      <c r="AN147" s="1183"/>
      <c r="AO147" s="1183"/>
      <c r="AP147" s="1183"/>
      <c r="AQ147" s="1183"/>
      <c r="AR147" s="1184"/>
      <c r="AS147" s="1183"/>
      <c r="AT147" s="1183"/>
      <c r="AU147" s="1183"/>
      <c r="AW147" s="1185"/>
      <c r="AX147" s="1185"/>
      <c r="AY147" s="1183"/>
      <c r="AZ147" s="1186"/>
      <c r="BA147" s="1185"/>
      <c r="BB147" s="1185"/>
      <c r="BC147" s="1183"/>
      <c r="BD147" s="1186"/>
      <c r="BE147" s="1185"/>
      <c r="BF147" s="1185"/>
      <c r="BG147" s="1185"/>
      <c r="BH147" s="1186"/>
      <c r="BI147" s="1185"/>
      <c r="BJ147" s="1185"/>
      <c r="BK147" s="1185"/>
      <c r="BL147" s="1186"/>
      <c r="BM147" s="1185"/>
      <c r="BN147" s="1185"/>
      <c r="BO147" s="1185"/>
      <c r="BP147" s="1186"/>
      <c r="BQ147" s="1185"/>
      <c r="BR147" s="1185"/>
      <c r="BS147" s="1185"/>
      <c r="BT147" s="1182" t="s">
        <v>483</v>
      </c>
      <c r="BU147" s="1185"/>
      <c r="BV147" s="1185"/>
      <c r="BW147" s="1185"/>
      <c r="BX147" s="1185"/>
      <c r="BY147" s="1185"/>
      <c r="BZ147" s="1185"/>
      <c r="CA147" s="1187"/>
      <c r="CB147" s="1185"/>
      <c r="CC147" s="1185"/>
      <c r="CD147" s="1185"/>
      <c r="CE147" s="1187"/>
      <c r="CF147" s="1185"/>
      <c r="CG147" s="1182" t="s">
        <v>483</v>
      </c>
      <c r="CH147" s="1185"/>
      <c r="CI147" s="1187"/>
      <c r="CJ147" s="1185"/>
      <c r="CK147" s="1185"/>
      <c r="CL147" s="1185"/>
      <c r="CM147" s="1187"/>
      <c r="CN147" s="1185"/>
      <c r="CO147" s="1185"/>
      <c r="CP147" s="1185"/>
      <c r="CQ147" s="1185"/>
      <c r="CR147" s="1185"/>
      <c r="CS147" s="1185"/>
      <c r="CT147" s="1185"/>
      <c r="CU147" s="1358"/>
      <c r="CV147" s="1185"/>
      <c r="CW147" s="1358"/>
      <c r="CX147" s="1358"/>
      <c r="CY147" s="1185"/>
      <c r="CZ147" s="1185"/>
      <c r="DA147" s="1185"/>
      <c r="DB147" s="1352"/>
      <c r="DC147" s="1372"/>
      <c r="DD147" s="1352"/>
      <c r="DE147" s="1372"/>
      <c r="DF147" s="1352"/>
      <c r="DG147" s="1372"/>
      <c r="DH147" s="179"/>
      <c r="DI147" s="179"/>
      <c r="DJ147" s="179"/>
      <c r="DK147" s="179"/>
      <c r="DL147" s="179"/>
      <c r="DM147" s="179"/>
      <c r="DN147" s="179"/>
      <c r="DO147" s="179"/>
      <c r="DP147" s="179"/>
      <c r="DQ147" s="179"/>
      <c r="DR147" s="179"/>
      <c r="DS147" s="179"/>
      <c r="DT147" s="179"/>
      <c r="DU147" s="179"/>
      <c r="DV147" s="179"/>
      <c r="DW147" s="179"/>
      <c r="DX147" s="179"/>
      <c r="DY147" s="179"/>
    </row>
    <row r="148" spans="1:129" ht="12.75">
      <c r="A148" s="45"/>
      <c r="B148" s="1183"/>
      <c r="C148" s="1183"/>
      <c r="D148" s="1183"/>
      <c r="E148" s="1183"/>
      <c r="F148" s="1183"/>
      <c r="G148" s="1183"/>
      <c r="H148" s="1183"/>
      <c r="I148" s="1183"/>
      <c r="J148" s="1183"/>
      <c r="K148" s="1183"/>
      <c r="L148" s="1183"/>
      <c r="M148" s="1183"/>
      <c r="N148" s="45"/>
      <c r="O148" s="1183"/>
      <c r="P148" s="1183"/>
      <c r="Q148" s="1183"/>
      <c r="R148" s="45"/>
      <c r="S148" s="1183"/>
      <c r="T148" s="1183"/>
      <c r="U148" s="1183"/>
      <c r="V148" s="45"/>
      <c r="W148" s="1183"/>
      <c r="X148" s="1183"/>
      <c r="Y148" s="1183"/>
      <c r="Z148" s="1183"/>
      <c r="AA148" s="45"/>
      <c r="AB148" s="1183"/>
      <c r="AC148" s="1183"/>
      <c r="AD148" s="1183"/>
      <c r="AE148" s="45"/>
      <c r="AF148" s="1183"/>
      <c r="AG148" s="1183"/>
      <c r="AH148" s="1183"/>
      <c r="AI148" s="45"/>
      <c r="AJ148" s="1183"/>
      <c r="AK148" s="1183"/>
      <c r="AL148" s="1183"/>
      <c r="AM148" s="45"/>
      <c r="AN148" s="1183"/>
      <c r="AO148" s="1183"/>
      <c r="AP148" s="1183"/>
      <c r="AQ148" s="45"/>
      <c r="AR148" s="1183"/>
      <c r="AS148" s="1183"/>
      <c r="AT148" s="1183"/>
      <c r="AU148" s="45"/>
      <c r="AV148" s="1185"/>
      <c r="AW148" s="1185"/>
      <c r="AX148" s="1358"/>
      <c r="AY148" s="45"/>
      <c r="AZ148" s="1185"/>
      <c r="BA148" s="1185"/>
      <c r="BB148" s="1358"/>
      <c r="BC148" s="45"/>
      <c r="BD148" s="1312"/>
      <c r="BE148" s="1185"/>
      <c r="BF148" s="1358"/>
      <c r="BG148" s="1358"/>
      <c r="BH148" s="1312"/>
      <c r="BI148" s="1185"/>
      <c r="BJ148" s="1358"/>
      <c r="BK148" s="1358"/>
      <c r="BL148" s="1312"/>
      <c r="BM148" s="1185"/>
      <c r="BN148" s="1358"/>
      <c r="BO148" s="1358"/>
      <c r="BP148" s="1312"/>
      <c r="BQ148" s="1185"/>
      <c r="BR148" s="1358"/>
      <c r="BS148" s="1358"/>
      <c r="BT148" s="1312"/>
      <c r="BU148" s="1185"/>
      <c r="BV148" s="1358"/>
      <c r="BW148" s="1358"/>
      <c r="BX148" s="1358"/>
      <c r="BY148" s="1358"/>
      <c r="BZ148" s="1358"/>
      <c r="CA148" s="1358"/>
      <c r="CB148" s="1358"/>
      <c r="CC148" s="1358"/>
      <c r="CD148" s="1358"/>
      <c r="CE148" s="1358"/>
      <c r="CF148" s="1358"/>
      <c r="CG148" s="1358"/>
      <c r="CH148" s="1358"/>
      <c r="CI148" s="1358"/>
      <c r="CJ148" s="1358"/>
      <c r="CK148" s="1358"/>
      <c r="CL148" s="1358"/>
      <c r="CM148" s="1358"/>
      <c r="CN148" s="1358"/>
      <c r="CO148" s="1358"/>
      <c r="CP148" s="1358"/>
      <c r="CQ148" s="1358"/>
      <c r="CR148" s="1358"/>
      <c r="CS148" s="1358"/>
      <c r="CT148" s="1358"/>
      <c r="CU148" s="1376"/>
      <c r="CV148" s="1358"/>
      <c r="CW148" s="1376"/>
      <c r="CX148" s="1376"/>
      <c r="CY148" s="2144"/>
      <c r="CZ148" s="1358"/>
      <c r="DA148" s="1358"/>
      <c r="DB148" s="95"/>
      <c r="DC148" s="1373"/>
      <c r="DD148" s="1373"/>
      <c r="DE148" s="1374"/>
      <c r="DF148" s="521"/>
      <c r="DG148" s="1373"/>
      <c r="DH148" s="179"/>
      <c r="DI148" s="179"/>
      <c r="DJ148" s="179"/>
      <c r="DK148" s="179"/>
      <c r="DL148" s="179"/>
      <c r="DM148" s="179"/>
      <c r="DN148" s="179"/>
      <c r="DO148" s="179"/>
      <c r="DP148" s="179"/>
      <c r="DQ148" s="179"/>
      <c r="DR148" s="179"/>
      <c r="DS148" s="179"/>
      <c r="DT148" s="179"/>
      <c r="DU148" s="179"/>
      <c r="DV148" s="179"/>
      <c r="DW148" s="179"/>
      <c r="DX148" s="179"/>
      <c r="DY148" s="179"/>
    </row>
    <row r="149" spans="1:129" ht="12.75">
      <c r="A149" s="1167" t="s">
        <v>734</v>
      </c>
      <c r="B149" s="951"/>
      <c r="C149" s="1359">
        <f>C120/C177</f>
        <v>-3.462040943897484E-2</v>
      </c>
      <c r="D149" s="1360"/>
      <c r="E149" s="951"/>
      <c r="F149" s="951"/>
      <c r="G149" s="1359">
        <f>G120/G177</f>
        <v>-2.2311737719592703E-2</v>
      </c>
      <c r="H149" s="1360">
        <f>(G149/C149-1)</f>
        <v>-0.35553224005275119</v>
      </c>
      <c r="I149" s="951"/>
      <c r="J149" s="951"/>
      <c r="K149" s="1359">
        <f>K120/K177</f>
        <v>-1.8291912437388494E-2</v>
      </c>
      <c r="L149" s="1360">
        <f>(K149/G149-1)</f>
        <v>-0.18016639191102823</v>
      </c>
      <c r="M149" s="951"/>
      <c r="N149" s="951"/>
      <c r="O149" s="1359">
        <f>O120/O177</f>
        <v>2.720944948323142E-2</v>
      </c>
      <c r="P149" s="1360">
        <f>(O149/K149-1)</f>
        <v>-2.4875125592453395</v>
      </c>
      <c r="Q149" s="951"/>
      <c r="R149" s="951"/>
      <c r="S149" s="1359">
        <f>S120/S177</f>
        <v>5.6260942691316179E-2</v>
      </c>
      <c r="T149" s="1270">
        <f>(S149/O149-1)*100</f>
        <v>106.76986767405401</v>
      </c>
      <c r="U149" s="951"/>
      <c r="V149" s="951"/>
      <c r="W149" s="1359">
        <f>W120/W177</f>
        <v>5.7634331923102404E-2</v>
      </c>
      <c r="X149" s="1270">
        <f>(W149/S149-1)*100</f>
        <v>2.4411059717245109</v>
      </c>
      <c r="Y149" s="951"/>
      <c r="Z149" s="951"/>
      <c r="AA149" s="951"/>
      <c r="AB149" s="1359">
        <f>AB120/AB177</f>
        <v>7.0282758683051713E-2</v>
      </c>
      <c r="AC149" s="1270">
        <f>(AB149/W149-1)*100</f>
        <v>21.945993538756127</v>
      </c>
      <c r="AD149" s="951"/>
      <c r="AE149" s="951"/>
      <c r="AF149" s="1359">
        <f>AF120/AF177</f>
        <v>5.7510558826455331E-2</v>
      </c>
      <c r="AG149" s="1270">
        <f>(AF149/AB149-1)*100</f>
        <v>-18.172593244659197</v>
      </c>
      <c r="AH149" s="951"/>
      <c r="AI149" s="951"/>
      <c r="AJ149" s="1359">
        <f>AJ120/AJ177</f>
        <v>2.9647224421571233E-2</v>
      </c>
      <c r="AK149" s="1270">
        <f>(AJ149/AF149-1)*100</f>
        <v>-48.449076088731616</v>
      </c>
      <c r="AL149" s="951"/>
      <c r="AM149" s="951"/>
      <c r="AN149" s="1359">
        <f>AN120/AN177</f>
        <v>0.12332245689243258</v>
      </c>
      <c r="AO149" s="1270">
        <f>(AN149/AJ149-1)*100</f>
        <v>315.96628115616625</v>
      </c>
      <c r="AP149" s="951"/>
      <c r="AQ149" s="951"/>
      <c r="AR149" s="1359">
        <f>AR120/AR177</f>
        <v>0.23566439688508231</v>
      </c>
      <c r="AS149" s="1270">
        <f>(AR149/AN149-1)*100</f>
        <v>91.096092977323224</v>
      </c>
      <c r="AT149" s="951"/>
      <c r="AU149" s="951"/>
      <c r="AV149" s="1359">
        <f>AV120/AV177</f>
        <v>0.2809091585773269</v>
      </c>
      <c r="AW149" s="1271">
        <f>(AV149/AR149-1)*100</f>
        <v>19.198810804801969</v>
      </c>
      <c r="AX149" s="1361"/>
      <c r="AY149" s="951"/>
      <c r="AZ149" s="1375">
        <f>AZ120/AZ177</f>
        <v>0.34921197880876886</v>
      </c>
      <c r="BA149" s="1271">
        <f>(AZ149/AV149-1)*100</f>
        <v>24.314913966267149</v>
      </c>
      <c r="BB149" s="1361"/>
      <c r="BC149" s="951"/>
      <c r="BD149" s="1375">
        <f>BD120/BD177</f>
        <v>0.21092818975127831</v>
      </c>
      <c r="BE149" s="1271">
        <f>(BD149/AZ149-1)*100</f>
        <v>-39.59881030690984</v>
      </c>
      <c r="BF149" s="1361"/>
      <c r="BG149" s="1361"/>
      <c r="BH149" s="1375">
        <f>BH120/BH177</f>
        <v>0.11362561871038084</v>
      </c>
      <c r="BI149" s="1271">
        <f>(BH149/BD149-1)*100</f>
        <v>-46.130662362216469</v>
      </c>
      <c r="BJ149" s="1376"/>
      <c r="BK149" s="1376"/>
      <c r="BL149" s="1375">
        <f>BL120/BL177</f>
        <v>0.17960862638799716</v>
      </c>
      <c r="BM149" s="1271">
        <f>(BL149/BH149-1)*100</f>
        <v>58.070537636234775</v>
      </c>
      <c r="BN149" s="1376"/>
      <c r="BO149" s="1376"/>
      <c r="BP149" s="1375">
        <f>BP120/BP177</f>
        <v>0.16208367873144419</v>
      </c>
      <c r="BQ149" s="1271">
        <f>(BP149/BL149-1)*100</f>
        <v>-9.7572973019096167</v>
      </c>
      <c r="BR149" s="1376"/>
      <c r="BS149" s="1376"/>
      <c r="BT149" s="1375">
        <f>BT120/BT177</f>
        <v>0.22324234988745401</v>
      </c>
      <c r="BU149" s="1271">
        <f>(BT149/BP149-1)*100</f>
        <v>37.732775832009203</v>
      </c>
      <c r="BV149" s="1376"/>
      <c r="BW149" s="1376"/>
      <c r="BX149" s="1375">
        <f>BX120/BX177</f>
        <v>0.17865167396984505</v>
      </c>
      <c r="BY149" s="1271">
        <f>(BX149/BT149-1)*100</f>
        <v>-19.974111516067182</v>
      </c>
      <c r="BZ149" s="1376"/>
      <c r="CA149" s="1377"/>
      <c r="CB149" s="1375">
        <f>CB120/CB177</f>
        <v>1.9855985043810708E-2</v>
      </c>
      <c r="CC149" s="1271">
        <f>(CB149/BX149-1)*100</f>
        <v>-88.885642881150815</v>
      </c>
      <c r="CD149" s="1376"/>
      <c r="CE149" s="1377"/>
      <c r="CF149" s="1782">
        <f>CF120/CF177</f>
        <v>0.14833061057790473</v>
      </c>
      <c r="CG149" s="1271">
        <f>(CF149/CB149-1)*100</f>
        <v>647.03224368181486</v>
      </c>
      <c r="CH149" s="1376"/>
      <c r="CI149" s="1377"/>
      <c r="CJ149" s="1782">
        <f>CJ120/CJ177</f>
        <v>0.22126859348264641</v>
      </c>
      <c r="CK149" s="1271">
        <f>(CJ149/CF149-1)*100</f>
        <v>49.172576463193288</v>
      </c>
      <c r="CL149" s="1376"/>
      <c r="CM149" s="1377"/>
      <c r="CN149" s="1782">
        <f>CN120/CN177</f>
        <v>0.15775107607965735</v>
      </c>
      <c r="CO149" s="1271">
        <f>(CN149/CJ149-1)*100</f>
        <v>-28.706070031565766</v>
      </c>
      <c r="CP149" s="1376"/>
      <c r="CQ149" s="1376"/>
      <c r="CR149" s="1782">
        <f>CR120/CR177</f>
        <v>0.22368781290498105</v>
      </c>
      <c r="CS149" s="1271">
        <f>(CR149/CN149-1)*100</f>
        <v>41.797963262088025</v>
      </c>
      <c r="CT149" s="1376"/>
      <c r="CU149" s="1381"/>
      <c r="CV149" s="1376"/>
      <c r="CW149" s="1376"/>
      <c r="CX149" s="1376"/>
      <c r="CY149" s="1376"/>
      <c r="CZ149" s="1361"/>
      <c r="DA149" s="1361"/>
      <c r="DB149" s="1378"/>
      <c r="DC149" s="1378"/>
      <c r="DD149" s="1378"/>
      <c r="DE149" s="1379"/>
      <c r="DF149" s="521"/>
      <c r="DG149" s="1379"/>
      <c r="DH149" s="1012"/>
      <c r="DI149" s="1012"/>
      <c r="DJ149" s="1012"/>
      <c r="DK149" s="1012"/>
      <c r="DL149" s="1012"/>
      <c r="DM149" s="1012"/>
      <c r="DN149" s="1012"/>
      <c r="DO149" s="1012"/>
      <c r="DP149" s="1012"/>
      <c r="DQ149" s="1012"/>
      <c r="DR149" s="1012"/>
      <c r="DS149" s="1012"/>
      <c r="DT149" s="1012"/>
      <c r="DU149" s="1012"/>
      <c r="DV149" s="1012"/>
      <c r="DW149" s="1012"/>
      <c r="DX149" s="1012"/>
      <c r="DY149" s="1012"/>
    </row>
    <row r="150" spans="1:129" ht="12.75">
      <c r="A150" s="1167" t="s">
        <v>735</v>
      </c>
      <c r="B150" s="951"/>
      <c r="C150" s="1363">
        <f>C121/C178</f>
        <v>-7.7662134708548205E-3</v>
      </c>
      <c r="D150" s="1269"/>
      <c r="E150" s="951"/>
      <c r="F150" s="951"/>
      <c r="G150" s="1363">
        <f>G121/G178</f>
        <v>2.5810301741822383E-3</v>
      </c>
      <c r="H150" s="1269">
        <f>(G150/C150-1)*100</f>
        <v>-133.23408742070214</v>
      </c>
      <c r="I150" s="951"/>
      <c r="J150" s="951"/>
      <c r="K150" s="1363">
        <f>K121/K178</f>
        <v>5.5063913470993027E-3</v>
      </c>
      <c r="L150" s="1269">
        <f>(K150/G150-1)*100</f>
        <v>113.34083584838068</v>
      </c>
      <c r="M150" s="951"/>
      <c r="N150" s="951"/>
      <c r="O150" s="1363">
        <f>O121/O178</f>
        <v>4.412389609429844E-2</v>
      </c>
      <c r="P150" s="1269">
        <f>(O150/K150-1)*100</f>
        <v>701.32147014109978</v>
      </c>
      <c r="Q150" s="951"/>
      <c r="R150" s="951"/>
      <c r="S150" s="1363">
        <f>S121/S178</f>
        <v>7.7368317744637552E-2</v>
      </c>
      <c r="T150" s="1270">
        <f>(S150/O150-1)*100</f>
        <v>75.343350413325936</v>
      </c>
      <c r="U150" s="951"/>
      <c r="V150" s="951"/>
      <c r="W150" s="1363">
        <f>W121/W178</f>
        <v>1.2970786537846278E-2</v>
      </c>
      <c r="X150" s="1270">
        <f>(W150/S150-1)*100</f>
        <v>-83.235015422388074</v>
      </c>
      <c r="Y150" s="951"/>
      <c r="Z150" s="951"/>
      <c r="AA150" s="951"/>
      <c r="AB150" s="1363">
        <f>AB121/AB178</f>
        <v>6.8404258171774868E-2</v>
      </c>
      <c r="AC150" s="1270">
        <f>(AB150/W150-1)*100</f>
        <v>427.37170542576052</v>
      </c>
      <c r="AD150" s="951"/>
      <c r="AE150" s="951"/>
      <c r="AF150" s="1363">
        <f>AF121/AF178</f>
        <v>4.5756272890648098E-2</v>
      </c>
      <c r="AG150" s="1270">
        <f>(AF150/AB150-1)*100</f>
        <v>-33.10902842371857</v>
      </c>
      <c r="AH150" s="951"/>
      <c r="AI150" s="951"/>
      <c r="AJ150" s="1363">
        <f>AJ121/AJ178</f>
        <v>3.7321543704522425E-2</v>
      </c>
      <c r="AK150" s="1270">
        <f>(AJ150/AF150-1)*100</f>
        <v>-18.434038992388313</v>
      </c>
      <c r="AL150" s="951"/>
      <c r="AM150" s="951"/>
      <c r="AN150" s="1363">
        <f>AN121/AN178</f>
        <v>0.14194667673444436</v>
      </c>
      <c r="AO150" s="1270">
        <f>(AN150/AJ150-1)*100</f>
        <v>280.33441986817928</v>
      </c>
      <c r="AP150" s="951"/>
      <c r="AQ150" s="951"/>
      <c r="AR150" s="1363">
        <f>AR121/AR178</f>
        <v>0.24517023011376871</v>
      </c>
      <c r="AS150" s="1270">
        <f>(AR150/AN150-1)*100</f>
        <v>72.719950726593112</v>
      </c>
      <c r="AT150" s="951"/>
      <c r="AU150" s="951"/>
      <c r="AV150" s="1363">
        <f>AV121/AV178</f>
        <v>0.31455365264680302</v>
      </c>
      <c r="AW150" s="1271">
        <f>(AV150/AR150-1)*100</f>
        <v>28.300100913898738</v>
      </c>
      <c r="AX150" s="1361"/>
      <c r="AY150" s="951"/>
      <c r="AZ150" s="1380">
        <f>AZ121/AZ178</f>
        <v>0.36634180612851475</v>
      </c>
      <c r="BA150" s="1271">
        <f>(AZ150/AV150-1)*100</f>
        <v>16.46401275138334</v>
      </c>
      <c r="BB150" s="1361"/>
      <c r="BC150" s="951"/>
      <c r="BD150" s="1363">
        <f>BD121/BD178</f>
        <v>0.28833661037859548</v>
      </c>
      <c r="BE150" s="1271">
        <f>(BD150/AZ150-1)*100</f>
        <v>-21.293009545996121</v>
      </c>
      <c r="BF150" s="1361"/>
      <c r="BG150" s="1361"/>
      <c r="BH150" s="1363">
        <f>BH121/BH178</f>
        <v>0.17585819199578984</v>
      </c>
      <c r="BI150" s="1271">
        <f>(BH150/BD150-1)*100</f>
        <v>-39.009412726021075</v>
      </c>
      <c r="BJ150" s="1376"/>
      <c r="BK150" s="1376"/>
      <c r="BL150" s="1363">
        <f>BL121/BL178</f>
        <v>0.13778285331745049</v>
      </c>
      <c r="BM150" s="1271">
        <f>(BL150/BH150-1)*100</f>
        <v>-21.651160088835042</v>
      </c>
      <c r="BN150" s="1376"/>
      <c r="BO150" s="1376"/>
      <c r="BP150" s="1363">
        <f>BP121/BP178</f>
        <v>0.12764398864572837</v>
      </c>
      <c r="BQ150" s="1271">
        <f>(BP150/BL150-1)*100</f>
        <v>-7.3585823109369564</v>
      </c>
      <c r="BR150" s="1376"/>
      <c r="BS150" s="1376"/>
      <c r="BT150" s="1363">
        <f>BT121/BT178</f>
        <v>0.2083510587717145</v>
      </c>
      <c r="BU150" s="1271">
        <f>(BT150/BP150-1)*100</f>
        <v>63.228257736434344</v>
      </c>
      <c r="BV150" s="1376"/>
      <c r="BW150" s="1376"/>
      <c r="BX150" s="1363">
        <f>BX121/BX178</f>
        <v>9.9994386351689918E-2</v>
      </c>
      <c r="BY150" s="1271">
        <f>(BX150/BT150-1)*100</f>
        <v>-52.006777915512551</v>
      </c>
      <c r="BZ150" s="1376"/>
      <c r="CA150" s="1376"/>
      <c r="CB150" s="1363">
        <f>CB121/CB178</f>
        <v>2.9848983553020202E-2</v>
      </c>
      <c r="CC150" s="1271">
        <f>(CB150/BX150-1)*100</f>
        <v>-70.149340735950474</v>
      </c>
      <c r="CD150" s="1376"/>
      <c r="CE150" s="1376"/>
      <c r="CF150" s="1363">
        <f>CF121/CF178</f>
        <v>0.16895649744774863</v>
      </c>
      <c r="CG150" s="1271">
        <f>(CF150/CB150-1)*100</f>
        <v>466.03769152686317</v>
      </c>
      <c r="CH150" s="1376"/>
      <c r="CI150" s="1376"/>
      <c r="CJ150" s="1363">
        <f>CJ121/CJ178</f>
        <v>0.22676691401372867</v>
      </c>
      <c r="CK150" s="1271">
        <f>(CJ150/CF150-1)*100</f>
        <v>34.216154713942529</v>
      </c>
      <c r="CL150" s="1376"/>
      <c r="CM150" s="1376"/>
      <c r="CN150" s="1363">
        <f>CN121/CN178</f>
        <v>0.19327919099715826</v>
      </c>
      <c r="CO150" s="1271">
        <f>(CN150/CJ150-1)*100</f>
        <v>-14.767464275914177</v>
      </c>
      <c r="CP150" s="1376"/>
      <c r="CQ150" s="1376"/>
      <c r="CR150" s="1380">
        <f>CR121/CR178</f>
        <v>0.30430783156640973</v>
      </c>
      <c r="CS150" s="1271">
        <f>(CR150/CN150-1)*100</f>
        <v>57.444694380412578</v>
      </c>
      <c r="CT150" s="1376"/>
      <c r="CU150" s="1376"/>
      <c r="CV150" s="1376"/>
      <c r="CW150" s="1376"/>
      <c r="CX150" s="1376"/>
      <c r="CY150" s="1376"/>
      <c r="CZ150" s="1361"/>
      <c r="DA150" s="1361"/>
      <c r="DB150" s="1378"/>
      <c r="DC150" s="1378"/>
      <c r="DD150" s="1378"/>
      <c r="DE150" s="1379"/>
      <c r="DF150" s="521"/>
      <c r="DG150" s="1379"/>
      <c r="DH150" s="1012"/>
      <c r="DI150" s="1012"/>
      <c r="DJ150" s="1012"/>
      <c r="DK150" s="1012"/>
      <c r="DL150" s="1012"/>
      <c r="DM150" s="1012"/>
      <c r="DN150" s="1012"/>
      <c r="DO150" s="1012"/>
      <c r="DP150" s="1012"/>
      <c r="DQ150" s="1012"/>
      <c r="DR150" s="1012"/>
      <c r="DS150" s="1012"/>
      <c r="DT150" s="1012"/>
      <c r="DU150" s="1012"/>
      <c r="DV150" s="1012"/>
      <c r="DW150" s="1012"/>
      <c r="DX150" s="1012"/>
      <c r="DY150" s="1012"/>
    </row>
    <row r="151" spans="1:129" ht="12.75">
      <c r="A151" s="1167" t="s">
        <v>736</v>
      </c>
      <c r="B151" s="951"/>
      <c r="C151" s="1363">
        <f>C122/C179</f>
        <v>8.2262853570870455E-3</v>
      </c>
      <c r="D151" s="1269"/>
      <c r="E151" s="951"/>
      <c r="F151" s="951"/>
      <c r="G151" s="1363">
        <f>G122/G179</f>
        <v>1.5946295552879252E-2</v>
      </c>
      <c r="H151" s="1269">
        <f>(G151/C151-1)*100</f>
        <v>93.845640658955773</v>
      </c>
      <c r="I151" s="951"/>
      <c r="J151" s="951"/>
      <c r="K151" s="1363">
        <f>K122/K179</f>
        <v>3.0222915673442319E-2</v>
      </c>
      <c r="L151" s="1269">
        <f>(K151/G151-1)*100</f>
        <v>89.529383631581382</v>
      </c>
      <c r="M151" s="951"/>
      <c r="N151" s="951"/>
      <c r="O151" s="1363">
        <f>O122/O179</f>
        <v>6.4217592592592673E-2</v>
      </c>
      <c r="P151" s="1269">
        <f>(O151/K151-1)*100</f>
        <v>112.47980600701072</v>
      </c>
      <c r="Q151" s="951"/>
      <c r="R151" s="951"/>
      <c r="S151" s="1363">
        <f>S122/S179</f>
        <v>0.11035611692660691</v>
      </c>
      <c r="T151" s="1270">
        <f>(S151/O151-1)*100</f>
        <v>71.847172202055106</v>
      </c>
      <c r="U151" s="951"/>
      <c r="V151" s="951"/>
      <c r="W151" s="1363">
        <f>W122/W179</f>
        <v>0.13625937115363096</v>
      </c>
      <c r="X151" s="1270">
        <f>(W151/S151-1)*100</f>
        <v>23.47242268795231</v>
      </c>
      <c r="Y151" s="951"/>
      <c r="Z151" s="951"/>
      <c r="AA151" s="951"/>
      <c r="AB151" s="1363">
        <f>AB122/AB179</f>
        <v>0.1395049123045855</v>
      </c>
      <c r="AC151" s="1270">
        <f>(AB151/W151-1)*100</f>
        <v>2.3818847272494947</v>
      </c>
      <c r="AD151" s="951"/>
      <c r="AE151" s="951"/>
      <c r="AF151" s="1363">
        <f>AF122/AF179</f>
        <v>0.12468752158000156</v>
      </c>
      <c r="AG151" s="1270">
        <f>(AF151/AB151-1)*100</f>
        <v>-10.62141144695512</v>
      </c>
      <c r="AH151" s="951"/>
      <c r="AI151" s="951"/>
      <c r="AJ151" s="1363">
        <f>AJ122/AJ179</f>
        <v>4.6787754612324803E-2</v>
      </c>
      <c r="AK151" s="1270">
        <f>(AJ151/AF151-1)*100</f>
        <v>-62.475992770210766</v>
      </c>
      <c r="AL151" s="951"/>
      <c r="AM151" s="951"/>
      <c r="AN151" s="1363">
        <f>AN122/AN179</f>
        <v>0.25820852851267834</v>
      </c>
      <c r="AO151" s="1270">
        <f>(AN151/AJ151-1)*100</f>
        <v>451.8720243195026</v>
      </c>
      <c r="AP151" s="951"/>
      <c r="AQ151" s="951"/>
      <c r="AR151" s="1363">
        <f>AR122/AR179</f>
        <v>0.31351757945640779</v>
      </c>
      <c r="AS151" s="1270">
        <f>(AR151/AN151-1)*100</f>
        <v>21.420303683351705</v>
      </c>
      <c r="AT151" s="951"/>
      <c r="AU151" s="951"/>
      <c r="AV151" s="1363">
        <f>AV122/AV179</f>
        <v>0.4419648818632182</v>
      </c>
      <c r="AW151" s="1271">
        <f>(AV151/AR151-1)*100</f>
        <v>40.96972891584538</v>
      </c>
      <c r="AX151" s="1361"/>
      <c r="AY151" s="951"/>
      <c r="AZ151" s="1380">
        <f>AZ122/AZ179</f>
        <v>0.4544440686332763</v>
      </c>
      <c r="BA151" s="1271">
        <f>(AZ151/AV151-1)*100</f>
        <v>2.8235697636085577</v>
      </c>
      <c r="BB151" s="1361"/>
      <c r="BC151" s="951"/>
      <c r="BD151" s="1363">
        <f>BD122/BD179</f>
        <v>0.30146526860042211</v>
      </c>
      <c r="BE151" s="1271">
        <f>(BD151/AZ151-1)*100</f>
        <v>-33.662844471253031</v>
      </c>
      <c r="BF151" s="1382"/>
      <c r="BG151" s="1382"/>
      <c r="BH151" s="1363">
        <f>BH122/BH179</f>
        <v>0.32449986389229796</v>
      </c>
      <c r="BI151" s="1271">
        <f>(BH151/BD151-1)*100</f>
        <v>7.640878632160808</v>
      </c>
      <c r="BJ151" s="1376"/>
      <c r="BK151" s="1376"/>
      <c r="BL151" s="1363">
        <f>BL122/BL179</f>
        <v>0.31244203666070325</v>
      </c>
      <c r="BM151" s="1271">
        <f>(BL151/BH151-1)*100</f>
        <v>-3.7158188872451148</v>
      </c>
      <c r="BN151" s="1376"/>
      <c r="BO151" s="1376"/>
      <c r="BP151" s="1363">
        <f>BP122/BP179</f>
        <v>0.29569099675995575</v>
      </c>
      <c r="BQ151" s="1271">
        <f>(BP151/BL151-1)*100</f>
        <v>-5.3613272016077351</v>
      </c>
      <c r="BR151" s="1376"/>
      <c r="BS151" s="1376"/>
      <c r="BT151" s="1363">
        <f>BT122/BT179</f>
        <v>0.40819044695420564</v>
      </c>
      <c r="BU151" s="1271">
        <f>(BT151/BP151-1)*100</f>
        <v>38.046288668564983</v>
      </c>
      <c r="BV151" s="1376"/>
      <c r="BW151" s="1376"/>
      <c r="BX151" s="1363">
        <f>BX122/BX179</f>
        <v>0.18920210470063514</v>
      </c>
      <c r="BY151" s="1271">
        <f>(BX151/BT151-1)*100</f>
        <v>-53.648571123502677</v>
      </c>
      <c r="BZ151" s="1376"/>
      <c r="CA151" s="1376"/>
      <c r="CB151" s="1363">
        <f>CB122/CB179</f>
        <v>0.22079022236337276</v>
      </c>
      <c r="CC151" s="1271">
        <f>(CB151/BX151-1)*100</f>
        <v>16.695436719754198</v>
      </c>
      <c r="CD151" s="1376"/>
      <c r="CE151" s="1376"/>
      <c r="CF151" s="1363">
        <f>CF122/CF179</f>
        <v>0.35074793141514521</v>
      </c>
      <c r="CG151" s="1271">
        <f>(CF151/CB151-1)*100</f>
        <v>58.860264580870016</v>
      </c>
      <c r="CH151" s="1376"/>
      <c r="CI151" s="1376"/>
      <c r="CJ151" s="1363">
        <f>CJ122/CJ179</f>
        <v>0.41036752159900342</v>
      </c>
      <c r="CK151" s="1271">
        <f>(CJ151/CF151-1)*100</f>
        <v>16.997845131492006</v>
      </c>
      <c r="CL151" s="1376"/>
      <c r="CM151" s="1376"/>
      <c r="CN151" s="1363">
        <f>CN122/CN179</f>
        <v>0.36731572248397848</v>
      </c>
      <c r="CO151" s="1271">
        <f>(CN151/CJ151-1)*100</f>
        <v>-10.491034706468227</v>
      </c>
      <c r="CP151" s="1376"/>
      <c r="CQ151" s="1376"/>
      <c r="CR151" s="1380">
        <f>CR122/CR179</f>
        <v>0.42047491917393265</v>
      </c>
      <c r="CS151" s="1271">
        <f>(CR151/CN151-1)*100</f>
        <v>14.472344480781896</v>
      </c>
      <c r="CT151" s="1376"/>
      <c r="CU151" s="1376"/>
      <c r="CV151" s="1376"/>
      <c r="CW151" s="1384"/>
      <c r="CX151" s="1384"/>
      <c r="CY151" s="1376"/>
      <c r="CZ151" s="1382"/>
      <c r="DA151" s="1382"/>
      <c r="DB151" s="1378"/>
      <c r="DC151" s="1378"/>
      <c r="DD151" s="1378"/>
      <c r="DE151" s="1379"/>
      <c r="DF151" s="521"/>
      <c r="DG151" s="1379"/>
      <c r="DH151" s="1012"/>
      <c r="DI151" s="1012"/>
      <c r="DJ151" s="1012"/>
      <c r="DK151" s="1012"/>
      <c r="DL151" s="1012"/>
      <c r="DM151" s="1012"/>
      <c r="DN151" s="1012"/>
      <c r="DO151" s="1012"/>
      <c r="DP151" s="1012"/>
      <c r="DQ151" s="1012"/>
      <c r="DR151" s="1012"/>
      <c r="DS151" s="1012"/>
      <c r="DT151" s="1012"/>
      <c r="DU151" s="1012"/>
      <c r="DV151" s="1012"/>
      <c r="DW151" s="1012"/>
      <c r="DX151" s="1012"/>
      <c r="DY151" s="1012"/>
    </row>
    <row r="152" spans="1:129" ht="12.75">
      <c r="A152" s="1167" t="s">
        <v>737</v>
      </c>
      <c r="B152" s="951"/>
      <c r="C152" s="1366">
        <f>C123/C180</f>
        <v>4.2896702609782775E-2</v>
      </c>
      <c r="D152" s="1269"/>
      <c r="E152" s="951"/>
      <c r="F152" s="951"/>
      <c r="G152" s="1366">
        <f>G123/G180</f>
        <v>4.7186786231005938E-2</v>
      </c>
      <c r="H152" s="1269">
        <f>(G152/C152-1)*100</f>
        <v>10.000963617760195</v>
      </c>
      <c r="I152" s="951"/>
      <c r="J152" s="951"/>
      <c r="K152" s="1366">
        <f>K123/K180</f>
        <v>7.6747577898061123E-2</v>
      </c>
      <c r="L152" s="1269">
        <f>(K152/G152-1)*100</f>
        <v>62.646333917165784</v>
      </c>
      <c r="M152" s="951"/>
      <c r="N152" s="951"/>
      <c r="O152" s="1366">
        <f>O123/O180</f>
        <v>0.11534219404589771</v>
      </c>
      <c r="P152" s="1269">
        <f>(O152/K152-1)*100</f>
        <v>50.287731814936663</v>
      </c>
      <c r="Q152" s="951"/>
      <c r="R152" s="951"/>
      <c r="S152" s="1366">
        <f>S123/S180</f>
        <v>0.16835332843657336</v>
      </c>
      <c r="T152" s="1270">
        <f>(S152/O152-1)*100</f>
        <v>45.959880362238572</v>
      </c>
      <c r="U152" s="951"/>
      <c r="V152" s="951"/>
      <c r="W152" s="1366">
        <f>W123/W180</f>
        <v>0.22523005572664598</v>
      </c>
      <c r="X152" s="1270">
        <f>(W152/S152-1)*100</f>
        <v>33.784141851107364</v>
      </c>
      <c r="Y152" s="951"/>
      <c r="Z152" s="951"/>
      <c r="AA152" s="951"/>
      <c r="AB152" s="1366">
        <f>AB123/AB180</f>
        <v>0.19894505016449615</v>
      </c>
      <c r="AC152" s="1270">
        <f>(AB152/W152-1)*100</f>
        <v>-11.670292171863172</v>
      </c>
      <c r="AD152" s="951"/>
      <c r="AE152" s="951"/>
      <c r="AF152" s="1366">
        <f>AF123/AF180</f>
        <v>0.17989653034215297</v>
      </c>
      <c r="AG152" s="1270">
        <f>(AF152/AB152-1)*100</f>
        <v>-9.5747643917720282</v>
      </c>
      <c r="AH152" s="951"/>
      <c r="AI152" s="951"/>
      <c r="AJ152" s="1366">
        <f>AJ123/AJ180</f>
        <v>0.19750591687312272</v>
      </c>
      <c r="AK152" s="1270">
        <f>(AJ152/AF152-1)*100</f>
        <v>9.7886193232730392</v>
      </c>
      <c r="AL152" s="951"/>
      <c r="AM152" s="951"/>
      <c r="AN152" s="1366">
        <f>AN123/AN180</f>
        <v>0.46476577880340547</v>
      </c>
      <c r="AO152" s="1270">
        <f>(AN152/AJ152-1)*100</f>
        <v>135.31739512491151</v>
      </c>
      <c r="AP152" s="951"/>
      <c r="AQ152" s="951"/>
      <c r="AR152" s="1366">
        <f>AR123/AR180</f>
        <v>0.47156590020775407</v>
      </c>
      <c r="AS152" s="1270">
        <f>(AR152/AN152-1)*100</f>
        <v>1.4631286799678511</v>
      </c>
      <c r="AT152" s="1232"/>
      <c r="AU152" s="951"/>
      <c r="AV152" s="1366">
        <f>AV123/AV180</f>
        <v>0.65872211620714616</v>
      </c>
      <c r="AW152" s="1271">
        <f>(AV152/AR152-1)*100</f>
        <v>39.688242071137481</v>
      </c>
      <c r="AX152" s="1368"/>
      <c r="AY152" s="951"/>
      <c r="AZ152" s="1383">
        <f>AZ123/AZ180</f>
        <v>0.65626299291316847</v>
      </c>
      <c r="BA152" s="1271">
        <f>(AZ152/AV152-1)*100</f>
        <v>-0.37331725070004484</v>
      </c>
      <c r="BB152" s="1368"/>
      <c r="BC152" s="951"/>
      <c r="BD152" s="1366">
        <f>BD123/BD180</f>
        <v>0.18758308522740991</v>
      </c>
      <c r="BE152" s="1271">
        <f>(BD152/AZ152-1)*100</f>
        <v>-71.416476739801567</v>
      </c>
      <c r="BF152" s="1366"/>
      <c r="BG152" s="1368"/>
      <c r="BH152" s="1366">
        <f>BH123/BH180</f>
        <v>0.37788694290189334</v>
      </c>
      <c r="BI152" s="1271">
        <f>(BH152/BD152-1)*100</f>
        <v>101.45043591951541</v>
      </c>
      <c r="BJ152" s="1384"/>
      <c r="BK152" s="1384"/>
      <c r="BL152" s="1366">
        <f>BL123/BL180</f>
        <v>0.4701461971959815</v>
      </c>
      <c r="BM152" s="1271">
        <f>(BL152/BH152-1)*100</f>
        <v>24.414512336839444</v>
      </c>
      <c r="BN152" s="1384"/>
      <c r="BO152" s="1384"/>
      <c r="BP152" s="1366">
        <f>BP123/BP180</f>
        <v>0.38591599332356757</v>
      </c>
      <c r="BQ152" s="1271">
        <f>(BP152/BL152-1)*100</f>
        <v>-17.915747138820816</v>
      </c>
      <c r="BR152" s="1376"/>
      <c r="BS152" s="1384"/>
      <c r="BT152" s="1383">
        <f>BT123/BT180</f>
        <v>0.5491319720324177</v>
      </c>
      <c r="BU152" s="1271">
        <f>(BT152/BP152-1)*100</f>
        <v>42.293136727298908</v>
      </c>
      <c r="BV152" s="1376"/>
      <c r="BW152" s="1376"/>
      <c r="BX152" s="1383">
        <f>BX123/BX180</f>
        <v>0.272677722072246</v>
      </c>
      <c r="BY152" s="1271">
        <f>(BX152/BT152-1)*100</f>
        <v>-50.343863413556875</v>
      </c>
      <c r="BZ152" s="1376"/>
      <c r="CA152" s="1376"/>
      <c r="CB152" s="1383">
        <f>CB123/CB180</f>
        <v>0.35820208866874237</v>
      </c>
      <c r="CC152" s="1271">
        <f>(CB152/BX152-1)*100</f>
        <v>31.364632925104409</v>
      </c>
      <c r="CD152" s="1376"/>
      <c r="CE152" s="1376"/>
      <c r="CF152" s="1383">
        <f>CF123/CF180</f>
        <v>0.42060342120571004</v>
      </c>
      <c r="CG152" s="1271">
        <f>(CF152/CB152-1)*100</f>
        <v>17.420705939734237</v>
      </c>
      <c r="CH152" s="1376"/>
      <c r="CI152" s="1376"/>
      <c r="CJ152" s="1383">
        <f>CJ123/CJ180</f>
        <v>0.39284749316415785</v>
      </c>
      <c r="CK152" s="1271">
        <f>(CJ152/CF152-1)*100</f>
        <v>-6.5990732937897922</v>
      </c>
      <c r="CL152" s="1376"/>
      <c r="CM152" s="1376"/>
      <c r="CN152" s="1383">
        <f>CN123/CN180</f>
        <v>0.4397771229098334</v>
      </c>
      <c r="CO152" s="1271">
        <f>(CN152/CJ152-1)*100</f>
        <v>11.946017363553651</v>
      </c>
      <c r="CP152" s="1376"/>
      <c r="CQ152" s="1376"/>
      <c r="CR152" s="1383">
        <f>CR123/CR180</f>
        <v>0.40576077178670067</v>
      </c>
      <c r="CS152" s="1271">
        <f>(CR152/CN152-1)*100</f>
        <v>-7.7349069224110227</v>
      </c>
      <c r="CT152" s="1376"/>
      <c r="CU152" s="2148"/>
      <c r="CV152" s="1376"/>
      <c r="CW152" s="1376"/>
      <c r="CX152" s="2142"/>
      <c r="CY152" s="1384"/>
      <c r="CZ152" s="1158"/>
      <c r="DA152" s="1368"/>
      <c r="DB152" s="1378"/>
      <c r="DC152" s="1378"/>
      <c r="DD152" s="1378"/>
      <c r="DE152" s="1379"/>
      <c r="DF152" s="521"/>
      <c r="DG152" s="1379"/>
      <c r="DH152" s="1012"/>
      <c r="DI152" s="1012"/>
      <c r="DJ152" s="1012"/>
      <c r="DK152" s="1012"/>
      <c r="DL152" s="1012"/>
      <c r="DM152" s="1012"/>
      <c r="DN152" s="1012"/>
      <c r="DO152" s="1012"/>
      <c r="DP152" s="1012"/>
      <c r="DQ152" s="1012"/>
      <c r="DR152" s="1012"/>
      <c r="DS152" s="1012"/>
      <c r="DT152" s="1012"/>
      <c r="DU152" s="1012"/>
      <c r="DV152" s="1012"/>
      <c r="DW152" s="1012"/>
      <c r="DX152" s="1012"/>
      <c r="DY152" s="1012"/>
    </row>
    <row r="153" spans="1:129" ht="12.75">
      <c r="A153" s="1167" t="s">
        <v>762</v>
      </c>
      <c r="B153" s="951"/>
      <c r="C153" s="1359">
        <f>C124/C181</f>
        <v>8.7363650570401619E-3</v>
      </c>
      <c r="D153" s="1269"/>
      <c r="E153" s="951"/>
      <c r="F153" s="951"/>
      <c r="G153" s="1359">
        <f>G124/G181</f>
        <v>4.3987861577438114E-2</v>
      </c>
      <c r="H153" s="1269">
        <f>(G153/C153-1)*100</f>
        <v>403.50301630299532</v>
      </c>
      <c r="I153" s="951"/>
      <c r="J153" s="951"/>
      <c r="K153" s="1359">
        <f>K124/K181</f>
        <v>9.5975142845738937E-2</v>
      </c>
      <c r="L153" s="1269">
        <f>(K153/G153-1)*100</f>
        <v>118.18551619468974</v>
      </c>
      <c r="M153" s="951"/>
      <c r="N153" s="951"/>
      <c r="O153" s="1359">
        <f>SUM(O149:O152)</f>
        <v>0.25089313221602028</v>
      </c>
      <c r="P153" s="1269">
        <f>(O153/K153-1)*100</f>
        <v>161.41470049102335</v>
      </c>
      <c r="Q153" s="951"/>
      <c r="R153" s="951"/>
      <c r="S153" s="1359">
        <f>S124/S181</f>
        <v>0.41333278623500624</v>
      </c>
      <c r="T153" s="1270">
        <f>(S153/O153-1)*100</f>
        <v>64.744559798920506</v>
      </c>
      <c r="U153" s="951"/>
      <c r="V153" s="951"/>
      <c r="W153" s="1359">
        <f>W124/W181</f>
        <v>0.43327048559123066</v>
      </c>
      <c r="X153" s="1270">
        <f>(W153/S153-1)*100</f>
        <v>4.8236433257168532</v>
      </c>
      <c r="Y153" s="951"/>
      <c r="Z153" s="951"/>
      <c r="AA153" s="951"/>
      <c r="AB153" s="1359">
        <f>AB124/AB181</f>
        <v>0.47650988522568682</v>
      </c>
      <c r="AC153" s="1270">
        <f>(AB153/W153-1)*100</f>
        <v>9.9797703911109323</v>
      </c>
      <c r="AD153" s="951"/>
      <c r="AE153" s="951"/>
      <c r="AF153" s="1359">
        <f>AF124/AF181</f>
        <v>0.40639068646982573</v>
      </c>
      <c r="AG153" s="1270">
        <f>(AF153/AB153-1)*100</f>
        <v>-14.715161412160615</v>
      </c>
      <c r="AH153" s="951"/>
      <c r="AI153" s="951"/>
      <c r="AJ153" s="1359">
        <f>AJ124/AJ181</f>
        <v>0.31140101836848688</v>
      </c>
      <c r="AK153" s="1270">
        <f>(AJ153/AF153-1)*100</f>
        <v>-23.373977619044616</v>
      </c>
      <c r="AL153" s="951"/>
      <c r="AM153" s="951"/>
      <c r="AN153" s="1359">
        <f>AN124/AN181</f>
        <v>0.99540303328807389</v>
      </c>
      <c r="AO153" s="1270">
        <f>(AN153/AJ153-1)*100</f>
        <v>219.65310791315207</v>
      </c>
      <c r="AP153" s="951"/>
      <c r="AQ153" s="951"/>
      <c r="AR153" s="1359">
        <f>AR124/AR181</f>
        <v>1.2603945397822616</v>
      </c>
      <c r="AS153" s="1270">
        <f>(AR153/AN153-1)*100</f>
        <v>26.621528931738546</v>
      </c>
      <c r="AT153" s="1232"/>
      <c r="AU153" s="951"/>
      <c r="AV153" s="1375">
        <f>AV124/AV181</f>
        <v>1.6960864158610063</v>
      </c>
      <c r="AW153" s="1271">
        <f>(AV153/AR153-1)*100</f>
        <v>34.567896188602361</v>
      </c>
      <c r="AX153" s="1385"/>
      <c r="AY153" s="951"/>
      <c r="AZ153" s="1375">
        <f>AZ124/AZ181</f>
        <v>1.8159569638641722</v>
      </c>
      <c r="BA153" s="1271">
        <f>(AZ153/AV153-1)*100</f>
        <v>7.067478807812666</v>
      </c>
      <c r="BB153" s="1385"/>
      <c r="BC153" s="951"/>
      <c r="BD153" s="1375">
        <f>BD124/BD181</f>
        <v>0.98745604146794985</v>
      </c>
      <c r="BE153" s="1271">
        <f>(BD153/AZ153-1)*100</f>
        <v>-45.62337868587241</v>
      </c>
      <c r="BF153" s="1375"/>
      <c r="BG153" s="1385"/>
      <c r="BH153" s="1375">
        <f>BH124/BH181</f>
        <v>0.99218660506319378</v>
      </c>
      <c r="BI153" s="1271">
        <f>(BH153/BD153-1)*100</f>
        <v>0.4790657403048959</v>
      </c>
      <c r="BJ153" s="1376"/>
      <c r="BK153" s="1376"/>
      <c r="BL153" s="1375">
        <f>BL124/BL181</f>
        <v>1.0897521529298673</v>
      </c>
      <c r="BM153" s="1271">
        <f>(BL153/BH153-1)*100</f>
        <v>9.83338692225737</v>
      </c>
      <c r="BN153" s="1376"/>
      <c r="BO153" s="1376"/>
      <c r="BP153" s="1375">
        <f>BP124/BP181</f>
        <v>0.97066756335744486</v>
      </c>
      <c r="BQ153" s="1271">
        <f>(BP153/BL153-1)*100</f>
        <v>-10.927676467741399</v>
      </c>
      <c r="BR153" s="1376"/>
      <c r="BS153" s="1376"/>
      <c r="BT153" s="1375">
        <f>BT124/BT181</f>
        <v>1.3888221662970637</v>
      </c>
      <c r="BU153" s="1271">
        <f>(BT153/BP153-1)*100</f>
        <v>43.079074517877423</v>
      </c>
      <c r="BV153" s="1376"/>
      <c r="BW153" s="1376"/>
      <c r="BX153" s="1375">
        <f>BX124/BX181</f>
        <v>0.74347859622059409</v>
      </c>
      <c r="BY153" s="1271">
        <f>(BX153/BT153-1)*100</f>
        <v>-46.466969331077991</v>
      </c>
      <c r="BZ153" s="1386"/>
      <c r="CA153" s="1376"/>
      <c r="CB153" s="1375">
        <f>CB124/CB181</f>
        <v>0.62959432187972497</v>
      </c>
      <c r="CC153" s="1271">
        <f>(CB153/BX153-1)*100</f>
        <v>-15.317760984618722</v>
      </c>
      <c r="CD153" s="1386"/>
      <c r="CE153" s="1376"/>
      <c r="CF153" s="1375">
        <f>CF124/CF181</f>
        <v>1.086905119829594</v>
      </c>
      <c r="CG153" s="1271">
        <f>(CF153/CB153-1)*100</f>
        <v>72.635788166658813</v>
      </c>
      <c r="CH153" s="1386"/>
      <c r="CI153" s="1376"/>
      <c r="CJ153" s="1375">
        <f>CJ124/CJ181</f>
        <v>1.2539831914488546</v>
      </c>
      <c r="CK153" s="1271">
        <f>(CJ153/CF153-1)*100</f>
        <v>15.371909522834448</v>
      </c>
      <c r="CL153" s="1375"/>
      <c r="CM153" s="1376"/>
      <c r="CN153" s="1375">
        <f>CN124/CN181</f>
        <v>1.1559809276404887</v>
      </c>
      <c r="CO153" s="1271">
        <f>(CN153/CJ153-1)*100</f>
        <v>-7.81527730807412</v>
      </c>
      <c r="CP153" s="1375"/>
      <c r="CQ153" s="1375"/>
      <c r="CR153" s="1375">
        <f>CR124/CR181</f>
        <v>1.3533033068560782</v>
      </c>
      <c r="CS153" s="1271">
        <f>(CR153/CN153-1)*100</f>
        <v>17.069691592434054</v>
      </c>
      <c r="CT153" s="1375"/>
      <c r="CU153" s="1384"/>
      <c r="CV153" s="1306"/>
      <c r="CW153" s="1158"/>
      <c r="CX153" s="1160"/>
      <c r="CY153" s="1376"/>
      <c r="CZ153" s="1159"/>
      <c r="DA153" s="1385"/>
      <c r="DB153" s="1378"/>
      <c r="DC153" s="1378"/>
      <c r="DD153" s="1378"/>
      <c r="DE153" s="1379"/>
      <c r="DF153" s="1388"/>
      <c r="DG153" s="1379"/>
      <c r="DH153" s="1012"/>
      <c r="DI153" s="1012"/>
      <c r="DJ153" s="1012"/>
      <c r="DK153" s="1012"/>
      <c r="DL153" s="1012"/>
      <c r="DM153" s="1012"/>
      <c r="DN153" s="1012"/>
      <c r="DO153" s="1012"/>
      <c r="DP153" s="1012"/>
      <c r="DQ153" s="1012"/>
      <c r="DR153" s="1012"/>
      <c r="DS153" s="1012"/>
      <c r="DT153" s="1012"/>
      <c r="DU153" s="1012"/>
      <c r="DV153" s="1012"/>
      <c r="DW153" s="1012"/>
      <c r="DX153" s="1012"/>
      <c r="DY153" s="1012"/>
    </row>
    <row r="154" spans="1:129" ht="12.75" hidden="1" customHeight="1" outlineLevel="1">
      <c r="A154" s="1167" t="s">
        <v>769</v>
      </c>
      <c r="B154" s="951"/>
      <c r="C154" s="1232">
        <f>C149+C150</f>
        <v>-4.2386622909829662E-2</v>
      </c>
      <c r="D154" s="1269"/>
      <c r="E154" s="951"/>
      <c r="F154" s="951"/>
      <c r="G154" s="1232">
        <f>G149+G150</f>
        <v>-1.9730707545410463E-2</v>
      </c>
      <c r="H154" s="1269">
        <f>(G154/C154-1)*100</f>
        <v>-53.450626186039415</v>
      </c>
      <c r="I154" s="951"/>
      <c r="J154" s="951"/>
      <c r="K154" s="1232">
        <f>K149+K150</f>
        <v>-1.278552109028919E-2</v>
      </c>
      <c r="L154" s="1269">
        <f>(K154/G154-1)*100</f>
        <v>-35.199885453356615</v>
      </c>
      <c r="M154" s="951"/>
      <c r="N154" s="951"/>
      <c r="O154" s="1232">
        <f>O149+O150</f>
        <v>7.1333345577529864E-2</v>
      </c>
      <c r="P154" s="1269">
        <f>(O154/K154-1)*100</f>
        <v>-657.92286504230708</v>
      </c>
      <c r="Q154" s="951"/>
      <c r="R154" s="951"/>
      <c r="S154" s="1232">
        <f>S149+S150</f>
        <v>0.13362926043595375</v>
      </c>
      <c r="T154" s="1269"/>
      <c r="U154" s="951"/>
      <c r="V154" s="951"/>
      <c r="W154" s="951"/>
      <c r="X154" s="951"/>
      <c r="Y154" s="951"/>
      <c r="Z154" s="951"/>
      <c r="AA154" s="951"/>
      <c r="AB154" s="951"/>
      <c r="AC154" s="951"/>
      <c r="AD154" s="951"/>
      <c r="AE154" s="951"/>
      <c r="AF154" s="951"/>
      <c r="AG154" s="951"/>
      <c r="AH154" s="951"/>
      <c r="AI154" s="951"/>
      <c r="AJ154" s="1389"/>
      <c r="AK154" s="1270"/>
      <c r="AL154" s="951"/>
      <c r="AM154" s="951"/>
      <c r="AN154" s="951"/>
      <c r="AO154" s="951"/>
      <c r="AP154" s="951"/>
      <c r="AQ154" s="951"/>
      <c r="AR154" s="951"/>
      <c r="AS154" s="951"/>
      <c r="AT154" s="951"/>
      <c r="AU154" s="951"/>
      <c r="AV154" s="1159"/>
      <c r="AW154" s="1158"/>
      <c r="AX154" s="1158"/>
      <c r="AY154" s="951"/>
      <c r="AZ154" s="1158"/>
      <c r="BA154" s="1158"/>
      <c r="BB154" s="1158"/>
      <c r="BC154" s="951"/>
      <c r="BD154" s="1158"/>
      <c r="BE154" s="1158"/>
      <c r="BF154" s="1158"/>
      <c r="BG154" s="1158"/>
      <c r="BH154" s="1158"/>
      <c r="BI154" s="1158"/>
      <c r="BJ154" s="1158"/>
      <c r="BK154" s="1158"/>
      <c r="BL154" s="1158"/>
      <c r="BM154" s="1158"/>
      <c r="BN154" s="1158"/>
      <c r="BO154" s="1158"/>
      <c r="BP154" s="1158"/>
      <c r="BQ154" s="1158"/>
      <c r="BR154" s="1158"/>
      <c r="BS154" s="1158"/>
      <c r="BT154" s="1159"/>
      <c r="BU154" s="1158"/>
      <c r="BV154" s="1376"/>
      <c r="BW154" s="1376"/>
      <c r="BX154" s="1376"/>
      <c r="BY154" s="1376"/>
      <c r="BZ154" s="1376"/>
      <c r="CA154" s="1376"/>
      <c r="CB154" s="1376"/>
      <c r="CC154" s="1376"/>
      <c r="CD154" s="1376"/>
      <c r="CE154" s="1376"/>
      <c r="CF154" s="1376"/>
      <c r="CG154" s="1376"/>
      <c r="CH154" s="1376"/>
      <c r="CI154" s="1376"/>
      <c r="CJ154" s="1376"/>
      <c r="CK154" s="1376"/>
      <c r="CL154" s="1376"/>
      <c r="CM154" s="1376">
        <v>0.13</v>
      </c>
      <c r="CN154" s="1376"/>
      <c r="CO154" s="1376"/>
      <c r="CP154" s="1376"/>
      <c r="CQ154" s="1376"/>
      <c r="CR154" s="1376"/>
      <c r="CS154" s="1376"/>
      <c r="CT154" s="1376"/>
      <c r="CU154" s="1376">
        <v>0.21</v>
      </c>
      <c r="CV154" s="1158"/>
      <c r="CW154" s="1185"/>
      <c r="CX154" s="1185"/>
      <c r="CY154" s="1158"/>
      <c r="CZ154" s="1158"/>
      <c r="DA154" s="1158"/>
      <c r="DB154" s="1012"/>
      <c r="DC154" s="1012"/>
      <c r="DD154" s="1012"/>
      <c r="DE154" s="1012"/>
      <c r="DF154" s="1012"/>
      <c r="DG154" s="1012"/>
      <c r="DH154" s="1012"/>
      <c r="DI154" s="1012"/>
      <c r="DJ154" s="1012"/>
      <c r="DK154" s="1012"/>
      <c r="DL154" s="1012"/>
      <c r="DM154" s="1012"/>
      <c r="DN154" s="1012"/>
      <c r="DO154" s="1012"/>
      <c r="DP154" s="1012"/>
      <c r="DQ154" s="1012"/>
      <c r="DR154" s="1012"/>
      <c r="DS154" s="1012"/>
      <c r="DT154" s="1012"/>
      <c r="DU154" s="1012"/>
      <c r="DV154" s="1012"/>
      <c r="DW154" s="1012"/>
      <c r="DX154" s="1012"/>
      <c r="DY154" s="1012"/>
    </row>
    <row r="155" spans="1:129" ht="12.75" hidden="1" customHeight="1" outlineLevel="1">
      <c r="A155" s="45"/>
      <c r="B155" s="1181"/>
      <c r="C155" s="1181"/>
      <c r="D155" s="1181"/>
      <c r="E155" s="1181"/>
      <c r="F155" s="1181"/>
      <c r="G155" s="45"/>
      <c r="H155" s="1182"/>
      <c r="I155" s="1182"/>
      <c r="J155" s="1182"/>
      <c r="K155" s="1182"/>
      <c r="L155" s="1182"/>
      <c r="M155" s="1182"/>
      <c r="N155" s="1182"/>
      <c r="O155" s="1182"/>
      <c r="P155" s="1182"/>
      <c r="Q155" s="45"/>
      <c r="R155" s="1182"/>
      <c r="S155" s="45"/>
      <c r="T155" s="1182"/>
      <c r="U155" s="1182"/>
      <c r="V155" s="1182"/>
      <c r="W155" s="45"/>
      <c r="X155" s="1183"/>
      <c r="Y155" s="1183"/>
      <c r="Z155" s="1183"/>
      <c r="AA155" s="1183"/>
      <c r="AB155" s="1182"/>
      <c r="AC155" s="1183"/>
      <c r="AD155" s="1183"/>
      <c r="AE155" s="1183"/>
      <c r="AF155" s="1182" t="s">
        <v>659</v>
      </c>
      <c r="AG155" s="1183"/>
      <c r="AH155" s="1183"/>
      <c r="AI155" s="1183"/>
      <c r="AJ155" s="1183"/>
      <c r="AK155" s="1183"/>
      <c r="AL155" s="1183"/>
      <c r="AM155" s="1183"/>
      <c r="AN155" s="1183"/>
      <c r="AO155" s="1183"/>
      <c r="AP155" s="1183"/>
      <c r="AQ155" s="1183"/>
      <c r="AR155" s="1184"/>
      <c r="AS155" s="1183"/>
      <c r="AT155" s="1183"/>
      <c r="AU155" s="1183"/>
      <c r="AV155" s="1186"/>
      <c r="AW155" s="1185"/>
      <c r="AX155" s="1185"/>
      <c r="AY155" s="1183"/>
      <c r="AZ155" s="1186"/>
      <c r="BA155" s="1185"/>
      <c r="BB155" s="1185"/>
      <c r="BC155" s="1183"/>
      <c r="BD155" s="1186"/>
      <c r="BE155" s="1185"/>
      <c r="BF155" s="1185"/>
      <c r="BG155" s="1185"/>
      <c r="BH155" s="1186"/>
      <c r="BI155" s="1185"/>
      <c r="BJ155" s="1185"/>
      <c r="BK155" s="1185"/>
      <c r="BL155" s="1186"/>
      <c r="BM155" s="1185"/>
      <c r="BN155" s="1185"/>
      <c r="BO155" s="1185"/>
      <c r="BP155" s="1186"/>
      <c r="BQ155" s="1185"/>
      <c r="BR155" s="1185"/>
      <c r="BS155" s="1185"/>
      <c r="BT155" s="1186"/>
      <c r="BU155" s="1185"/>
      <c r="BV155" s="1390"/>
      <c r="BW155" s="1390"/>
      <c r="BX155" s="1390"/>
      <c r="BY155" s="1390"/>
      <c r="BZ155" s="1390"/>
      <c r="CA155" s="1390"/>
      <c r="CB155" s="1390"/>
      <c r="CC155" s="1390"/>
      <c r="CD155" s="1390"/>
      <c r="CE155" s="1390"/>
      <c r="CF155" s="1390"/>
      <c r="CG155" s="1390"/>
      <c r="CH155" s="1390"/>
      <c r="CI155" s="1390"/>
      <c r="CJ155" s="1390"/>
      <c r="CK155" s="1390"/>
      <c r="CL155" s="1390"/>
      <c r="CM155" s="1390">
        <v>0.21</v>
      </c>
      <c r="CN155" s="1390"/>
      <c r="CO155" s="1390"/>
      <c r="CP155" s="1390"/>
      <c r="CQ155" s="1390"/>
      <c r="CR155" s="1390"/>
      <c r="CS155" s="1390"/>
      <c r="CT155" s="1390"/>
      <c r="CU155" s="1387">
        <f>CU154-CU153</f>
        <v>0.21</v>
      </c>
      <c r="CV155" s="1185"/>
      <c r="CW155" s="1391"/>
      <c r="CX155" s="1391"/>
      <c r="CY155" s="1185"/>
      <c r="CZ155" s="1185"/>
      <c r="DA155" s="1185"/>
      <c r="DB155" s="1352"/>
      <c r="DC155" s="1352"/>
      <c r="DD155" s="1352"/>
      <c r="DE155" s="1012"/>
      <c r="DF155" s="1012"/>
      <c r="DG155" s="1012"/>
      <c r="DH155" s="179"/>
      <c r="DI155" s="179"/>
      <c r="DJ155" s="179"/>
      <c r="DK155" s="179"/>
      <c r="DL155" s="179"/>
      <c r="DM155" s="179"/>
      <c r="DN155" s="179"/>
      <c r="DO155" s="179"/>
      <c r="DP155" s="179"/>
      <c r="DQ155" s="179"/>
      <c r="DR155" s="179"/>
      <c r="DS155" s="179"/>
      <c r="DT155" s="179"/>
      <c r="DU155" s="179"/>
      <c r="DV155" s="179"/>
      <c r="DW155" s="179"/>
      <c r="DX155" s="179"/>
      <c r="DY155" s="179"/>
    </row>
    <row r="156" spans="1:129" ht="12.75" hidden="1" customHeight="1" outlineLevel="1">
      <c r="A156" s="45"/>
      <c r="B156" s="1183"/>
      <c r="C156" s="1183"/>
      <c r="D156" s="1183"/>
      <c r="E156" s="1183"/>
      <c r="F156" s="1183"/>
      <c r="G156" s="1183"/>
      <c r="H156" s="1183"/>
      <c r="I156" s="1183"/>
      <c r="J156" s="1183"/>
      <c r="K156" s="1183"/>
      <c r="L156" s="1183"/>
      <c r="M156" s="1183"/>
      <c r="N156" s="45"/>
      <c r="O156" s="1183"/>
      <c r="P156" s="1183"/>
      <c r="Q156" s="1183"/>
      <c r="R156" s="45"/>
      <c r="S156" s="1183"/>
      <c r="T156" s="1183"/>
      <c r="U156" s="1183"/>
      <c r="V156" s="45"/>
      <c r="W156" s="1183"/>
      <c r="X156" s="1183"/>
      <c r="Y156" s="1183"/>
      <c r="Z156" s="1183"/>
      <c r="AA156" s="45"/>
      <c r="AB156" s="1183"/>
      <c r="AC156" s="1183"/>
      <c r="AD156" s="1183"/>
      <c r="AE156" s="45"/>
      <c r="AF156" s="1183"/>
      <c r="AG156" s="1183"/>
      <c r="AH156" s="1183"/>
      <c r="AI156" s="45"/>
      <c r="AJ156" s="1183"/>
      <c r="AK156" s="1183"/>
      <c r="AL156" s="1183"/>
      <c r="AM156" s="45"/>
      <c r="AN156" s="1183"/>
      <c r="AO156" s="1183"/>
      <c r="AP156" s="1183"/>
      <c r="AQ156" s="45"/>
      <c r="AR156" s="1183"/>
      <c r="AS156" s="1183"/>
      <c r="AT156" s="1183"/>
      <c r="AU156" s="45"/>
      <c r="AV156" s="1185"/>
      <c r="AW156" s="1185"/>
      <c r="AX156" s="1391"/>
      <c r="AY156" s="45"/>
      <c r="AZ156" s="1185"/>
      <c r="BA156" s="1185"/>
      <c r="BB156" s="1391"/>
      <c r="BC156" s="45"/>
      <c r="BD156" s="1185"/>
      <c r="BE156" s="1185"/>
      <c r="BF156" s="1391"/>
      <c r="BG156" s="1391"/>
      <c r="BH156" s="1185"/>
      <c r="BI156" s="1185"/>
      <c r="BJ156" s="1391"/>
      <c r="BK156" s="1391"/>
      <c r="BL156" s="1185"/>
      <c r="BM156" s="1185"/>
      <c r="BN156" s="1391"/>
      <c r="BO156" s="1391"/>
      <c r="BP156" s="1185"/>
      <c r="BQ156" s="1185"/>
      <c r="BR156" s="1391"/>
      <c r="BS156" s="1391"/>
      <c r="BT156" s="1185"/>
      <c r="BU156" s="1185"/>
      <c r="BV156" s="1391"/>
      <c r="BW156" s="1391"/>
      <c r="BX156" s="1391"/>
      <c r="BY156" s="1391"/>
      <c r="BZ156" s="1391"/>
      <c r="CA156" s="1391"/>
      <c r="CB156" s="1391"/>
      <c r="CC156" s="1391"/>
      <c r="CD156" s="1391"/>
      <c r="CE156" s="1391"/>
      <c r="CF156" s="1391"/>
      <c r="CG156" s="1391"/>
      <c r="CH156" s="1391"/>
      <c r="CI156" s="1391"/>
      <c r="CJ156" s="1391"/>
      <c r="CK156" s="1391"/>
      <c r="CL156" s="1391"/>
      <c r="CM156" s="1391">
        <f>CM155-CM154</f>
        <v>7.9999999999999988E-2</v>
      </c>
      <c r="CN156" s="1391"/>
      <c r="CO156" s="1391"/>
      <c r="CP156" s="1391"/>
      <c r="CQ156" s="1391"/>
      <c r="CR156" s="1391"/>
      <c r="CS156" s="1391"/>
      <c r="CT156" s="1391"/>
      <c r="CU156" s="1387">
        <f>CU152-CU155</f>
        <v>-0.21</v>
      </c>
      <c r="CV156" s="1391"/>
      <c r="CW156" s="1394"/>
      <c r="CX156" s="1394"/>
      <c r="CY156" s="1391"/>
      <c r="CZ156" s="1391"/>
      <c r="DA156" s="1391"/>
      <c r="DB156" s="95"/>
      <c r="DC156" s="1373"/>
      <c r="DD156" s="1373"/>
      <c r="DE156" s="1373"/>
      <c r="DF156" s="1012"/>
      <c r="DG156" s="1012"/>
      <c r="DH156" s="179"/>
      <c r="DI156" s="179"/>
      <c r="DJ156" s="179"/>
      <c r="DK156" s="179"/>
      <c r="DL156" s="179"/>
      <c r="DM156" s="179"/>
      <c r="DN156" s="179"/>
      <c r="DO156" s="179"/>
      <c r="DP156" s="179"/>
      <c r="DQ156" s="179"/>
      <c r="DR156" s="179"/>
      <c r="DS156" s="179"/>
      <c r="DT156" s="179"/>
      <c r="DU156" s="179"/>
      <c r="DV156" s="179"/>
      <c r="DW156" s="179"/>
      <c r="DX156" s="179"/>
      <c r="DY156" s="179"/>
    </row>
    <row r="157" spans="1:129" ht="12.75" hidden="1" customHeight="1" outlineLevel="1">
      <c r="A157" s="1167" t="s">
        <v>734</v>
      </c>
      <c r="B157" s="951"/>
      <c r="C157" s="1392"/>
      <c r="D157" s="1393"/>
      <c r="E157" s="1012"/>
      <c r="F157" s="1012"/>
      <c r="G157" s="1392"/>
      <c r="H157" s="1393"/>
      <c r="I157" s="1012"/>
      <c r="J157" s="1012"/>
      <c r="K157" s="1392"/>
      <c r="L157" s="1393"/>
      <c r="M157" s="1012"/>
      <c r="N157" s="1012"/>
      <c r="O157" s="1392"/>
      <c r="P157" s="1393"/>
      <c r="Q157" s="1012"/>
      <c r="R157" s="1012"/>
      <c r="S157" s="1392"/>
      <c r="T157" s="1277"/>
      <c r="U157" s="1012"/>
      <c r="V157" s="1012"/>
      <c r="W157" s="1392"/>
      <c r="X157" s="1277"/>
      <c r="Y157" s="1012"/>
      <c r="Z157" s="951"/>
      <c r="AA157" s="951"/>
      <c r="AB157" s="1392"/>
      <c r="AC157" s="1277"/>
      <c r="AD157" s="1012"/>
      <c r="AE157" s="1012"/>
      <c r="AF157" s="1392"/>
      <c r="AG157" s="1277"/>
      <c r="AH157" s="1012"/>
      <c r="AI157" s="1012"/>
      <c r="AJ157" s="1392"/>
      <c r="AK157" s="1277"/>
      <c r="AL157" s="1012"/>
      <c r="AM157" s="1012"/>
      <c r="AN157" s="1359">
        <f>AN120/AN177</f>
        <v>0.12332245689243258</v>
      </c>
      <c r="AO157" s="1277"/>
      <c r="AP157" s="1012"/>
      <c r="AQ157" s="951"/>
      <c r="AR157" s="1359">
        <f>AR120/AR177</f>
        <v>0.23566439688508231</v>
      </c>
      <c r="AS157" s="1270">
        <f>(AR157/AN157-1)*100</f>
        <v>91.096092977323224</v>
      </c>
      <c r="AT157" s="951"/>
      <c r="AU157" s="951"/>
      <c r="AV157" s="1359">
        <f>(AV120+(AV40*(1-AW110/100)))/AV177</f>
        <v>0.2904169994498037</v>
      </c>
      <c r="AW157" s="1271">
        <f>(AV157/AR157-1)*100</f>
        <v>23.233294162554618</v>
      </c>
      <c r="AX157" s="1394"/>
      <c r="AY157" s="951"/>
      <c r="AZ157" s="1375">
        <f>(AZ120+(AZ40*(1-BA110/100)))/AZ177</f>
        <v>0.35908842629214588</v>
      </c>
      <c r="BA157" s="1271">
        <f>(AZ157/AV157-1)*100</f>
        <v>23.645801372660856</v>
      </c>
      <c r="BB157" s="1394"/>
      <c r="BC157" s="951"/>
      <c r="BD157" s="1375">
        <f>(BD120+(BD40*(1-BE110/100)))/BD177</f>
        <v>0.22163263853124648</v>
      </c>
      <c r="BE157" s="1271">
        <f>(BD157/AZ157-1)*100</f>
        <v>-38.279091637742901</v>
      </c>
      <c r="BF157" s="1394"/>
      <c r="BG157" s="1394"/>
      <c r="BH157" s="1375">
        <f>(BH120+(BH40*(1-BI110/100)))/BH177</f>
        <v>0.12404335021063222</v>
      </c>
      <c r="BI157" s="1271">
        <f>(BH157/BD157-1)*100</f>
        <v>-44.032002221033807</v>
      </c>
      <c r="BJ157" s="1394"/>
      <c r="BK157" s="1394"/>
      <c r="BL157" s="1375">
        <f>(BL120+(BL40*(1-BM110/100)))/BL177</f>
        <v>0.19100772472547561</v>
      </c>
      <c r="BM157" s="1271">
        <f>(BL157/BH157-1)*100</f>
        <v>53.984654881647678</v>
      </c>
      <c r="BN157" s="1394"/>
      <c r="BO157" s="1394"/>
      <c r="BP157" s="1375">
        <f>(BP120+(BP40*(1-BQ110/100)))/BP177</f>
        <v>0.17407926377827926</v>
      </c>
      <c r="BQ157" s="1271">
        <f>(BP157/BL157-1)*100</f>
        <v>-8.8627101189371551</v>
      </c>
      <c r="BR157" s="1394"/>
      <c r="BS157" s="1394"/>
      <c r="BT157" s="1375">
        <f>(BT120+(BT40*(1-BU110/100)))/BT177</f>
        <v>0.23509330409514897</v>
      </c>
      <c r="BU157" s="1271">
        <f>(BT157/BP157-1)*100</f>
        <v>35.049573965674561</v>
      </c>
      <c r="BV157" s="1394"/>
      <c r="BW157" s="1394"/>
      <c r="BX157" s="1375">
        <f>(BX120+(BX40*(1-BY110/100)))/BX177</f>
        <v>0.18999904025467237</v>
      </c>
      <c r="BY157" s="1271">
        <f>(BX157/BT157-1)*100</f>
        <v>-19.181432671610953</v>
      </c>
      <c r="BZ157" s="1394"/>
      <c r="CA157" s="1394"/>
      <c r="CB157" s="1375">
        <f>(CB120+(CB40*(1-CC110/100)))/CB177</f>
        <v>2.7701616276136282E-2</v>
      </c>
      <c r="CC157" s="1271">
        <f>(CB157/BX157-1)*100</f>
        <v>-85.420128312750748</v>
      </c>
      <c r="CD157" s="1394"/>
      <c r="CE157" s="1394"/>
      <c r="CF157" s="1375">
        <f>(CF120+(CF40*(1-CG110/100)))/CF177</f>
        <v>0.15946375623048703</v>
      </c>
      <c r="CG157" s="1271">
        <f>(CF157/CB157-1)*100</f>
        <v>475.64784177542015</v>
      </c>
      <c r="CH157" s="1394"/>
      <c r="CI157" s="1394"/>
      <c r="CJ157" s="1375">
        <f>(CJ120+(CJ40*(1-CK110/100)))/CJ177</f>
        <v>0.23379106501331762</v>
      </c>
      <c r="CK157" s="1271">
        <f>(CJ157/CF157-1)*100</f>
        <v>46.610785133769681</v>
      </c>
      <c r="CL157" s="1394"/>
      <c r="CM157" s="1394">
        <f>CM153-CM156</f>
        <v>-7.9999999999999988E-2</v>
      </c>
      <c r="CN157" s="1375">
        <f>(CN120+(CN40*(1-CO110/100)))/CN177</f>
        <v>0.17101985817981546</v>
      </c>
      <c r="CO157" s="1271">
        <f>(CN157/CJ157-1)*100</f>
        <v>-26.84927536898233</v>
      </c>
      <c r="CP157" s="1394"/>
      <c r="CQ157" s="1394"/>
      <c r="CR157" s="1375">
        <f>(CR120+(CR40*(1-CS110/100)))/CR177</f>
        <v>0.23875570211693045</v>
      </c>
      <c r="CS157" s="1271">
        <f>(CR157/CN157-1)*100</f>
        <v>39.607005091710157</v>
      </c>
      <c r="CT157" s="1394"/>
      <c r="CU157" s="1397" t="e">
        <f>CU155/CU152</f>
        <v>#DIV/0!</v>
      </c>
      <c r="CV157" s="1394"/>
      <c r="CW157" s="1394"/>
      <c r="CX157" s="1394"/>
      <c r="CY157" s="1394"/>
      <c r="CZ157" s="1394"/>
      <c r="DA157" s="1394"/>
      <c r="DB157" s="1012"/>
      <c r="DC157" s="1378"/>
      <c r="DD157" s="1378"/>
      <c r="DE157" s="1379"/>
      <c r="DF157" s="1012"/>
      <c r="DG157" s="1012"/>
      <c r="DH157" s="1012"/>
      <c r="DI157" s="1012"/>
      <c r="DJ157" s="1012"/>
      <c r="DK157" s="1012"/>
      <c r="DL157" s="1012"/>
      <c r="DM157" s="1012"/>
      <c r="DN157" s="1012"/>
      <c r="DO157" s="1012"/>
      <c r="DP157" s="1012"/>
      <c r="DQ157" s="1012"/>
      <c r="DR157" s="1012"/>
      <c r="DS157" s="1012"/>
      <c r="DT157" s="1012"/>
      <c r="DU157" s="1012"/>
      <c r="DV157" s="1012"/>
      <c r="DW157" s="1012"/>
      <c r="DX157" s="1012"/>
      <c r="DY157" s="1012"/>
    </row>
    <row r="158" spans="1:129" ht="12.75" hidden="1" customHeight="1" outlineLevel="1">
      <c r="A158" s="1167" t="s">
        <v>735</v>
      </c>
      <c r="B158" s="951"/>
      <c r="C158" s="1395"/>
      <c r="D158" s="1396"/>
      <c r="E158" s="1012"/>
      <c r="F158" s="1012"/>
      <c r="G158" s="1395"/>
      <c r="H158" s="1396"/>
      <c r="I158" s="1012"/>
      <c r="J158" s="1012"/>
      <c r="K158" s="1395"/>
      <c r="L158" s="1396"/>
      <c r="M158" s="1012"/>
      <c r="N158" s="1012"/>
      <c r="O158" s="1395"/>
      <c r="P158" s="1396"/>
      <c r="Q158" s="1012"/>
      <c r="R158" s="1012"/>
      <c r="S158" s="1395"/>
      <c r="T158" s="1277"/>
      <c r="U158" s="1012"/>
      <c r="V158" s="1012"/>
      <c r="W158" s="1395"/>
      <c r="X158" s="1277"/>
      <c r="Y158" s="1012"/>
      <c r="Z158" s="951"/>
      <c r="AA158" s="951"/>
      <c r="AB158" s="1395"/>
      <c r="AC158" s="1277"/>
      <c r="AD158" s="1012"/>
      <c r="AE158" s="1012"/>
      <c r="AF158" s="1395"/>
      <c r="AG158" s="1277"/>
      <c r="AH158" s="1012"/>
      <c r="AI158" s="1012"/>
      <c r="AJ158" s="1395"/>
      <c r="AK158" s="1277"/>
      <c r="AL158" s="1012"/>
      <c r="AM158" s="1012"/>
      <c r="AN158" s="1363">
        <f>AN121/AN178</f>
        <v>0.14194667673444436</v>
      </c>
      <c r="AO158" s="1277"/>
      <c r="AP158" s="1012"/>
      <c r="AQ158" s="951"/>
      <c r="AR158" s="1363">
        <f>AR121/AR178</f>
        <v>0.24517023011376871</v>
      </c>
      <c r="AS158" s="1270">
        <f>(AR158/AN158-1)*100</f>
        <v>72.719950726593112</v>
      </c>
      <c r="AT158" s="951"/>
      <c r="AU158" s="951"/>
      <c r="AV158" s="1363">
        <f>(AV121+(AV41*(1-AW111/100)))/AV178</f>
        <v>0.31936152544564939</v>
      </c>
      <c r="AW158" s="1271">
        <f>(AV158/AR158-1)*100</f>
        <v>30.261135414953522</v>
      </c>
      <c r="AX158" s="1394"/>
      <c r="AY158" s="951"/>
      <c r="AZ158" s="1380">
        <f>(AZ121+(AZ41*(1-BA111/100)))/AZ178</f>
        <v>0.37137764874904922</v>
      </c>
      <c r="BA158" s="1271">
        <f>(AZ158/AV158-1)*100</f>
        <v>16.287535961263512</v>
      </c>
      <c r="BB158" s="1394"/>
      <c r="BC158" s="951"/>
      <c r="BD158" s="1380">
        <f>(BD121+(BD41*(1-BE111/100)))/BD178</f>
        <v>0.29391484116111288</v>
      </c>
      <c r="BE158" s="1271">
        <f>(BD158/AZ158-1)*100</f>
        <v>-20.858230927160683</v>
      </c>
      <c r="BF158" s="1394"/>
      <c r="BG158" s="1394"/>
      <c r="BH158" s="1380">
        <f>(BH121+(BH41*(1-BI111/100)))/BH178</f>
        <v>0.18158814771103685</v>
      </c>
      <c r="BI158" s="1271">
        <f>(BH158/BD158-1)*100</f>
        <v>-38.21742822047657</v>
      </c>
      <c r="BJ158" s="1394"/>
      <c r="BK158" s="1394"/>
      <c r="BL158" s="1380">
        <f>(BL121+(BL41*(1-BM111/100)))/BL178</f>
        <v>0.14392906109670051</v>
      </c>
      <c r="BM158" s="1271">
        <f>(BL158/BH158-1)*100</f>
        <v>-20.738736029327008</v>
      </c>
      <c r="BN158" s="1394"/>
      <c r="BO158" s="1394"/>
      <c r="BP158" s="1380">
        <f>(BP121+(BP41*(1-BQ111/100)))/BP178</f>
        <v>0.13348337392928192</v>
      </c>
      <c r="BQ158" s="1271">
        <f>(BP158/BL158-1)*100</f>
        <v>-7.2575247054523118</v>
      </c>
      <c r="BR158" s="1394"/>
      <c r="BS158" s="1394"/>
      <c r="BT158" s="1380">
        <f>(BT121+(BT41*(1-BU111/100)))/BT178</f>
        <v>0.21400994618306574</v>
      </c>
      <c r="BU158" s="1271">
        <f>(BT158/BP158-1)*100</f>
        <v>60.327042899324645</v>
      </c>
      <c r="BV158" s="1394"/>
      <c r="BW158" s="1394"/>
      <c r="BX158" s="1380">
        <f>(BX121+(BX41*(1-BY111/100)))/BX178</f>
        <v>0.10590423315815961</v>
      </c>
      <c r="BY158" s="1271">
        <f>(BX158/BT158-1)*100</f>
        <v>-50.514340549589079</v>
      </c>
      <c r="BZ158" s="1394"/>
      <c r="CA158" s="1394"/>
      <c r="CB158" s="1380">
        <f>(CB121+(CB41*(1-CC111/100)))/CB178</f>
        <v>3.4031076799718597E-2</v>
      </c>
      <c r="CC158" s="1271">
        <f>(CB158/BX158-1)*100</f>
        <v>-67.866178919499973</v>
      </c>
      <c r="CD158" s="1394"/>
      <c r="CE158" s="1394"/>
      <c r="CF158" s="1380">
        <f>(CF121+(CF41*(1-CG111/100)))/CF178</f>
        <v>0.17495431037936501</v>
      </c>
      <c r="CG158" s="1271">
        <f>(CF158/CB158-1)*100</f>
        <v>414.1016001609791</v>
      </c>
      <c r="CH158" s="1394"/>
      <c r="CI158" s="1394"/>
      <c r="CJ158" s="1380">
        <f>(CJ121+(CJ41*(1-CK111/100)))/CJ178</f>
        <v>0.23302044815719603</v>
      </c>
      <c r="CK158" s="1271">
        <f>(CJ158/CF158-1)*100</f>
        <v>33.189315342915734</v>
      </c>
      <c r="CL158" s="1394"/>
      <c r="CM158" s="1394" t="e">
        <f>CM156/CM153</f>
        <v>#DIV/0!</v>
      </c>
      <c r="CN158" s="1380">
        <f>(CN121+(CN41*(1-CO111/100)))/CN178</f>
        <v>0.19988054521009563</v>
      </c>
      <c r="CO158" s="1271">
        <f>(CN158/CJ158-1)*100</f>
        <v>-14.221886194615918</v>
      </c>
      <c r="CP158" s="1394"/>
      <c r="CQ158" s="1394"/>
      <c r="CR158" s="1380">
        <f>(CR121+(CR41*(1-CS111/100)))/CR178</f>
        <v>0.31189214565401441</v>
      </c>
      <c r="CS158" s="1271">
        <f>(CR158/CN158-1)*100</f>
        <v>56.039271018689043</v>
      </c>
      <c r="CT158" s="1394"/>
      <c r="CU158" s="1397" t="e">
        <f>CU156/CU152</f>
        <v>#DIV/0!</v>
      </c>
      <c r="CV158" s="1394"/>
      <c r="CW158" s="1394"/>
      <c r="CX158" s="1394"/>
      <c r="CY158" s="1394"/>
      <c r="CZ158" s="1394"/>
      <c r="DA158" s="1394"/>
      <c r="DB158" s="1012"/>
      <c r="DC158" s="1378"/>
      <c r="DD158" s="1378"/>
      <c r="DE158" s="1379"/>
      <c r="DF158" s="1012"/>
      <c r="DG158" s="1012"/>
      <c r="DH158" s="1012"/>
      <c r="DI158" s="1012"/>
      <c r="DJ158" s="1012"/>
      <c r="DK158" s="1012"/>
      <c r="DL158" s="1012"/>
      <c r="DM158" s="1012"/>
      <c r="DN158" s="1012"/>
      <c r="DO158" s="1012"/>
      <c r="DP158" s="1012"/>
      <c r="DQ158" s="1012"/>
      <c r="DR158" s="1012"/>
      <c r="DS158" s="1012"/>
      <c r="DT158" s="1012"/>
      <c r="DU158" s="1012"/>
      <c r="DV158" s="1012"/>
      <c r="DW158" s="1012"/>
      <c r="DX158" s="1012"/>
      <c r="DY158" s="1012"/>
    </row>
    <row r="159" spans="1:129" ht="12.75" hidden="1" customHeight="1" outlineLevel="1">
      <c r="A159" s="1167" t="s">
        <v>736</v>
      </c>
      <c r="B159" s="951"/>
      <c r="C159" s="1395"/>
      <c r="D159" s="1396"/>
      <c r="E159" s="1012"/>
      <c r="F159" s="1012"/>
      <c r="G159" s="1395"/>
      <c r="H159" s="1396"/>
      <c r="I159" s="1012"/>
      <c r="J159" s="1012"/>
      <c r="K159" s="1395"/>
      <c r="L159" s="1396"/>
      <c r="M159" s="1012"/>
      <c r="N159" s="1012"/>
      <c r="O159" s="1395"/>
      <c r="P159" s="1396"/>
      <c r="Q159" s="1012"/>
      <c r="R159" s="1012"/>
      <c r="S159" s="1395"/>
      <c r="T159" s="1277"/>
      <c r="U159" s="1012"/>
      <c r="V159" s="1012"/>
      <c r="W159" s="1395"/>
      <c r="X159" s="1277"/>
      <c r="Y159" s="1012"/>
      <c r="Z159" s="951"/>
      <c r="AA159" s="951"/>
      <c r="AB159" s="1395"/>
      <c r="AC159" s="1277"/>
      <c r="AD159" s="1012"/>
      <c r="AE159" s="1012"/>
      <c r="AF159" s="1395"/>
      <c r="AG159" s="1277"/>
      <c r="AH159" s="1012"/>
      <c r="AI159" s="1012"/>
      <c r="AJ159" s="1395"/>
      <c r="AK159" s="1277"/>
      <c r="AL159" s="1012"/>
      <c r="AM159" s="1012"/>
      <c r="AN159" s="1363">
        <f>AN122/AN179</f>
        <v>0.25820852851267834</v>
      </c>
      <c r="AO159" s="1277"/>
      <c r="AP159" s="1012"/>
      <c r="AQ159" s="951"/>
      <c r="AR159" s="1363">
        <f>AR122/AR179</f>
        <v>0.31351757945640779</v>
      </c>
      <c r="AS159" s="1270">
        <f>(AR159/AN159-1)*100</f>
        <v>21.420303683351705</v>
      </c>
      <c r="AT159" s="951"/>
      <c r="AU159" s="951"/>
      <c r="AV159" s="1363">
        <f>(AV122+(AV42*(1-AW112/100)))/AV179</f>
        <v>0.45099121608660231</v>
      </c>
      <c r="AW159" s="1271">
        <f>(AV159/AR159-1)*100</f>
        <v>43.848780941902234</v>
      </c>
      <c r="AX159" s="1394"/>
      <c r="AY159" s="951"/>
      <c r="AZ159" s="1380">
        <f>(AZ122+(AZ42*(1-BA112/100)))/AZ179</f>
        <v>0.46394801318433532</v>
      </c>
      <c r="BA159" s="1271">
        <f>(AZ159/AV159-1)*100</f>
        <v>2.872959968081723</v>
      </c>
      <c r="BB159" s="1394"/>
      <c r="BC159" s="951"/>
      <c r="BD159" s="1380">
        <f>(BD122+(BD42*(1-BE112/100)))/BD179</f>
        <v>0.31147881062280175</v>
      </c>
      <c r="BE159" s="1271">
        <f>(BD159/AZ159-1)*100</f>
        <v>-32.863423967494107</v>
      </c>
      <c r="BF159" s="1394"/>
      <c r="BG159" s="1394"/>
      <c r="BH159" s="1380">
        <f>(BH122+(BH42*(1-BI112/100)))/BH179</f>
        <v>0.33722943310457737</v>
      </c>
      <c r="BI159" s="1271">
        <f>(BH159/BD159-1)*100</f>
        <v>8.2672148485116068</v>
      </c>
      <c r="BJ159" s="1394"/>
      <c r="BK159" s="1394"/>
      <c r="BL159" s="1380">
        <f>(BL122+(BL42*(1-BM112/100)))/BL179</f>
        <v>0.32271860841798983</v>
      </c>
      <c r="BM159" s="1271">
        <f>(BL159/BH159-1)*100</f>
        <v>-4.3029532010296467</v>
      </c>
      <c r="BN159" s="1394"/>
      <c r="BO159" s="1394"/>
      <c r="BP159" s="1380">
        <f>(BP122+(BP42*(1-BQ112/100)))/BP179</f>
        <v>0.30632666795333591</v>
      </c>
      <c r="BQ159" s="1271">
        <f>(BP159/BL159-1)*100</f>
        <v>-5.0793291855742106</v>
      </c>
      <c r="BR159" s="1394"/>
      <c r="BS159" s="1394"/>
      <c r="BT159" s="1380">
        <f>(BT122+(BT42*(1-BU112/100)))/BT179</f>
        <v>0.41844469263182327</v>
      </c>
      <c r="BU159" s="1271">
        <f>(BT159/BP159-1)*100</f>
        <v>36.600804437818901</v>
      </c>
      <c r="BV159" s="1394"/>
      <c r="BW159" s="1394"/>
      <c r="BX159" s="1380">
        <f>(BX122+(BX42*(1-BY112/100)))/BX179</f>
        <v>0.19932609849866495</v>
      </c>
      <c r="BY159" s="1271">
        <f>(BX159/BT159-1)*100</f>
        <v>-52.365007369314178</v>
      </c>
      <c r="BZ159" s="1394"/>
      <c r="CA159" s="1394"/>
      <c r="CB159" s="1380">
        <f>(CB122+(CB42*(1-CC112/100)))/CB179</f>
        <v>0.23052797323942867</v>
      </c>
      <c r="CC159" s="1271">
        <f>(CB159/BX159-1)*100</f>
        <v>15.653682571313009</v>
      </c>
      <c r="CD159" s="1394"/>
      <c r="CE159" s="1394"/>
      <c r="CF159" s="1380">
        <f>(CF122+(CF42*(1-CG112/100)))/CF179</f>
        <v>0.36130568985857392</v>
      </c>
      <c r="CG159" s="1271">
        <f>(CF159/CB159-1)*100</f>
        <v>56.729651842866893</v>
      </c>
      <c r="CH159" s="1394"/>
      <c r="CI159" s="1394"/>
      <c r="CJ159" s="1380">
        <f>(CJ122+(CJ42*(1-CK112/100)))/CJ179</f>
        <v>0.42175981089813203</v>
      </c>
      <c r="CK159" s="1271">
        <f>(CJ159/CF159-1)*100</f>
        <v>16.732125382033615</v>
      </c>
      <c r="CL159" s="1394"/>
      <c r="CM159" s="1394" t="e">
        <f>CM157/CM153</f>
        <v>#DIV/0!</v>
      </c>
      <c r="CN159" s="1380">
        <f>(CN122+(CN42*(1-CO112/100)))/CN179</f>
        <v>0.37927273243906723</v>
      </c>
      <c r="CO159" s="1271">
        <f>(CN159/CJ159-1)*100</f>
        <v>-10.073761738604048</v>
      </c>
      <c r="CP159" s="1394"/>
      <c r="CQ159" s="1394"/>
      <c r="CR159" s="1380">
        <f>(CR122+(CR42*(1-CS112/100)))/CR179</f>
        <v>0.4343646654545672</v>
      </c>
      <c r="CS159" s="1271">
        <f>(CR159/CN159-1)*100</f>
        <v>14.525677251092883</v>
      </c>
      <c r="CT159" s="1394"/>
      <c r="CU159" s="1398"/>
      <c r="CV159" s="1394"/>
      <c r="CW159" s="1398"/>
      <c r="CX159" s="1398"/>
      <c r="CY159" s="1394"/>
      <c r="CZ159" s="1394"/>
      <c r="DA159" s="1394"/>
      <c r="DB159" s="1012"/>
      <c r="DC159" s="1378"/>
      <c r="DD159" s="1378"/>
      <c r="DE159" s="1379"/>
      <c r="DF159" s="1012"/>
      <c r="DG159" s="1012"/>
      <c r="DH159" s="1012"/>
      <c r="DI159" s="1012"/>
      <c r="DJ159" s="1012"/>
      <c r="DK159" s="1012"/>
      <c r="DL159" s="1012"/>
      <c r="DM159" s="1012"/>
      <c r="DN159" s="1012"/>
      <c r="DO159" s="1012"/>
      <c r="DP159" s="1012"/>
      <c r="DQ159" s="1012"/>
      <c r="DR159" s="1012"/>
      <c r="DS159" s="1012"/>
      <c r="DT159" s="1012"/>
      <c r="DU159" s="1012"/>
      <c r="DV159" s="1012"/>
      <c r="DW159" s="1012"/>
      <c r="DX159" s="1012"/>
      <c r="DY159" s="1012"/>
    </row>
    <row r="160" spans="1:129" ht="12.75" hidden="1" customHeight="1" outlineLevel="1">
      <c r="A160" s="1167" t="s">
        <v>737</v>
      </c>
      <c r="B160" s="951"/>
      <c r="C160" s="1395"/>
      <c r="D160" s="1396"/>
      <c r="E160" s="1012"/>
      <c r="F160" s="1012"/>
      <c r="G160" s="1395"/>
      <c r="H160" s="1396"/>
      <c r="I160" s="1012"/>
      <c r="J160" s="1012"/>
      <c r="K160" s="1395"/>
      <c r="L160" s="1396"/>
      <c r="M160" s="1012"/>
      <c r="N160" s="1012"/>
      <c r="O160" s="1395"/>
      <c r="P160" s="1396"/>
      <c r="Q160" s="1012"/>
      <c r="R160" s="1012"/>
      <c r="S160" s="1395"/>
      <c r="T160" s="1277"/>
      <c r="U160" s="1012"/>
      <c r="V160" s="1012"/>
      <c r="W160" s="1395"/>
      <c r="X160" s="1277"/>
      <c r="Y160" s="1012"/>
      <c r="Z160" s="951"/>
      <c r="AA160" s="951"/>
      <c r="AB160" s="1395"/>
      <c r="AC160" s="1277"/>
      <c r="AD160" s="1012"/>
      <c r="AE160" s="1012"/>
      <c r="AF160" s="1395"/>
      <c r="AG160" s="1277"/>
      <c r="AH160" s="1012"/>
      <c r="AI160" s="1012"/>
      <c r="AJ160" s="1395"/>
      <c r="AK160" s="1277"/>
      <c r="AL160" s="1012"/>
      <c r="AM160" s="1012"/>
      <c r="AN160" s="1366">
        <f>AN123/AN180</f>
        <v>0.46476577880340547</v>
      </c>
      <c r="AO160" s="1277"/>
      <c r="AP160" s="1012"/>
      <c r="AQ160" s="951"/>
      <c r="AR160" s="1366">
        <f>AR123/AR180</f>
        <v>0.47156590020775407</v>
      </c>
      <c r="AS160" s="1270">
        <f>(AR160/AN160-1)*100</f>
        <v>1.4631286799678511</v>
      </c>
      <c r="AT160" s="951"/>
      <c r="AU160" s="951"/>
      <c r="AV160" s="1366">
        <f>(AV123+(AV43*(1-AW113/100)))/AV180</f>
        <v>0.66927949792034436</v>
      </c>
      <c r="AW160" s="1271">
        <f>(AV160/AR160-1)*100</f>
        <v>41.927034508959451</v>
      </c>
      <c r="AX160" s="1398"/>
      <c r="AY160" s="951"/>
      <c r="AZ160" s="1383">
        <f>(AZ123+(AZ43*(1-BA113/100)))/AZ180</f>
        <v>0.66788406525106325</v>
      </c>
      <c r="BA160" s="1271">
        <f>(AZ160/AV160-1)*100</f>
        <v>-0.20849774625057993</v>
      </c>
      <c r="BB160" s="1398"/>
      <c r="BC160" s="951"/>
      <c r="BD160" s="1383">
        <f>(BD123+(BD43*(1-BE113/100)))/BD180</f>
        <v>0.19918232722395021</v>
      </c>
      <c r="BE160" s="1271">
        <f>(BD160/AZ160-1)*100</f>
        <v>-70.177110431722028</v>
      </c>
      <c r="BF160" s="1398"/>
      <c r="BG160" s="1398"/>
      <c r="BH160" s="1383">
        <f>(BH123+(BH43*(1-BI113/100)))/BH180</f>
        <v>0.3893551773788092</v>
      </c>
      <c r="BI160" s="1271">
        <f>(BH160/BD160-1)*100</f>
        <v>95.476768850601161</v>
      </c>
      <c r="BJ160" s="1398"/>
      <c r="BK160" s="1398"/>
      <c r="BL160" s="1383">
        <f>(BL123+(BL43*(1-BM113/100)))/BL180</f>
        <v>0.48285534056091572</v>
      </c>
      <c r="BM160" s="1271">
        <f>(BL160/BH160-1)*100</f>
        <v>24.01410552995906</v>
      </c>
      <c r="BN160" s="1398"/>
      <c r="BO160" s="1398"/>
      <c r="BP160" s="1383">
        <f>(BP123+(BP43*(1-BQ113/100)))/BP180</f>
        <v>0.39843217153959204</v>
      </c>
      <c r="BQ160" s="1271">
        <f>(BP160/BL160-1)*100</f>
        <v>-17.484153519613621</v>
      </c>
      <c r="BR160" s="1398"/>
      <c r="BS160" s="1398"/>
      <c r="BT160" s="1383">
        <f>(BT123+(BT43*(1-BU113/100)))/BT180</f>
        <v>0.56108504306494578</v>
      </c>
      <c r="BU160" s="1271">
        <f>(BT160/BP160-1)*100</f>
        <v>40.823227425848316</v>
      </c>
      <c r="BV160" s="1398"/>
      <c r="BW160" s="1398"/>
      <c r="BX160" s="1383">
        <f>(BX123+(BX43*(1-BY113/100)))/BX180</f>
        <v>0.28483448128179628</v>
      </c>
      <c r="BY160" s="1271">
        <f>(BX160/BT160-1)*100</f>
        <v>-49.235060744824274</v>
      </c>
      <c r="BZ160" s="1398"/>
      <c r="CA160" s="1398"/>
      <c r="CB160" s="1383">
        <f>(CB123+(CB43*(1-CC113/100)))/CB180</f>
        <v>0.37046003606447525</v>
      </c>
      <c r="CC160" s="1271">
        <f>(CB160/BX160-1)*100</f>
        <v>30.061513057461163</v>
      </c>
      <c r="CD160" s="1398"/>
      <c r="CE160" s="1398"/>
      <c r="CF160" s="1383">
        <f>(CF123+(CF43*(1-CG113/100)))/CF180</f>
        <v>0.43504604801634644</v>
      </c>
      <c r="CG160" s="1271">
        <f>(CF160/CB160-1)*100</f>
        <v>17.434002500780021</v>
      </c>
      <c r="CH160" s="1398"/>
      <c r="CI160" s="1398"/>
      <c r="CJ160" s="1383">
        <f>(CJ123+(CJ43*(1-CK113/100)))/CJ180</f>
        <v>0.4069534139678187</v>
      </c>
      <c r="CK160" s="1271">
        <f>(CJ160/CF160-1)*100</f>
        <v>-6.4573932292041336</v>
      </c>
      <c r="CL160" s="1398"/>
      <c r="CM160" s="1398"/>
      <c r="CN160" s="1383">
        <f>(CN123+(CN43*(1-CO113/100)))/CN180</f>
        <v>0.45400328758987835</v>
      </c>
      <c r="CO160" s="1271">
        <f>(CN160/CJ160-1)*100</f>
        <v>11.561488860191815</v>
      </c>
      <c r="CP160" s="1398"/>
      <c r="CQ160" s="1398"/>
      <c r="CR160" s="1383">
        <f>(CR123+(CR43*(1-CS113/100)))/CR180</f>
        <v>0.42219266402538735</v>
      </c>
      <c r="CS160" s="1271">
        <f>(CR160/CN160-1)*100</f>
        <v>-7.0066945403327026</v>
      </c>
      <c r="CT160" s="1398"/>
      <c r="CU160" s="1394"/>
      <c r="CV160" s="1398"/>
      <c r="CW160" s="1394"/>
      <c r="CX160" s="1394"/>
      <c r="CY160" s="1398"/>
      <c r="CZ160" s="1398"/>
      <c r="DA160" s="1398"/>
      <c r="DB160" s="1399"/>
      <c r="DC160" s="1378"/>
      <c r="DD160" s="1378"/>
      <c r="DE160" s="1379"/>
      <c r="DF160" s="1012"/>
      <c r="DG160" s="1012"/>
      <c r="DH160" s="1012"/>
      <c r="DI160" s="1012"/>
      <c r="DJ160" s="1012"/>
      <c r="DK160" s="1012"/>
      <c r="DL160" s="1012"/>
      <c r="DM160" s="1012"/>
      <c r="DN160" s="1012"/>
      <c r="DO160" s="1012"/>
      <c r="DP160" s="1012"/>
      <c r="DQ160" s="1012"/>
      <c r="DR160" s="1012"/>
      <c r="DS160" s="1012"/>
      <c r="DT160" s="1012"/>
      <c r="DU160" s="1012"/>
      <c r="DV160" s="1012"/>
      <c r="DW160" s="1012"/>
      <c r="DX160" s="1012"/>
      <c r="DY160" s="1012"/>
    </row>
    <row r="161" spans="1:129" ht="12.75" hidden="1" customHeight="1" outlineLevel="1">
      <c r="A161" s="1167" t="s">
        <v>762</v>
      </c>
      <c r="B161" s="951"/>
      <c r="C161" s="1392"/>
      <c r="D161" s="1396"/>
      <c r="E161" s="1012"/>
      <c r="F161" s="1012"/>
      <c r="G161" s="1392"/>
      <c r="H161" s="1396"/>
      <c r="I161" s="1012"/>
      <c r="J161" s="1012"/>
      <c r="K161" s="1392"/>
      <c r="L161" s="1396"/>
      <c r="M161" s="1012"/>
      <c r="N161" s="1012"/>
      <c r="O161" s="1392"/>
      <c r="P161" s="1396"/>
      <c r="Q161" s="1012"/>
      <c r="R161" s="1012"/>
      <c r="S161" s="1392"/>
      <c r="T161" s="1277"/>
      <c r="U161" s="1012"/>
      <c r="V161" s="1012"/>
      <c r="W161" s="1392"/>
      <c r="X161" s="1277"/>
      <c r="Y161" s="1012"/>
      <c r="Z161" s="951"/>
      <c r="AA161" s="951"/>
      <c r="AB161" s="1392"/>
      <c r="AC161" s="1277"/>
      <c r="AD161" s="1012"/>
      <c r="AE161" s="1012"/>
      <c r="AF161" s="1392"/>
      <c r="AG161" s="1277"/>
      <c r="AH161" s="1012"/>
      <c r="AI161" s="1012"/>
      <c r="AJ161" s="1392"/>
      <c r="AK161" s="1277"/>
      <c r="AL161" s="1012"/>
      <c r="AM161" s="1012"/>
      <c r="AN161" s="1359">
        <f>AN124/AN181</f>
        <v>0.99540303328807389</v>
      </c>
      <c r="AO161" s="1277"/>
      <c r="AP161" s="1012"/>
      <c r="AQ161" s="951"/>
      <c r="AR161" s="1359">
        <f>AR124/AR181</f>
        <v>1.2603945397822616</v>
      </c>
      <c r="AS161" s="1270">
        <f>(AR161/AN161-1)*100</f>
        <v>26.621528931738546</v>
      </c>
      <c r="AT161" s="951"/>
      <c r="AU161" s="951"/>
      <c r="AV161" s="1359">
        <f>(AV124+(AV44*(1-AW114/100)))/AV181</f>
        <v>1.7300584551506983</v>
      </c>
      <c r="AW161" s="1271">
        <f>(AV161/AR161-1)*100</f>
        <v>37.263245796794166</v>
      </c>
      <c r="AX161" s="1394"/>
      <c r="AY161" s="951"/>
      <c r="AZ161" s="1375">
        <f>(AZ124+(AZ44*(1-BA114/100)))/AZ181</f>
        <v>1.8519119306917307</v>
      </c>
      <c r="BA161" s="1271">
        <f>(AZ161/AV161-1)*100</f>
        <v>7.0433155121581326</v>
      </c>
      <c r="BB161" s="1394"/>
      <c r="BC161" s="951"/>
      <c r="BD161" s="1375">
        <f>(BD124+(BD44*(1-BE114/100)))/BD181</f>
        <v>0.98745604146794985</v>
      </c>
      <c r="BE161" s="1271">
        <f>(BD161/AZ161-1)*100</f>
        <v>-46.679103627832184</v>
      </c>
      <c r="BF161" s="1394"/>
      <c r="BG161" s="1394"/>
      <c r="BH161" s="1375">
        <f>(BH124+(BH44*(1-BI114/100)))/BH181</f>
        <v>0.99218660506319378</v>
      </c>
      <c r="BI161" s="1271">
        <f>(BH161/BD161-1)*100</f>
        <v>0.4790657403048959</v>
      </c>
      <c r="BJ161" s="1394"/>
      <c r="BK161" s="1394"/>
      <c r="BL161" s="1375">
        <f>(BL124+(BL44*(1-BM114/100)))/BL181</f>
        <v>1.0897521529298673</v>
      </c>
      <c r="BM161" s="1271">
        <f>(BL161/BH161-1)*100</f>
        <v>9.83338692225737</v>
      </c>
      <c r="BN161" s="1394"/>
      <c r="BO161" s="1394"/>
      <c r="BP161" s="1375">
        <f>(BP124+(BP44*(1-BQ114/100)))/BP181</f>
        <v>0.97066756335744486</v>
      </c>
      <c r="BQ161" s="1271">
        <f>(BP161/BL161-1)*100</f>
        <v>-10.927676467741399</v>
      </c>
      <c r="BR161" s="1394"/>
      <c r="BS161" s="1394"/>
      <c r="BT161" s="1375">
        <f>(BT124+(BT44*(1-BU114/100)))/BT181</f>
        <v>1.3888221662970637</v>
      </c>
      <c r="BU161" s="1271">
        <f>(BT161/BP161-1)*100</f>
        <v>43.079074517877423</v>
      </c>
      <c r="BV161" s="1394"/>
      <c r="BW161" s="1394"/>
      <c r="BX161" s="1375">
        <f>(BX124+(BX44*(1-BY114/100)))/BX181</f>
        <v>0.74347859622059409</v>
      </c>
      <c r="BY161" s="1271">
        <f>(BX161/BT161-1)*100</f>
        <v>-46.466969331077991</v>
      </c>
      <c r="BZ161" s="1394"/>
      <c r="CA161" s="1394"/>
      <c r="CB161" s="1375">
        <f>(CB124+(CB44*(1-CC114/100)))/CB181</f>
        <v>0.62959432187972497</v>
      </c>
      <c r="CC161" s="1271">
        <f>(CB161/BX161-1)*100</f>
        <v>-15.317760984618722</v>
      </c>
      <c r="CD161" s="1394"/>
      <c r="CE161" s="1394"/>
      <c r="CF161" s="1375">
        <f>(CF124+(CF44*(1-CG114/100)))/CF181</f>
        <v>1.086905119829594</v>
      </c>
      <c r="CG161" s="1271">
        <f>(CF161/CB161-1)*100</f>
        <v>72.635788166658813</v>
      </c>
      <c r="CH161" s="1394"/>
      <c r="CI161" s="1394"/>
      <c r="CJ161" s="1375">
        <f>(CJ124+(CJ44*(1-CK114/100)))/CJ181</f>
        <v>1.2539831914488546</v>
      </c>
      <c r="CK161" s="1271">
        <f>(CJ161/CF161-1)*100</f>
        <v>15.371909522834448</v>
      </c>
      <c r="CL161" s="1394"/>
      <c r="CM161" s="1394"/>
      <c r="CN161" s="1375">
        <f>(CN124+(CN44*(1-CO114/100)))/CN181</f>
        <v>1.1559809276404887</v>
      </c>
      <c r="CO161" s="1271">
        <f>(CN161/CJ161-1)*100</f>
        <v>-7.81527730807412</v>
      </c>
      <c r="CP161" s="1394"/>
      <c r="CQ161" s="1394"/>
      <c r="CR161" s="1375">
        <f>(CR124+(CR44*(1-CS114/100)))/CR181</f>
        <v>1.3533033068560782</v>
      </c>
      <c r="CS161" s="1271">
        <f>(CR161/CN161-1)*100</f>
        <v>17.069691592434054</v>
      </c>
      <c r="CT161" s="1394"/>
      <c r="CU161" s="1158"/>
      <c r="CV161" s="1394"/>
      <c r="CW161" s="1158"/>
      <c r="CX161" s="1158"/>
      <c r="CY161" s="1394"/>
      <c r="CZ161" s="1394"/>
      <c r="DA161" s="1394"/>
      <c r="DB161" s="1399"/>
      <c r="DC161" s="1378"/>
      <c r="DD161" s="1378"/>
      <c r="DE161" s="1379"/>
      <c r="DF161" s="1012"/>
      <c r="DG161" s="1012"/>
      <c r="DH161" s="1012"/>
      <c r="DI161" s="1012"/>
      <c r="DJ161" s="1012"/>
      <c r="DK161" s="1012"/>
      <c r="DL161" s="1012"/>
      <c r="DM161" s="1012"/>
      <c r="DN161" s="1012"/>
      <c r="DO161" s="1012"/>
      <c r="DP161" s="1012"/>
      <c r="DQ161" s="1012"/>
      <c r="DR161" s="1012"/>
      <c r="DS161" s="1012"/>
      <c r="DT161" s="1012"/>
      <c r="DU161" s="1012"/>
      <c r="DV161" s="1012"/>
      <c r="DW161" s="1012"/>
      <c r="DX161" s="1012"/>
      <c r="DY161" s="1012"/>
    </row>
    <row r="162" spans="1:129" ht="12.75" hidden="1" customHeight="1" outlineLevel="1">
      <c r="A162" s="1167" t="s">
        <v>769</v>
      </c>
      <c r="B162" s="951"/>
      <c r="C162" s="1286"/>
      <c r="D162" s="1396"/>
      <c r="E162" s="1012"/>
      <c r="F162" s="1012"/>
      <c r="G162" s="1286"/>
      <c r="H162" s="1396"/>
      <c r="I162" s="1012"/>
      <c r="J162" s="1012"/>
      <c r="K162" s="1286"/>
      <c r="L162" s="1396"/>
      <c r="M162" s="1012"/>
      <c r="N162" s="1012"/>
      <c r="O162" s="1286"/>
      <c r="P162" s="1396"/>
      <c r="Q162" s="1012"/>
      <c r="R162" s="1012"/>
      <c r="S162" s="1286"/>
      <c r="T162" s="1396"/>
      <c r="U162" s="1012"/>
      <c r="V162" s="1012"/>
      <c r="W162" s="1012"/>
      <c r="X162" s="1012"/>
      <c r="Y162" s="1012"/>
      <c r="Z162" s="951"/>
      <c r="AA162" s="951"/>
      <c r="AB162" s="1012"/>
      <c r="AC162" s="1012"/>
      <c r="AD162" s="1012"/>
      <c r="AE162" s="1012"/>
      <c r="AF162" s="1012"/>
      <c r="AG162" s="1012"/>
      <c r="AH162" s="1012"/>
      <c r="AI162" s="1012"/>
      <c r="AJ162" s="1400"/>
      <c r="AK162" s="1277"/>
      <c r="AL162" s="1012"/>
      <c r="AM162" s="1012"/>
      <c r="AN162" s="1012"/>
      <c r="AO162" s="1012"/>
      <c r="AP162" s="1012"/>
      <c r="AQ162" s="951"/>
      <c r="AR162" s="951"/>
      <c r="AS162" s="951"/>
      <c r="AT162" s="951"/>
      <c r="AU162" s="951"/>
      <c r="AV162" s="1164"/>
      <c r="AW162" s="1158"/>
      <c r="AX162" s="1158"/>
      <c r="AY162" s="951"/>
      <c r="AZ162" s="1164"/>
      <c r="BA162" s="1158"/>
      <c r="BB162" s="1158"/>
      <c r="BC162" s="951"/>
      <c r="BD162" s="1164"/>
      <c r="BE162" s="1158"/>
      <c r="BF162" s="1158"/>
      <c r="BG162" s="1158"/>
      <c r="BH162" s="1164"/>
      <c r="BI162" s="1158"/>
      <c r="BJ162" s="1158"/>
      <c r="BK162" s="1158"/>
      <c r="BL162" s="1164"/>
      <c r="BM162" s="1158"/>
      <c r="BN162" s="1158"/>
      <c r="BO162" s="1158"/>
      <c r="BP162" s="1164"/>
      <c r="BQ162" s="1158"/>
      <c r="BR162" s="1158"/>
      <c r="BS162" s="1158"/>
      <c r="BT162" s="951"/>
      <c r="BU162" s="1158"/>
      <c r="BV162" s="1158"/>
      <c r="BW162" s="1158"/>
      <c r="BX162" s="1158"/>
      <c r="BY162" s="1158"/>
      <c r="BZ162" s="1158"/>
      <c r="CA162" s="1158"/>
      <c r="CB162" s="1158"/>
      <c r="CC162" s="1158"/>
      <c r="CD162" s="1158"/>
      <c r="CE162" s="1158"/>
      <c r="CF162" s="1158"/>
      <c r="CG162" s="1158"/>
      <c r="CH162" s="1158"/>
      <c r="CI162" s="1158"/>
      <c r="CJ162" s="1158"/>
      <c r="CK162" s="1158"/>
      <c r="CL162" s="1158"/>
      <c r="CM162" s="1158"/>
      <c r="CN162" s="1158"/>
      <c r="CO162" s="1158"/>
      <c r="CP162" s="1158"/>
      <c r="CQ162" s="1158"/>
      <c r="CR162" s="1158"/>
      <c r="CS162" s="1158"/>
      <c r="CT162" s="1158"/>
      <c r="CU162" s="1158"/>
      <c r="CV162" s="1158"/>
      <c r="CW162" s="1158"/>
      <c r="CX162" s="1158"/>
      <c r="CY162" s="1158"/>
      <c r="CZ162" s="1158"/>
      <c r="DA162" s="1158"/>
      <c r="DB162" s="1012"/>
      <c r="DC162" s="1012"/>
      <c r="DD162" s="1012"/>
      <c r="DE162" s="1012"/>
      <c r="DF162" s="1012"/>
      <c r="DG162" s="1012"/>
      <c r="DH162" s="1012"/>
      <c r="DI162" s="1012"/>
      <c r="DJ162" s="1012"/>
      <c r="DK162" s="1012"/>
      <c r="DL162" s="1012"/>
      <c r="DM162" s="1012"/>
      <c r="DN162" s="1012"/>
      <c r="DO162" s="1012"/>
      <c r="DP162" s="1012"/>
      <c r="DQ162" s="1012"/>
      <c r="DR162" s="1012"/>
      <c r="DS162" s="1012"/>
      <c r="DT162" s="1012"/>
      <c r="DU162" s="1012"/>
      <c r="DV162" s="1012"/>
      <c r="DW162" s="1012"/>
      <c r="DX162" s="1012"/>
      <c r="DY162" s="1012"/>
    </row>
    <row r="163" spans="1:129" ht="12.75" hidden="1" customHeight="1" outlineLevel="1">
      <c r="A163" s="1167" t="s">
        <v>770</v>
      </c>
      <c r="B163" s="951"/>
      <c r="C163" s="1395"/>
      <c r="D163" s="1396"/>
      <c r="E163" s="1012"/>
      <c r="F163" s="1012"/>
      <c r="G163" s="1395"/>
      <c r="H163" s="1396"/>
      <c r="I163" s="1012"/>
      <c r="J163" s="1012"/>
      <c r="K163" s="1395"/>
      <c r="L163" s="1396"/>
      <c r="M163" s="1012"/>
      <c r="N163" s="1012"/>
      <c r="O163" s="1395"/>
      <c r="P163" s="1396"/>
      <c r="Q163" s="1012"/>
      <c r="R163" s="1012"/>
      <c r="S163" s="1395"/>
      <c r="T163" s="1396"/>
      <c r="U163" s="1012"/>
      <c r="V163" s="1012"/>
      <c r="W163" s="1012"/>
      <c r="X163" s="1012"/>
      <c r="Y163" s="1012"/>
      <c r="Z163" s="951"/>
      <c r="AA163" s="951"/>
      <c r="AB163" s="951"/>
      <c r="AC163" s="951"/>
      <c r="AD163" s="951"/>
      <c r="AE163" s="951"/>
      <c r="AF163" s="951"/>
      <c r="AG163" s="951"/>
      <c r="AH163" s="951"/>
      <c r="AI163" s="951"/>
      <c r="AJ163" s="951"/>
      <c r="AK163" s="1270"/>
      <c r="AL163" s="951"/>
      <c r="AM163" s="951"/>
      <c r="AN163" s="1232"/>
      <c r="AO163" s="951"/>
      <c r="AP163" s="951"/>
      <c r="AQ163" s="951"/>
      <c r="AR163" s="951"/>
      <c r="AS163" s="951"/>
      <c r="AT163" s="951"/>
      <c r="AU163" s="951"/>
      <c r="AV163" s="1158"/>
      <c r="AW163" s="1158"/>
      <c r="AX163" s="1158"/>
      <c r="AY163" s="951"/>
      <c r="AZ163" s="1158"/>
      <c r="BA163" s="1158"/>
      <c r="BB163" s="1158"/>
      <c r="BC163" s="951"/>
      <c r="BD163" s="1158"/>
      <c r="BE163" s="1158"/>
      <c r="BF163" s="1158"/>
      <c r="BG163" s="1158"/>
      <c r="BH163" s="1158"/>
      <c r="BI163" s="1158"/>
      <c r="BJ163" s="1158"/>
      <c r="BK163" s="1158"/>
      <c r="BL163" s="1158"/>
      <c r="BM163" s="1158"/>
      <c r="BN163" s="1158"/>
      <c r="BO163" s="1158"/>
      <c r="BP163" s="1158"/>
      <c r="BQ163" s="1158"/>
      <c r="BR163" s="1158"/>
      <c r="BS163" s="1158"/>
      <c r="BT163" s="1158"/>
      <c r="BU163" s="1158"/>
      <c r="BV163" s="1158"/>
      <c r="BW163" s="1158"/>
      <c r="BX163" s="1158"/>
      <c r="BY163" s="1158"/>
      <c r="BZ163" s="1158"/>
      <c r="CA163" s="1158"/>
      <c r="CB163" s="1158"/>
      <c r="CC163" s="1158"/>
      <c r="CD163" s="1158"/>
      <c r="CE163" s="1158"/>
      <c r="CF163" s="1158"/>
      <c r="CG163" s="1158"/>
      <c r="CH163" s="1158"/>
      <c r="CI163" s="1158"/>
      <c r="CJ163" s="1158"/>
      <c r="CK163" s="1158"/>
      <c r="CL163" s="1158"/>
      <c r="CM163" s="1158"/>
      <c r="CN163" s="1158"/>
      <c r="CO163" s="1158"/>
      <c r="CP163" s="1158"/>
      <c r="CQ163" s="1158"/>
      <c r="CR163" s="1158"/>
      <c r="CS163" s="1158"/>
      <c r="CT163" s="1158"/>
      <c r="CU163" s="1404"/>
      <c r="CV163" s="1407"/>
      <c r="CW163" s="1404"/>
      <c r="CX163" s="1404"/>
      <c r="CY163" s="1158"/>
      <c r="CZ163" s="1158"/>
      <c r="DA163" s="1158"/>
      <c r="DB163" s="1012"/>
      <c r="DC163" s="1012"/>
      <c r="DD163" s="1012"/>
      <c r="DE163" s="1012"/>
      <c r="DF163" s="1012"/>
      <c r="DG163" s="1012"/>
      <c r="DH163" s="1012"/>
      <c r="DI163" s="1012"/>
      <c r="DJ163" s="1012"/>
      <c r="DK163" s="1012"/>
      <c r="DL163" s="1012"/>
      <c r="DM163" s="1012"/>
      <c r="DN163" s="1012"/>
      <c r="DO163" s="1012"/>
      <c r="DP163" s="1012"/>
      <c r="DQ163" s="1012"/>
      <c r="DR163" s="1012"/>
      <c r="DS163" s="1012"/>
      <c r="DT163" s="1012"/>
      <c r="DU163" s="1012"/>
      <c r="DV163" s="1012"/>
      <c r="DW163" s="1012"/>
      <c r="DX163" s="1012"/>
      <c r="DY163" s="1012"/>
    </row>
    <row r="164" spans="1:129" ht="12.75" collapsed="1">
      <c r="A164" s="951"/>
      <c r="B164" s="951"/>
      <c r="C164" s="1401"/>
      <c r="D164" s="1402"/>
      <c r="E164" s="1402"/>
      <c r="F164" s="951"/>
      <c r="G164" s="1401"/>
      <c r="H164" s="1402"/>
      <c r="I164" s="1402"/>
      <c r="J164" s="951"/>
      <c r="K164" s="1401"/>
      <c r="L164" s="1402"/>
      <c r="M164" s="1402"/>
      <c r="N164" s="951"/>
      <c r="O164" s="1401"/>
      <c r="P164" s="1402"/>
      <c r="Q164" s="1402"/>
      <c r="R164" s="951"/>
      <c r="S164" s="1401"/>
      <c r="T164" s="1402"/>
      <c r="U164" s="1402"/>
      <c r="V164" s="951"/>
      <c r="W164" s="1401"/>
      <c r="X164" s="1402"/>
      <c r="Y164" s="1402"/>
      <c r="Z164" s="1402"/>
      <c r="AA164" s="951"/>
      <c r="AB164" s="1401"/>
      <c r="AC164" s="1402"/>
      <c r="AD164" s="1402"/>
      <c r="AE164" s="951"/>
      <c r="AF164" s="1401"/>
      <c r="AG164" s="1402"/>
      <c r="AH164" s="1402"/>
      <c r="AI164" s="951"/>
      <c r="AJ164" s="1401"/>
      <c r="AK164" s="1402"/>
      <c r="AL164" s="1402"/>
      <c r="AM164" s="951"/>
      <c r="AN164" s="1401"/>
      <c r="AO164" s="1402"/>
      <c r="AP164" s="1402"/>
      <c r="AQ164" s="951"/>
      <c r="AR164" s="1401"/>
      <c r="AS164" s="1402"/>
      <c r="AT164" s="1402"/>
      <c r="AU164" s="951"/>
      <c r="AV164" s="1403"/>
      <c r="AW164" s="1404"/>
      <c r="AX164" s="1404"/>
      <c r="AY164" s="951"/>
      <c r="AZ164" s="1403"/>
      <c r="BA164" s="1404"/>
      <c r="BB164" s="1404"/>
      <c r="BC164" s="951"/>
      <c r="BD164" s="1403"/>
      <c r="BE164" s="1404"/>
      <c r="BF164" s="1404"/>
      <c r="BG164" s="1404"/>
      <c r="BH164" s="1403"/>
      <c r="BI164" s="1404"/>
      <c r="BJ164" s="1404"/>
      <c r="BK164" s="1404"/>
      <c r="BL164" s="1405"/>
      <c r="BM164" s="1404"/>
      <c r="BN164" s="1404"/>
      <c r="BO164" s="1404"/>
      <c r="BP164" s="951"/>
      <c r="BQ164" s="1404"/>
      <c r="BR164" s="1404"/>
      <c r="BS164" s="1404"/>
      <c r="BT164" s="1232"/>
      <c r="BU164" s="1404"/>
      <c r="BV164" s="1404"/>
      <c r="BW164" s="1404"/>
      <c r="BX164" s="1406"/>
      <c r="BY164" s="1404"/>
      <c r="BZ164" s="1404"/>
      <c r="CA164" s="1404"/>
      <c r="CB164" s="1406"/>
      <c r="CC164" s="1404"/>
      <c r="CD164" s="1404"/>
      <c r="CE164" s="1404"/>
      <c r="CF164" s="1406"/>
      <c r="CG164" s="1404"/>
      <c r="CH164" s="1404"/>
      <c r="CI164" s="1404"/>
      <c r="CJ164" s="1406"/>
      <c r="CK164" s="1404"/>
      <c r="CL164" s="1404"/>
      <c r="CM164" s="1404"/>
      <c r="CN164" s="1406"/>
      <c r="CO164" s="1404"/>
      <c r="CP164" s="1404"/>
      <c r="CQ164" s="1404"/>
      <c r="CR164" s="1406"/>
      <c r="CS164" s="1404"/>
      <c r="CT164" s="1404"/>
      <c r="CU164" s="1185"/>
      <c r="CV164" s="1404"/>
      <c r="CW164" s="1185"/>
      <c r="CX164" s="1185"/>
      <c r="CY164" s="1404"/>
      <c r="CZ164" s="1404"/>
      <c r="DA164" s="1404"/>
      <c r="DB164" s="1402"/>
      <c r="DC164" s="1402"/>
      <c r="DD164" s="1402"/>
      <c r="DE164" s="1402"/>
      <c r="DF164" s="1402"/>
      <c r="DG164" s="1402"/>
      <c r="DH164" s="1012"/>
      <c r="DI164" s="1012"/>
      <c r="DJ164" s="1012"/>
      <c r="DK164" s="1012"/>
      <c r="DL164" s="1012"/>
      <c r="DM164" s="1012"/>
      <c r="DN164" s="1012"/>
      <c r="DO164" s="1012"/>
      <c r="DP164" s="1012"/>
      <c r="DQ164" s="1012"/>
      <c r="DR164" s="1012"/>
      <c r="DS164" s="1012"/>
      <c r="DT164" s="1012"/>
      <c r="DU164" s="1012"/>
      <c r="DV164" s="1012"/>
      <c r="DW164" s="1012"/>
      <c r="DX164" s="1012"/>
      <c r="DY164" s="1012"/>
    </row>
    <row r="165" spans="1:129" ht="12.75" hidden="1" customHeight="1" outlineLevel="1">
      <c r="A165" s="1259"/>
      <c r="B165" s="1181"/>
      <c r="C165" s="1181"/>
      <c r="D165" s="1181"/>
      <c r="E165" s="1181"/>
      <c r="F165" s="1181"/>
      <c r="G165" s="1182"/>
      <c r="H165" s="1182"/>
      <c r="I165" s="1182"/>
      <c r="J165" s="1182"/>
      <c r="K165" s="1182"/>
      <c r="L165" s="1182"/>
      <c r="M165" s="1182"/>
      <c r="N165" s="1182"/>
      <c r="O165" s="1182"/>
      <c r="P165" s="1182"/>
      <c r="Q165" s="1182"/>
      <c r="R165" s="1182"/>
      <c r="S165" s="1259"/>
      <c r="T165" s="1182"/>
      <c r="U165" s="1182"/>
      <c r="V165" s="1182"/>
      <c r="W165" s="1182"/>
      <c r="X165" s="1182"/>
      <c r="Y165" s="1182"/>
      <c r="Z165" s="1259"/>
      <c r="AA165" s="1183"/>
      <c r="AB165" s="1259"/>
      <c r="AC165" s="1183"/>
      <c r="AD165" s="1183"/>
      <c r="AE165" s="1183"/>
      <c r="AF165" s="1182" t="s">
        <v>658</v>
      </c>
      <c r="AG165" s="1183"/>
      <c r="AH165" s="1183"/>
      <c r="AI165" s="1183"/>
      <c r="AJ165" s="1184"/>
      <c r="AK165" s="1183"/>
      <c r="AL165" s="1183"/>
      <c r="AM165" s="1183"/>
      <c r="AN165" s="1184"/>
      <c r="AO165" s="1183"/>
      <c r="AP165" s="1183"/>
      <c r="AQ165" s="1183"/>
      <c r="AR165" s="1184"/>
      <c r="AS165" s="1183"/>
      <c r="AT165" s="1183"/>
      <c r="AU165" s="1183"/>
      <c r="AV165" s="1186"/>
      <c r="AW165" s="1185"/>
      <c r="AX165" s="1185"/>
      <c r="AY165" s="1183"/>
      <c r="AZ165" s="1186"/>
      <c r="BA165" s="1185"/>
      <c r="BB165" s="1185"/>
      <c r="BC165" s="1183"/>
      <c r="BD165" s="1186"/>
      <c r="BE165" s="1185"/>
      <c r="BF165" s="1185"/>
      <c r="BG165" s="1185"/>
      <c r="BH165" s="1186"/>
      <c r="BI165" s="1185"/>
      <c r="BJ165" s="1185"/>
      <c r="BK165" s="1185"/>
      <c r="BL165" s="1186"/>
      <c r="BM165" s="1185"/>
      <c r="BN165" s="1185"/>
      <c r="BO165" s="1185"/>
      <c r="BP165" s="1186"/>
      <c r="BQ165" s="1185"/>
      <c r="BR165" s="1185"/>
      <c r="BS165" s="1185"/>
      <c r="BT165" s="1186"/>
      <c r="BU165" s="1185"/>
      <c r="BV165" s="1185"/>
      <c r="BW165" s="1185"/>
      <c r="BX165" s="1185"/>
      <c r="BY165" s="1185"/>
      <c r="BZ165" s="1185"/>
      <c r="CA165" s="1185"/>
      <c r="CB165" s="1185"/>
      <c r="CC165" s="1185"/>
      <c r="CD165" s="1185"/>
      <c r="CE165" s="1185"/>
      <c r="CF165" s="1185"/>
      <c r="CG165" s="1185"/>
      <c r="CH165" s="1185"/>
      <c r="CI165" s="1185"/>
      <c r="CJ165" s="1185"/>
      <c r="CK165" s="1185"/>
      <c r="CL165" s="1185"/>
      <c r="CM165" s="1185"/>
      <c r="CN165" s="1185"/>
      <c r="CO165" s="1185"/>
      <c r="CP165" s="1185"/>
      <c r="CQ165" s="1185"/>
      <c r="CR165" s="1185"/>
      <c r="CS165" s="1185"/>
      <c r="CT165" s="1185"/>
      <c r="CU165" s="1404"/>
      <c r="CV165" s="1185"/>
      <c r="CW165" s="1404"/>
      <c r="CX165" s="1404"/>
      <c r="CY165" s="1185"/>
      <c r="CZ165" s="1185"/>
      <c r="DA165" s="1185"/>
      <c r="DB165" s="1352"/>
      <c r="DC165" s="1352"/>
      <c r="DD165" s="1352"/>
      <c r="DE165" s="1352"/>
      <c r="DF165" s="1352"/>
      <c r="DG165" s="1352"/>
      <c r="DH165" s="1408"/>
      <c r="DI165" s="1409"/>
      <c r="DJ165" s="1410"/>
      <c r="DK165" s="1410"/>
      <c r="DL165" s="1409"/>
      <c r="DM165" s="1409"/>
      <c r="DN165" s="1408"/>
      <c r="DO165" s="1409"/>
      <c r="DP165" s="1410"/>
      <c r="DQ165" s="1410"/>
      <c r="DR165" s="1409"/>
      <c r="DS165" s="1409"/>
      <c r="DT165" s="1409"/>
      <c r="DU165" s="1409"/>
      <c r="DV165" s="1409"/>
      <c r="DW165" s="1409"/>
      <c r="DX165" s="1409"/>
      <c r="DY165" s="1409"/>
    </row>
    <row r="166" spans="1:129" ht="12.75" hidden="1" customHeight="1" outlineLevel="1">
      <c r="A166" s="1411"/>
      <c r="B166" s="1412"/>
      <c r="C166" s="1401"/>
      <c r="D166" s="1402"/>
      <c r="E166" s="1402"/>
      <c r="F166" s="1412"/>
      <c r="G166" s="1401"/>
      <c r="H166" s="1402"/>
      <c r="I166" s="1402"/>
      <c r="J166" s="1412"/>
      <c r="K166" s="1401"/>
      <c r="L166" s="1402"/>
      <c r="M166" s="1402"/>
      <c r="N166" s="951"/>
      <c r="O166" s="1401"/>
      <c r="P166" s="1402"/>
      <c r="Q166" s="1402"/>
      <c r="R166" s="951"/>
      <c r="S166" s="1401"/>
      <c r="T166" s="1402"/>
      <c r="U166" s="1402"/>
      <c r="V166" s="951"/>
      <c r="W166" s="1413"/>
      <c r="X166" s="1402"/>
      <c r="Y166" s="1402"/>
      <c r="Z166" s="1402"/>
      <c r="AA166" s="951"/>
      <c r="AB166" s="1401"/>
      <c r="AC166" s="1402"/>
      <c r="AD166" s="1402"/>
      <c r="AE166" s="951"/>
      <c r="AF166" s="1401"/>
      <c r="AG166" s="1402"/>
      <c r="AH166" s="1402"/>
      <c r="AI166" s="951"/>
      <c r="AJ166" s="1401"/>
      <c r="AK166" s="1402"/>
      <c r="AL166" s="1402"/>
      <c r="AM166" s="951"/>
      <c r="AN166" s="1401"/>
      <c r="AO166" s="1402"/>
      <c r="AP166" s="1402"/>
      <c r="AQ166" s="951"/>
      <c r="AR166" s="1414"/>
      <c r="AS166" s="1402"/>
      <c r="AT166" s="1402"/>
      <c r="AU166" s="951"/>
      <c r="AV166" s="1405"/>
      <c r="AW166" s="1404"/>
      <c r="AX166" s="1404"/>
      <c r="AY166" s="951"/>
      <c r="AZ166" s="1405"/>
      <c r="BA166" s="1404"/>
      <c r="BB166" s="1404"/>
      <c r="BC166" s="951"/>
      <c r="BD166" s="1405"/>
      <c r="BE166" s="1404"/>
      <c r="BF166" s="1404"/>
      <c r="BG166" s="1404"/>
      <c r="BH166" s="1415"/>
      <c r="BI166" s="1404"/>
      <c r="BJ166" s="1404"/>
      <c r="BK166" s="1404"/>
      <c r="BL166" s="1415"/>
      <c r="BM166" s="1404"/>
      <c r="BN166" s="1404"/>
      <c r="BO166" s="1404"/>
      <c r="BP166" s="1415"/>
      <c r="BQ166" s="1404"/>
      <c r="BR166" s="1404"/>
      <c r="BS166" s="1404"/>
      <c r="BT166" s="1415"/>
      <c r="BU166" s="1404"/>
      <c r="BV166" s="1404"/>
      <c r="BW166" s="1404"/>
      <c r="BX166" s="1404"/>
      <c r="BY166" s="1404"/>
      <c r="BZ166" s="1404"/>
      <c r="CA166" s="1404"/>
      <c r="CB166" s="1404"/>
      <c r="CC166" s="1404"/>
      <c r="CD166" s="1404"/>
      <c r="CE166" s="1404"/>
      <c r="CF166" s="1404"/>
      <c r="CG166" s="1404"/>
      <c r="CH166" s="1404"/>
      <c r="CI166" s="1404"/>
      <c r="CJ166" s="1404"/>
      <c r="CK166" s="1404"/>
      <c r="CL166" s="1404"/>
      <c r="CM166" s="1404"/>
      <c r="CN166" s="1404"/>
      <c r="CO166" s="1404"/>
      <c r="CP166" s="1404"/>
      <c r="CQ166" s="1404"/>
      <c r="CR166" s="1404"/>
      <c r="CS166" s="1404"/>
      <c r="CT166" s="1404"/>
      <c r="CU166" s="1382"/>
      <c r="CV166" s="1404"/>
      <c r="CW166" s="1382"/>
      <c r="CX166" s="1382"/>
      <c r="CY166" s="1404"/>
      <c r="CZ166" s="1404"/>
      <c r="DA166" s="1404"/>
      <c r="DB166" s="1402"/>
      <c r="DC166" s="1402"/>
      <c r="DD166" s="1402"/>
      <c r="DE166" s="1402"/>
      <c r="DF166" s="1402"/>
      <c r="DG166" s="1402"/>
      <c r="DH166" s="1416"/>
      <c r="DI166" s="1417"/>
      <c r="DJ166" s="1012"/>
      <c r="DK166" s="1402"/>
      <c r="DL166" s="1012"/>
      <c r="DM166" s="1012"/>
      <c r="DN166" s="1416"/>
      <c r="DO166" s="1417"/>
      <c r="DP166" s="1012"/>
      <c r="DQ166" s="1402"/>
      <c r="DR166" s="1012"/>
      <c r="DS166" s="1012"/>
      <c r="DT166" s="1012"/>
      <c r="DU166" s="1012"/>
      <c r="DV166" s="1012"/>
      <c r="DW166" s="1012"/>
      <c r="DX166" s="1012"/>
      <c r="DY166" s="1012"/>
    </row>
    <row r="167" spans="1:129" ht="12.75" hidden="1" customHeight="1" outlineLevel="1">
      <c r="A167" s="1167" t="s">
        <v>734</v>
      </c>
      <c r="B167" s="951"/>
      <c r="C167" s="1359">
        <f>(C120+C130)/C177</f>
        <v>-3.462040943897484E-2</v>
      </c>
      <c r="D167" s="1360"/>
      <c r="E167" s="1167"/>
      <c r="F167" s="951"/>
      <c r="G167" s="1359">
        <f>(G120+G130)/G177</f>
        <v>-2.2311737719592703E-2</v>
      </c>
      <c r="H167" s="1348" t="s">
        <v>714</v>
      </c>
      <c r="I167" s="1167"/>
      <c r="J167" s="951"/>
      <c r="K167" s="1359">
        <f>(K120+K130)/K177</f>
        <v>-1.8291912437388494E-2</v>
      </c>
      <c r="L167" s="1348" t="s">
        <v>714</v>
      </c>
      <c r="M167" s="1167"/>
      <c r="N167" s="951"/>
      <c r="O167" s="1359">
        <f>(O120+O130)/O177</f>
        <v>2.720944948323142E-2</v>
      </c>
      <c r="P167" s="1348" t="s">
        <v>714</v>
      </c>
      <c r="Q167" s="1167"/>
      <c r="R167" s="951"/>
      <c r="S167" s="1359">
        <f>(S120+S130)/S177</f>
        <v>5.6260942691316179E-2</v>
      </c>
      <c r="T167" s="1270">
        <f t="shared" ref="T167:T173" si="269">(S167/O167-1)*100</f>
        <v>106.76986767405401</v>
      </c>
      <c r="U167" s="1167"/>
      <c r="V167" s="951"/>
      <c r="W167" s="1359">
        <f>(W120+W130)/W177</f>
        <v>5.7634331923102404E-2</v>
      </c>
      <c r="X167" s="1270">
        <f t="shared" ref="X167:X173" si="270">(W167/S167-1)*100</f>
        <v>2.4411059717245109</v>
      </c>
      <c r="Y167" s="1167"/>
      <c r="Z167" s="1167"/>
      <c r="AA167" s="951"/>
      <c r="AB167" s="1359">
        <f>(AB120+AB130)/AB177</f>
        <v>7.0282758683051713E-2</v>
      </c>
      <c r="AC167" s="1270">
        <f t="shared" ref="AC167:AC173" si="271">(AB167/W167-1)*100</f>
        <v>21.945993538756127</v>
      </c>
      <c r="AD167" s="1418"/>
      <c r="AE167" s="951"/>
      <c r="AF167" s="1359">
        <f>(AF120+AF130)/AF177</f>
        <v>5.7510558826455331E-2</v>
      </c>
      <c r="AG167" s="1270">
        <f t="shared" ref="AG167:AG173" si="272">(AF167/AB167-1)*100</f>
        <v>-18.172593244659197</v>
      </c>
      <c r="AH167" s="1418">
        <f>+AF167</f>
        <v>5.7510558826455331E-2</v>
      </c>
      <c r="AI167" s="951"/>
      <c r="AJ167" s="1359">
        <f>(AJ120+AJ130)/AJ177</f>
        <v>2.9647224421571233E-2</v>
      </c>
      <c r="AK167" s="1270">
        <f t="shared" ref="AK167:AK173" si="273">(AJ167/AF167-1)*100</f>
        <v>-48.449076088731616</v>
      </c>
      <c r="AL167" s="1419"/>
      <c r="AM167" s="951"/>
      <c r="AN167" s="1359">
        <f>(AN120+AN130)/AN177</f>
        <v>0.11546320440882687</v>
      </c>
      <c r="AO167" s="1270">
        <f t="shared" ref="AO167:AO173" si="274">(AN167/AJ167-1)*100</f>
        <v>289.45704585018819</v>
      </c>
      <c r="AP167" s="1420"/>
      <c r="AQ167" s="951"/>
      <c r="AR167" s="1359">
        <f>(AR120+AR130)/AR177</f>
        <v>0.23604447319928157</v>
      </c>
      <c r="AS167" s="1270">
        <f t="shared" ref="AS167:AS173" si="275">(AR167/AN167-1)*100</f>
        <v>104.43263670693392</v>
      </c>
      <c r="AT167" s="1421"/>
      <c r="AU167" s="1422"/>
      <c r="AV167" s="1375">
        <f>(AV120+AV130)/AV177</f>
        <v>0.2809091585773269</v>
      </c>
      <c r="AW167" s="1271">
        <f t="shared" ref="AW167:AW173" si="276">(AV167/AR167-1)*100</f>
        <v>19.006878140361351</v>
      </c>
      <c r="AX167" s="1382"/>
      <c r="AY167" s="1422"/>
      <c r="AZ167" s="1375">
        <f>(AZ120+AZ130)/AZ177</f>
        <v>0.34921197880876886</v>
      </c>
      <c r="BA167" s="1271">
        <f t="shared" ref="BA167:BA173" si="277">(AZ167/AV167-1)*100</f>
        <v>24.314913966267149</v>
      </c>
      <c r="BB167" s="1382"/>
      <c r="BC167" s="1422"/>
      <c r="BD167" s="1375">
        <f>(BD120+BD130)/BD177</f>
        <v>0.21092818975127831</v>
      </c>
      <c r="BE167" s="1271">
        <f t="shared" ref="BE167:BE173" si="278">(BD167/AZ167-1)*100</f>
        <v>-39.59881030690984</v>
      </c>
      <c r="BF167" s="1382"/>
      <c r="BG167" s="1382"/>
      <c r="BH167" s="1375">
        <f>(BH120+BH130)/BH177</f>
        <v>0.10597435427380526</v>
      </c>
      <c r="BI167" s="1271">
        <f t="shared" ref="BI167:BI173" si="279">(BH167/BD167-1)*100</f>
        <v>-49.758088570917046</v>
      </c>
      <c r="BJ167" s="1382"/>
      <c r="BK167" s="1382"/>
      <c r="BL167" s="1375">
        <f>(BL120+BL130)/BL177</f>
        <v>5.1939035119005161E-2</v>
      </c>
      <c r="BM167" s="1271">
        <f t="shared" ref="BM167:BM173" si="280">(BL167/BH167-1)*100</f>
        <v>-50.989052516601696</v>
      </c>
      <c r="BN167" s="1382"/>
      <c r="BO167" s="1382"/>
      <c r="BP167" s="1375">
        <f>(BP120+BP130)/BP177</f>
        <v>0.16208367873144419</v>
      </c>
      <c r="BQ167" s="1271">
        <f t="shared" ref="BQ167:BQ173" si="281">(BP167/BL167-1)*100</f>
        <v>212.06524795863157</v>
      </c>
      <c r="BR167" s="1382"/>
      <c r="BS167" s="1382"/>
      <c r="BT167" s="1375">
        <f>(BT120+BT130)/BT177</f>
        <v>0.22324234988745401</v>
      </c>
      <c r="BU167" s="1271">
        <f t="shared" ref="BU167:BU173" si="282">(BT167/BP167-1)*100</f>
        <v>37.732775832009203</v>
      </c>
      <c r="BV167" s="1382"/>
      <c r="BW167" s="1382"/>
      <c r="BX167" s="1375">
        <f>(BX120+BX130)/BX177</f>
        <v>0.17865167396984505</v>
      </c>
      <c r="BY167" s="1271">
        <f t="shared" ref="BY167:BY173" si="283">(BX167/BT167-1)*100</f>
        <v>-19.974111516067182</v>
      </c>
      <c r="BZ167" s="1382"/>
      <c r="CA167" s="1382"/>
      <c r="CB167" s="1375">
        <f>(CB120+CB130)/CB177</f>
        <v>1.9855985043810708E-2</v>
      </c>
      <c r="CC167" s="1271">
        <f t="shared" ref="CC167:CC173" si="284">(CB167/BX167-1)*100</f>
        <v>-88.885642881150815</v>
      </c>
      <c r="CD167" s="1382"/>
      <c r="CE167" s="1382"/>
      <c r="CF167" s="1375">
        <f>(CF120+CF130)/CF177</f>
        <v>0.14833061057790473</v>
      </c>
      <c r="CG167" s="1271">
        <f t="shared" ref="CG167:CG173" si="285">(CF167/CB167-1)*100</f>
        <v>647.03224368181486</v>
      </c>
      <c r="CH167" s="1382"/>
      <c r="CI167" s="1382"/>
      <c r="CJ167" s="1375">
        <f>(CJ120+CJ130)/CJ177</f>
        <v>0.22126859348264641</v>
      </c>
      <c r="CK167" s="1271">
        <f t="shared" ref="CK167:CK173" si="286">(CJ167/CF167-1)*100</f>
        <v>49.172576463193288</v>
      </c>
      <c r="CL167" s="1382"/>
      <c r="CM167" s="1382"/>
      <c r="CN167" s="1375">
        <f>(CN120+CN130)/CN177</f>
        <v>0.15775107607965735</v>
      </c>
      <c r="CO167" s="1271">
        <f t="shared" ref="CO167:CO173" si="287">(CN167/CJ167-1)*100</f>
        <v>-28.706070031565766</v>
      </c>
      <c r="CP167" s="1382"/>
      <c r="CQ167" s="1382"/>
      <c r="CR167" s="1375">
        <f>(CR120+CR130)/CR177</f>
        <v>0.22368781290498105</v>
      </c>
      <c r="CS167" s="1271">
        <f t="shared" ref="CS167:CS173" si="288">(CR167/CN167-1)*100</f>
        <v>41.797963262088025</v>
      </c>
      <c r="CT167" s="1382"/>
      <c r="CU167" s="1382"/>
      <c r="CV167" s="1382"/>
      <c r="CW167" s="1382"/>
      <c r="CX167" s="1382"/>
      <c r="CY167" s="1382"/>
      <c r="CZ167" s="1382"/>
      <c r="DA167" s="1382"/>
      <c r="DB167" s="1421"/>
      <c r="DC167" s="1421"/>
      <c r="DD167" s="1421"/>
      <c r="DE167" s="1423"/>
      <c r="DF167" s="1421"/>
      <c r="DG167" s="1421"/>
      <c r="DH167" s="1421"/>
      <c r="DI167" s="1421"/>
      <c r="DJ167" s="1421"/>
      <c r="DK167" s="1421"/>
      <c r="DL167" s="1421"/>
      <c r="DM167" s="1421"/>
      <c r="DN167" s="1421"/>
      <c r="DO167" s="1421"/>
      <c r="DP167" s="1421"/>
      <c r="DQ167" s="1421"/>
      <c r="DR167" s="1421"/>
      <c r="DS167" s="1421"/>
      <c r="DT167" s="1421"/>
      <c r="DU167" s="1421"/>
      <c r="DV167" s="1421"/>
      <c r="DW167" s="1421"/>
      <c r="DX167" s="1421"/>
      <c r="DY167" s="1421"/>
    </row>
    <row r="168" spans="1:129" ht="12.75" hidden="1" customHeight="1" outlineLevel="1">
      <c r="A168" s="1167" t="s">
        <v>735</v>
      </c>
      <c r="B168" s="951"/>
      <c r="C168" s="1363">
        <f>(C121+C131)/C178</f>
        <v>-7.7662134708548205E-3</v>
      </c>
      <c r="D168" s="1269"/>
      <c r="E168" s="1167"/>
      <c r="F168" s="951"/>
      <c r="G168" s="1363">
        <f>(G121+G131)/G178</f>
        <v>2.5810301741822383E-3</v>
      </c>
      <c r="H168" s="1348" t="s">
        <v>714</v>
      </c>
      <c r="I168" s="1167"/>
      <c r="J168" s="951"/>
      <c r="K168" s="1363">
        <f>(K121+K131)/K178</f>
        <v>5.5063913470993027E-3</v>
      </c>
      <c r="L168" s="1270">
        <f>(K168/G168-1)*100</f>
        <v>113.34083584838068</v>
      </c>
      <c r="M168" s="1167"/>
      <c r="N168" s="951"/>
      <c r="O168" s="1363">
        <f>(O121+O131)/O178</f>
        <v>4.412389609429844E-2</v>
      </c>
      <c r="P168" s="1270">
        <f t="shared" ref="P168:P173" si="289">(O168/K168-1)*100</f>
        <v>701.32147014109978</v>
      </c>
      <c r="Q168" s="1167"/>
      <c r="R168" s="951"/>
      <c r="S168" s="1363">
        <f>(S121+S131)/S178</f>
        <v>7.7368317744637552E-2</v>
      </c>
      <c r="T168" s="1270">
        <f t="shared" si="269"/>
        <v>75.343350413325936</v>
      </c>
      <c r="U168" s="1167"/>
      <c r="V168" s="951"/>
      <c r="W168" s="1363">
        <f>(W121+W131)/W178</f>
        <v>1.2970786537846278E-2</v>
      </c>
      <c r="X168" s="1270">
        <f t="shared" si="270"/>
        <v>-83.235015422388074</v>
      </c>
      <c r="Y168" s="1322"/>
      <c r="Z168" s="1322"/>
      <c r="AA168" s="951"/>
      <c r="AB168" s="1363">
        <f>(AB121+AB131)/AB178</f>
        <v>6.8404258171774868E-2</v>
      </c>
      <c r="AC168" s="1270">
        <f t="shared" si="271"/>
        <v>427.37170542576052</v>
      </c>
      <c r="AD168" s="1167"/>
      <c r="AE168" s="951"/>
      <c r="AF168" s="1380">
        <f>(AF121+AF131)/AF178</f>
        <v>4.5756272890648098E-2</v>
      </c>
      <c r="AG168" s="1270">
        <f t="shared" si="272"/>
        <v>-33.10902842371857</v>
      </c>
      <c r="AH168" s="1418">
        <f>+AF168</f>
        <v>4.5756272890648098E-2</v>
      </c>
      <c r="AI168" s="951"/>
      <c r="AJ168" s="1380">
        <f>(AJ121+AJ131)/AJ178</f>
        <v>3.7321543704522425E-2</v>
      </c>
      <c r="AK168" s="1270">
        <f t="shared" si="273"/>
        <v>-18.434038992388313</v>
      </c>
      <c r="AL168" s="1419"/>
      <c r="AM168" s="951"/>
      <c r="AN168" s="1380">
        <f>(AN121+AN131)/AN178</f>
        <v>0.13148337917767827</v>
      </c>
      <c r="AO168" s="1270">
        <f t="shared" si="274"/>
        <v>252.29887653801902</v>
      </c>
      <c r="AP168" s="1419"/>
      <c r="AQ168" s="951"/>
      <c r="AR168" s="1380">
        <f>AR150</f>
        <v>0.24517023011376871</v>
      </c>
      <c r="AS168" s="1270">
        <f t="shared" si="275"/>
        <v>86.464807679198202</v>
      </c>
      <c r="AT168" s="1421"/>
      <c r="AU168" s="1424"/>
      <c r="AV168" s="1380">
        <f>AV150</f>
        <v>0.31455365264680302</v>
      </c>
      <c r="AW168" s="1271">
        <f t="shared" si="276"/>
        <v>28.300100913898738</v>
      </c>
      <c r="AX168" s="1382"/>
      <c r="AY168" s="1424"/>
      <c r="AZ168" s="1380">
        <f>AZ150</f>
        <v>0.36634180612851475</v>
      </c>
      <c r="BA168" s="1271">
        <f t="shared" si="277"/>
        <v>16.46401275138334</v>
      </c>
      <c r="BB168" s="1382"/>
      <c r="BC168" s="1424"/>
      <c r="BD168" s="1380">
        <f>BD150</f>
        <v>0.28833661037859548</v>
      </c>
      <c r="BE168" s="1271">
        <f t="shared" si="278"/>
        <v>-21.293009545996121</v>
      </c>
      <c r="BF168" s="1382"/>
      <c r="BG168" s="1382"/>
      <c r="BH168" s="1380">
        <f>(BH121+BH131)/BH178</f>
        <v>0.13669832308685981</v>
      </c>
      <c r="BI168" s="1271">
        <f t="shared" si="279"/>
        <v>-52.590715793124431</v>
      </c>
      <c r="BJ168" s="1382"/>
      <c r="BK168" s="1382"/>
      <c r="BL168" s="1380">
        <f>(BL121+BL131)/BL178</f>
        <v>5.8138447377100111E-2</v>
      </c>
      <c r="BM168" s="1271">
        <f t="shared" si="280"/>
        <v>-57.469524084682291</v>
      </c>
      <c r="BN168" s="1382"/>
      <c r="BO168" s="1382"/>
      <c r="BP168" s="1380">
        <f>(BP121+BP131)/BP178</f>
        <v>0.12764398864572837</v>
      </c>
      <c r="BQ168" s="1271">
        <f t="shared" si="281"/>
        <v>119.55176721146063</v>
      </c>
      <c r="BR168" s="1382"/>
      <c r="BS168" s="1382"/>
      <c r="BT168" s="1380">
        <f>(BT121+BT131)/BT178</f>
        <v>8.9141021085347175E-2</v>
      </c>
      <c r="BU168" s="1271">
        <f t="shared" si="282"/>
        <v>-30.16434065472907</v>
      </c>
      <c r="BV168" s="1382"/>
      <c r="BW168" s="1382"/>
      <c r="BX168" s="1380">
        <f>(BX121+BX131)/BX178</f>
        <v>9.9994386351689918E-2</v>
      </c>
      <c r="BY168" s="1271">
        <f t="shared" si="283"/>
        <v>12.175500273831608</v>
      </c>
      <c r="BZ168" s="1382"/>
      <c r="CA168" s="1382"/>
      <c r="CB168" s="1380">
        <f>(CB121+CB132)/CB178</f>
        <v>2.9848983553020202E-2</v>
      </c>
      <c r="CC168" s="1271">
        <f t="shared" si="284"/>
        <v>-70.149340735950474</v>
      </c>
      <c r="CD168" s="1382"/>
      <c r="CE168" s="1382"/>
      <c r="CF168" s="1380">
        <f>(CF121+CF132)/CF178</f>
        <v>0.16895649744774863</v>
      </c>
      <c r="CG168" s="1271">
        <f t="shared" si="285"/>
        <v>466.03769152686317</v>
      </c>
      <c r="CH168" s="1382"/>
      <c r="CI168" s="1382"/>
      <c r="CJ168" s="1380">
        <f>(CJ121+CJ132)/CJ178</f>
        <v>0.22676691401372867</v>
      </c>
      <c r="CK168" s="1271">
        <f t="shared" si="286"/>
        <v>34.216154713942529</v>
      </c>
      <c r="CL168" s="1382"/>
      <c r="CM168" s="1382"/>
      <c r="CN168" s="1380">
        <f>(CN121+CN132)/CN178</f>
        <v>0.19327919099715826</v>
      </c>
      <c r="CO168" s="1271">
        <f t="shared" si="287"/>
        <v>-14.767464275914177</v>
      </c>
      <c r="CP168" s="1382"/>
      <c r="CQ168" s="1382"/>
      <c r="CR168" s="1380">
        <f>(CR121+CR132)/CR178</f>
        <v>0.30430783156640973</v>
      </c>
      <c r="CS168" s="1271">
        <f t="shared" si="288"/>
        <v>57.444694380412578</v>
      </c>
      <c r="CT168" s="1382"/>
      <c r="CU168" s="1382"/>
      <c r="CV168" s="1382"/>
      <c r="CW168" s="1382"/>
      <c r="CX168" s="1382"/>
      <c r="CY168" s="1382"/>
      <c r="CZ168" s="1382"/>
      <c r="DA168" s="1382"/>
      <c r="DB168" s="1421"/>
      <c r="DC168" s="1421"/>
      <c r="DD168" s="1421"/>
      <c r="DE168" s="1423"/>
      <c r="DF168" s="1421"/>
      <c r="DG168" s="1421"/>
      <c r="DH168" s="1425"/>
      <c r="DI168" s="1426"/>
      <c r="DJ168" s="1427"/>
      <c r="DK168" s="1427"/>
      <c r="DL168" s="1012"/>
      <c r="DM168" s="1012"/>
      <c r="DN168" s="1425"/>
      <c r="DO168" s="1425"/>
      <c r="DP168" s="1427"/>
      <c r="DQ168" s="1427"/>
      <c r="DR168" s="1012"/>
      <c r="DS168" s="1012"/>
      <c r="DT168" s="1012"/>
      <c r="DU168" s="1012"/>
      <c r="DV168" s="1012"/>
      <c r="DW168" s="1012"/>
      <c r="DX168" s="1012"/>
      <c r="DY168" s="1012"/>
    </row>
    <row r="169" spans="1:129" ht="12.75" hidden="1" customHeight="1" outlineLevel="1">
      <c r="A169" s="1167" t="s">
        <v>736</v>
      </c>
      <c r="B169" s="951"/>
      <c r="C169" s="1363">
        <f>(C122+C132)/C179</f>
        <v>8.2262853570870455E-3</v>
      </c>
      <c r="D169" s="1269"/>
      <c r="E169" s="1167"/>
      <c r="F169" s="951"/>
      <c r="G169" s="1363">
        <f>(G122+G132)/G179</f>
        <v>1.5946295552879252E-2</v>
      </c>
      <c r="H169" s="1270">
        <f>(G169/C169-1)*100</f>
        <v>93.845640658955773</v>
      </c>
      <c r="I169" s="1167"/>
      <c r="J169" s="951"/>
      <c r="K169" s="1363">
        <f>(K122+K132)/K179</f>
        <v>3.0222915673442319E-2</v>
      </c>
      <c r="L169" s="1270">
        <f>(K169/G169-1)*100</f>
        <v>89.529383631581382</v>
      </c>
      <c r="M169" s="1167"/>
      <c r="N169" s="951"/>
      <c r="O169" s="1363">
        <f>(O122+O132)/O179</f>
        <v>6.4217592592592673E-2</v>
      </c>
      <c r="P169" s="1270">
        <f t="shared" si="289"/>
        <v>112.47980600701072</v>
      </c>
      <c r="Q169" s="1167"/>
      <c r="R169" s="951"/>
      <c r="S169" s="1363">
        <f>(S122+S132)/S179</f>
        <v>0.11035611692660691</v>
      </c>
      <c r="T169" s="1270">
        <f t="shared" si="269"/>
        <v>71.847172202055106</v>
      </c>
      <c r="U169" s="1167"/>
      <c r="V169" s="951"/>
      <c r="W169" s="1363">
        <f>(W122+W132)/W179</f>
        <v>0.13625937115363096</v>
      </c>
      <c r="X169" s="1270">
        <f t="shared" si="270"/>
        <v>23.47242268795231</v>
      </c>
      <c r="Y169" s="1428"/>
      <c r="Z169" s="1428"/>
      <c r="AA169" s="951"/>
      <c r="AB169" s="1363">
        <f>(AB122+AB132)/AB179</f>
        <v>0.1395049123045855</v>
      </c>
      <c r="AC169" s="1270">
        <f t="shared" si="271"/>
        <v>2.3818847272494947</v>
      </c>
      <c r="AD169" s="1418"/>
      <c r="AE169" s="951"/>
      <c r="AF169" s="1363">
        <f>(AF122+AF132)/AF179</f>
        <v>0.12468752158000156</v>
      </c>
      <c r="AG169" s="1270">
        <f t="shared" si="272"/>
        <v>-10.62141144695512</v>
      </c>
      <c r="AH169" s="1418">
        <v>0.35</v>
      </c>
      <c r="AI169" s="951"/>
      <c r="AJ169" s="1363">
        <f>(AJ122+AJ132)/AJ179</f>
        <v>4.6787754612324803E-2</v>
      </c>
      <c r="AK169" s="1270">
        <f t="shared" si="273"/>
        <v>-62.475992770210766</v>
      </c>
      <c r="AL169" s="1419"/>
      <c r="AM169" s="951"/>
      <c r="AN169" s="1363">
        <f>(AN122+AN132)/AN179</f>
        <v>0.25465901343713571</v>
      </c>
      <c r="AO169" s="1270">
        <f t="shared" si="274"/>
        <v>444.28560538370778</v>
      </c>
      <c r="AP169" s="1419"/>
      <c r="AQ169" s="951"/>
      <c r="AR169" s="1363">
        <f>AR151</f>
        <v>0.31351757945640779</v>
      </c>
      <c r="AS169" s="1270">
        <f t="shared" si="275"/>
        <v>23.112696945164956</v>
      </c>
      <c r="AT169" s="1421"/>
      <c r="AU169" s="1429"/>
      <c r="AV169" s="1380">
        <f>AV151</f>
        <v>0.4419648818632182</v>
      </c>
      <c r="AW169" s="1271">
        <f t="shared" si="276"/>
        <v>40.96972891584538</v>
      </c>
      <c r="AX169" s="1382"/>
      <c r="AY169" s="1429"/>
      <c r="AZ169" s="1380">
        <f>AZ151</f>
        <v>0.4544440686332763</v>
      </c>
      <c r="BA169" s="1271">
        <f t="shared" si="277"/>
        <v>2.8235697636085577</v>
      </c>
      <c r="BB169" s="1382"/>
      <c r="BC169" s="1429"/>
      <c r="BD169" s="1380">
        <f>BD151</f>
        <v>0.30146526860042211</v>
      </c>
      <c r="BE169" s="1271">
        <f t="shared" si="278"/>
        <v>-33.662844471253031</v>
      </c>
      <c r="BF169" s="1382"/>
      <c r="BG169" s="1382"/>
      <c r="BH169" s="1380">
        <f>BH151</f>
        <v>0.32449986389229796</v>
      </c>
      <c r="BI169" s="1271">
        <f t="shared" si="279"/>
        <v>7.640878632160808</v>
      </c>
      <c r="BJ169" s="1382"/>
      <c r="BK169" s="1382"/>
      <c r="BL169" s="1380">
        <f>BL151</f>
        <v>0.31244203666070325</v>
      </c>
      <c r="BM169" s="1271">
        <f t="shared" si="280"/>
        <v>-3.7158188872451148</v>
      </c>
      <c r="BN169" s="1382"/>
      <c r="BO169" s="1382"/>
      <c r="BP169" s="1380">
        <f>BP151</f>
        <v>0.29569099675995575</v>
      </c>
      <c r="BQ169" s="1271">
        <f t="shared" si="281"/>
        <v>-5.3613272016077351</v>
      </c>
      <c r="BR169" s="1382"/>
      <c r="BS169" s="1382"/>
      <c r="BT169" s="1380">
        <f>BT151</f>
        <v>0.40819044695420564</v>
      </c>
      <c r="BU169" s="1271">
        <f t="shared" si="282"/>
        <v>38.046288668564983</v>
      </c>
      <c r="BV169" s="1382"/>
      <c r="BW169" s="1382"/>
      <c r="BX169" s="1380">
        <f>BX151</f>
        <v>0.18920210470063514</v>
      </c>
      <c r="BY169" s="1271">
        <f t="shared" si="283"/>
        <v>-53.648571123502677</v>
      </c>
      <c r="BZ169" s="1382"/>
      <c r="CA169" s="1382"/>
      <c r="CB169" s="1380">
        <f>CB151</f>
        <v>0.22079022236337276</v>
      </c>
      <c r="CC169" s="1271">
        <f t="shared" si="284"/>
        <v>16.695436719754198</v>
      </c>
      <c r="CD169" s="1382"/>
      <c r="CE169" s="1382"/>
      <c r="CF169" s="1380">
        <f>CF151</f>
        <v>0.35074793141514521</v>
      </c>
      <c r="CG169" s="1271">
        <f t="shared" si="285"/>
        <v>58.860264580870016</v>
      </c>
      <c r="CH169" s="1382"/>
      <c r="CI169" s="1382"/>
      <c r="CJ169" s="1380">
        <f>CJ151</f>
        <v>0.41036752159900342</v>
      </c>
      <c r="CK169" s="1271">
        <f t="shared" si="286"/>
        <v>16.997845131492006</v>
      </c>
      <c r="CL169" s="1382"/>
      <c r="CM169" s="1382"/>
      <c r="CN169" s="1380">
        <f>CN151</f>
        <v>0.36731572248397848</v>
      </c>
      <c r="CO169" s="1271">
        <f t="shared" si="287"/>
        <v>-10.491034706468227</v>
      </c>
      <c r="CP169" s="1382"/>
      <c r="CQ169" s="1382"/>
      <c r="CR169" s="1380">
        <f>CR151</f>
        <v>0.42047491917393265</v>
      </c>
      <c r="CS169" s="1271">
        <f t="shared" si="288"/>
        <v>14.472344480781896</v>
      </c>
      <c r="CT169" s="1382"/>
      <c r="CU169" s="1377"/>
      <c r="CV169" s="1382"/>
      <c r="CW169" s="1377"/>
      <c r="CX169" s="1377"/>
      <c r="CY169" s="1382"/>
      <c r="CZ169" s="1382"/>
      <c r="DA169" s="1382"/>
      <c r="DB169" s="1421"/>
      <c r="DC169" s="1421"/>
      <c r="DD169" s="1421"/>
      <c r="DE169" s="1423"/>
      <c r="DF169" s="1421"/>
      <c r="DG169" s="1421"/>
      <c r="DH169" s="1425"/>
      <c r="DI169" s="1425"/>
      <c r="DJ169" s="1427"/>
      <c r="DK169" s="1427"/>
      <c r="DL169" s="1012"/>
      <c r="DM169" s="1012"/>
      <c r="DN169" s="1425"/>
      <c r="DO169" s="1425"/>
      <c r="DP169" s="1427"/>
      <c r="DQ169" s="1427"/>
      <c r="DR169" s="1012"/>
      <c r="DS169" s="1012"/>
      <c r="DT169" s="1012"/>
      <c r="DU169" s="1012"/>
      <c r="DV169" s="1012"/>
      <c r="DW169" s="1012"/>
      <c r="DX169" s="1012"/>
      <c r="DY169" s="1012"/>
    </row>
    <row r="170" spans="1:129" ht="12.75" hidden="1" customHeight="1" outlineLevel="1">
      <c r="A170" s="1167" t="s">
        <v>737</v>
      </c>
      <c r="B170" s="951"/>
      <c r="C170" s="1366">
        <f>(C123+C133)/C180</f>
        <v>4.2896702609782775E-2</v>
      </c>
      <c r="D170" s="1269"/>
      <c r="E170" s="1167"/>
      <c r="F170" s="951"/>
      <c r="G170" s="1366">
        <f>(G123+G133)/G180</f>
        <v>4.7186786231005938E-2</v>
      </c>
      <c r="H170" s="1270">
        <f>(G170/C170-1)*100</f>
        <v>10.000963617760195</v>
      </c>
      <c r="I170" s="1167"/>
      <c r="J170" s="951"/>
      <c r="K170" s="1366">
        <f>(K123+K133)/K180</f>
        <v>7.6747577898061123E-2</v>
      </c>
      <c r="L170" s="1270">
        <f>(K170/G170-1)*100</f>
        <v>62.646333917165784</v>
      </c>
      <c r="M170" s="1167"/>
      <c r="N170" s="951"/>
      <c r="O170" s="1366">
        <f>(O123+O133)/O180</f>
        <v>0.11534219404589771</v>
      </c>
      <c r="P170" s="1270">
        <f t="shared" si="289"/>
        <v>50.287731814936663</v>
      </c>
      <c r="Q170" s="1167"/>
      <c r="R170" s="951"/>
      <c r="S170" s="1366">
        <f>(S123+S133)/S180</f>
        <v>0.16835332843657336</v>
      </c>
      <c r="T170" s="1270">
        <f t="shared" si="269"/>
        <v>45.959880362238572</v>
      </c>
      <c r="U170" s="1167"/>
      <c r="V170" s="951"/>
      <c r="W170" s="1366">
        <f>(W123+W133)/W180</f>
        <v>0.22523005572664598</v>
      </c>
      <c r="X170" s="1270">
        <f t="shared" si="270"/>
        <v>33.784141851107364</v>
      </c>
      <c r="Y170" s="1428"/>
      <c r="Z170" s="1428"/>
      <c r="AA170" s="951"/>
      <c r="AB170" s="1366">
        <f>(AB123+AB133)/AB180</f>
        <v>0.19894505016449615</v>
      </c>
      <c r="AC170" s="1270">
        <f t="shared" si="271"/>
        <v>-11.670292171863172</v>
      </c>
      <c r="AD170" s="1418"/>
      <c r="AE170" s="951"/>
      <c r="AF170" s="1366">
        <f>(AF123+AF133)/AF180</f>
        <v>0.17989653034215297</v>
      </c>
      <c r="AG170" s="1270">
        <f t="shared" si="272"/>
        <v>-9.5747643917720282</v>
      </c>
      <c r="AH170" s="1418">
        <v>0.52</v>
      </c>
      <c r="AI170" s="951"/>
      <c r="AJ170" s="1366">
        <f>(AJ123+AJ133)/AJ180</f>
        <v>0.16144643903429234</v>
      </c>
      <c r="AK170" s="1270">
        <f t="shared" si="273"/>
        <v>-10.255946166815777</v>
      </c>
      <c r="AL170" s="1430"/>
      <c r="AM170" s="951"/>
      <c r="AN170" s="1366">
        <f>(AN123+AN133)/AN180</f>
        <v>0.4385731607149842</v>
      </c>
      <c r="AO170" s="1270">
        <f t="shared" si="274"/>
        <v>171.65242128494901</v>
      </c>
      <c r="AP170" s="1430"/>
      <c r="AQ170" s="951"/>
      <c r="AR170" s="1366">
        <f>AR152</f>
        <v>0.47156590020775407</v>
      </c>
      <c r="AS170" s="1270">
        <f t="shared" si="275"/>
        <v>7.5227447660006108</v>
      </c>
      <c r="AT170" s="1431"/>
      <c r="AU170" s="1429"/>
      <c r="AV170" s="1383">
        <f>AV152</f>
        <v>0.65872211620714616</v>
      </c>
      <c r="AW170" s="1271">
        <f t="shared" si="276"/>
        <v>39.688242071137481</v>
      </c>
      <c r="AX170" s="1377"/>
      <c r="AY170" s="1429"/>
      <c r="AZ170" s="1383">
        <f>AZ152</f>
        <v>0.65626299291316847</v>
      </c>
      <c r="BA170" s="1271">
        <f t="shared" si="277"/>
        <v>-0.37331725070004484</v>
      </c>
      <c r="BB170" s="1377"/>
      <c r="BC170" s="1429"/>
      <c r="BD170" s="1383">
        <f>BD152</f>
        <v>0.18758308522740991</v>
      </c>
      <c r="BE170" s="1271">
        <f t="shared" si="278"/>
        <v>-71.416476739801567</v>
      </c>
      <c r="BF170" s="1377"/>
      <c r="BG170" s="1377"/>
      <c r="BH170" s="1383">
        <f>BH152</f>
        <v>0.37788694290189334</v>
      </c>
      <c r="BI170" s="1271">
        <f t="shared" si="279"/>
        <v>101.45043591951541</v>
      </c>
      <c r="BJ170" s="1377"/>
      <c r="BK170" s="1377"/>
      <c r="BL170" s="1383">
        <f>BL152</f>
        <v>0.4701461971959815</v>
      </c>
      <c r="BM170" s="1271">
        <f t="shared" si="280"/>
        <v>24.414512336839444</v>
      </c>
      <c r="BN170" s="1377"/>
      <c r="BO170" s="1377"/>
      <c r="BP170" s="1383">
        <f>BP152</f>
        <v>0.38591599332356757</v>
      </c>
      <c r="BQ170" s="1271">
        <f t="shared" si="281"/>
        <v>-17.915747138820816</v>
      </c>
      <c r="BR170" s="1377"/>
      <c r="BS170" s="1377"/>
      <c r="BT170" s="1383">
        <f>BT152</f>
        <v>0.5491319720324177</v>
      </c>
      <c r="BU170" s="1271">
        <f t="shared" si="282"/>
        <v>42.293136727298908</v>
      </c>
      <c r="BV170" s="951"/>
      <c r="BW170" s="951"/>
      <c r="BX170" s="1383">
        <f>BX152</f>
        <v>0.272677722072246</v>
      </c>
      <c r="BY170" s="1271">
        <f t="shared" si="283"/>
        <v>-50.343863413556875</v>
      </c>
      <c r="BZ170" s="951"/>
      <c r="CA170" s="1377"/>
      <c r="CB170" s="1383">
        <f>CB152</f>
        <v>0.35820208866874237</v>
      </c>
      <c r="CC170" s="1271">
        <f t="shared" si="284"/>
        <v>31.364632925104409</v>
      </c>
      <c r="CD170" s="951"/>
      <c r="CE170" s="1377"/>
      <c r="CF170" s="1383">
        <f>CF152</f>
        <v>0.42060342120571004</v>
      </c>
      <c r="CG170" s="1271">
        <f t="shared" si="285"/>
        <v>17.420705939734237</v>
      </c>
      <c r="CH170" s="951"/>
      <c r="CI170" s="1377"/>
      <c r="CJ170" s="1383">
        <f>CJ152</f>
        <v>0.39284749316415785</v>
      </c>
      <c r="CK170" s="1271">
        <f t="shared" si="286"/>
        <v>-6.5990732937897922</v>
      </c>
      <c r="CL170" s="951"/>
      <c r="CM170" s="1377"/>
      <c r="CN170" s="1383">
        <f>CN152</f>
        <v>0.4397771229098334</v>
      </c>
      <c r="CO170" s="1271">
        <f t="shared" si="287"/>
        <v>11.946017363553651</v>
      </c>
      <c r="CP170" s="951"/>
      <c r="CQ170" s="951"/>
      <c r="CR170" s="1383">
        <f>CR152</f>
        <v>0.40576077178670067</v>
      </c>
      <c r="CS170" s="1271">
        <f t="shared" si="288"/>
        <v>-7.7349069224110227</v>
      </c>
      <c r="CT170" s="1158"/>
      <c r="CU170" s="1382"/>
      <c r="CV170" s="1377"/>
      <c r="CW170" s="1382"/>
      <c r="CX170" s="1382"/>
      <c r="CY170" s="1377"/>
      <c r="CZ170" s="1377"/>
      <c r="DA170" s="1377"/>
      <c r="DB170" s="1431"/>
      <c r="DC170" s="1431"/>
      <c r="DD170" s="1431"/>
      <c r="DE170" s="1431"/>
      <c r="DF170" s="1431"/>
      <c r="DG170" s="1431"/>
      <c r="DH170" s="1425"/>
      <c r="DI170" s="1426"/>
      <c r="DJ170" s="1432"/>
      <c r="DK170" s="1432"/>
      <c r="DL170" s="1286"/>
      <c r="DM170" s="1012"/>
      <c r="DN170" s="1425"/>
      <c r="DO170" s="1425"/>
      <c r="DP170" s="1432"/>
      <c r="DQ170" s="1432"/>
      <c r="DR170" s="1012"/>
      <c r="DS170" s="1012"/>
      <c r="DT170" s="1012"/>
      <c r="DU170" s="1012"/>
      <c r="DV170" s="1012"/>
      <c r="DW170" s="1012"/>
      <c r="DX170" s="1012"/>
      <c r="DY170" s="1012"/>
    </row>
    <row r="171" spans="1:129" ht="12.75" hidden="1" customHeight="1" outlineLevel="1">
      <c r="A171" s="1167" t="s">
        <v>762</v>
      </c>
      <c r="B171" s="951"/>
      <c r="C171" s="1359">
        <f>(C124+C134)/C181</f>
        <v>8.7363650570401619E-3</v>
      </c>
      <c r="D171" s="1269"/>
      <c r="E171" s="1167"/>
      <c r="F171" s="951"/>
      <c r="G171" s="1359">
        <f>(G124+G134)/G181</f>
        <v>4.3987861577438114E-2</v>
      </c>
      <c r="H171" s="1270">
        <f>(G171/C171-1)*100</f>
        <v>403.50301630299532</v>
      </c>
      <c r="I171" s="1167"/>
      <c r="J171" s="1012"/>
      <c r="K171" s="1359">
        <f>(K124+K134)/K181</f>
        <v>9.5975142845738937E-2</v>
      </c>
      <c r="L171" s="1277">
        <f>(K171/G171-1)*100</f>
        <v>118.18551619468974</v>
      </c>
      <c r="M171" s="1167"/>
      <c r="N171" s="951"/>
      <c r="O171" s="1359">
        <f>(O124+O134)/O181</f>
        <v>0.25079709338968598</v>
      </c>
      <c r="P171" s="1277">
        <f t="shared" si="289"/>
        <v>161.3146341368751</v>
      </c>
      <c r="Q171" s="1433"/>
      <c r="R171" s="951"/>
      <c r="S171" s="1359">
        <f>(S124+S134)/S181</f>
        <v>0.41333278623500624</v>
      </c>
      <c r="T171" s="1277">
        <f t="shared" si="269"/>
        <v>64.807646152730314</v>
      </c>
      <c r="U171" s="1433"/>
      <c r="V171" s="951"/>
      <c r="W171" s="1359">
        <f>(W124+W134)/W181</f>
        <v>0.43327048559123066</v>
      </c>
      <c r="X171" s="1277">
        <f t="shared" si="270"/>
        <v>4.8236433257168532</v>
      </c>
      <c r="Y171" s="1433"/>
      <c r="Z171" s="1433"/>
      <c r="AA171" s="951"/>
      <c r="AB171" s="1359">
        <f>(AB124+AB134)/AB181</f>
        <v>0.47650988522568682</v>
      </c>
      <c r="AC171" s="1277">
        <f t="shared" si="271"/>
        <v>9.9797703911109323</v>
      </c>
      <c r="AD171" s="1434"/>
      <c r="AE171" s="951"/>
      <c r="AF171" s="1359">
        <f>(AF124+AF134)/AF181</f>
        <v>0.40639068646982573</v>
      </c>
      <c r="AG171" s="1277">
        <f t="shared" si="272"/>
        <v>-14.715161412160615</v>
      </c>
      <c r="AH171" s="1434">
        <f>+SUM(AH167:AH170)</f>
        <v>0.97326683171710338</v>
      </c>
      <c r="AI171" s="951"/>
      <c r="AJ171" s="1359">
        <f>(AJ124+AJ134)/AJ181</f>
        <v>0.31140101836848688</v>
      </c>
      <c r="AK171" s="1270">
        <f t="shared" si="273"/>
        <v>-23.373977619044616</v>
      </c>
      <c r="AL171" s="1421"/>
      <c r="AM171" s="951"/>
      <c r="AN171" s="1359">
        <f>(AN124+AN134)/AN181</f>
        <v>0.9470860733207318</v>
      </c>
      <c r="AO171" s="1270">
        <f t="shared" si="274"/>
        <v>204.1371149917135</v>
      </c>
      <c r="AP171" s="1421"/>
      <c r="AQ171" s="951"/>
      <c r="AR171" s="1359">
        <f>AR153</f>
        <v>1.2603945397822616</v>
      </c>
      <c r="AS171" s="1270">
        <f t="shared" si="275"/>
        <v>33.081308582966294</v>
      </c>
      <c r="AT171" s="1421"/>
      <c r="AU171" s="1422"/>
      <c r="AV171" s="1375">
        <f>AV153</f>
        <v>1.6960864158610063</v>
      </c>
      <c r="AW171" s="1271">
        <f t="shared" si="276"/>
        <v>34.567896188602361</v>
      </c>
      <c r="AX171" s="1382"/>
      <c r="AY171" s="1422"/>
      <c r="AZ171" s="1375">
        <f>AZ153</f>
        <v>1.8159569638641722</v>
      </c>
      <c r="BA171" s="1271">
        <f t="shared" si="277"/>
        <v>7.067478807812666</v>
      </c>
      <c r="BB171" s="1382"/>
      <c r="BC171" s="1422"/>
      <c r="BD171" s="1375">
        <f>BD153</f>
        <v>0.98745604146794985</v>
      </c>
      <c r="BE171" s="1271">
        <f t="shared" si="278"/>
        <v>-45.62337868587241</v>
      </c>
      <c r="BF171" s="1382"/>
      <c r="BG171" s="1382"/>
      <c r="BH171" s="1375">
        <f>BH153</f>
        <v>0.99218660506319378</v>
      </c>
      <c r="BI171" s="1271">
        <f t="shared" si="279"/>
        <v>0.4790657403048959</v>
      </c>
      <c r="BJ171" s="1382"/>
      <c r="BK171" s="1382"/>
      <c r="BL171" s="1375">
        <f>BL153</f>
        <v>1.0897521529298673</v>
      </c>
      <c r="BM171" s="1271">
        <f t="shared" si="280"/>
        <v>9.83338692225737</v>
      </c>
      <c r="BN171" s="1382"/>
      <c r="BO171" s="1382"/>
      <c r="BP171" s="1375">
        <f>BP153</f>
        <v>0.97066756335744486</v>
      </c>
      <c r="BQ171" s="1271">
        <f t="shared" si="281"/>
        <v>-10.927676467741399</v>
      </c>
      <c r="BR171" s="1382"/>
      <c r="BS171" s="1382"/>
      <c r="BT171" s="1375">
        <f>BT153</f>
        <v>1.3888221662970637</v>
      </c>
      <c r="BU171" s="1271">
        <f t="shared" si="282"/>
        <v>43.079074517877423</v>
      </c>
      <c r="BV171" s="1382"/>
      <c r="BW171" s="1382"/>
      <c r="BX171" s="1375">
        <f>BX153</f>
        <v>0.74347859622059409</v>
      </c>
      <c r="BY171" s="1271">
        <f t="shared" si="283"/>
        <v>-46.466969331077991</v>
      </c>
      <c r="BZ171" s="1382"/>
      <c r="CA171" s="1435"/>
      <c r="CB171" s="1375">
        <f>CB153</f>
        <v>0.62959432187972497</v>
      </c>
      <c r="CC171" s="1271">
        <f t="shared" si="284"/>
        <v>-15.317760984618722</v>
      </c>
      <c r="CD171" s="1382"/>
      <c r="CE171" s="1435"/>
      <c r="CF171" s="1375">
        <f>CF153</f>
        <v>1.086905119829594</v>
      </c>
      <c r="CG171" s="1271">
        <f t="shared" si="285"/>
        <v>72.635788166658813</v>
      </c>
      <c r="CH171" s="1382"/>
      <c r="CI171" s="1435"/>
      <c r="CJ171" s="1375">
        <f>CJ153</f>
        <v>1.2539831914488546</v>
      </c>
      <c r="CK171" s="1271">
        <f t="shared" si="286"/>
        <v>15.371909522834448</v>
      </c>
      <c r="CL171" s="1382"/>
      <c r="CM171" s="1435"/>
      <c r="CN171" s="1375">
        <f>CN153</f>
        <v>1.1559809276404887</v>
      </c>
      <c r="CO171" s="1271">
        <f t="shared" si="287"/>
        <v>-7.81527730807412</v>
      </c>
      <c r="CP171" s="1382"/>
      <c r="CQ171" s="1382"/>
      <c r="CR171" s="1375">
        <f>CR153</f>
        <v>1.3533033068560782</v>
      </c>
      <c r="CS171" s="1271">
        <f t="shared" si="288"/>
        <v>17.069691592434054</v>
      </c>
      <c r="CT171" s="1382"/>
      <c r="CU171" s="1438"/>
      <c r="CV171" s="1382"/>
      <c r="CW171" s="1438"/>
      <c r="CX171" s="1438"/>
      <c r="CY171" s="1382"/>
      <c r="CZ171" s="1382"/>
      <c r="DA171" s="1382"/>
      <c r="DB171" s="1421"/>
      <c r="DC171" s="1421"/>
      <c r="DD171" s="1421"/>
      <c r="DE171" s="1421"/>
      <c r="DF171" s="1421"/>
      <c r="DG171" s="1421"/>
      <c r="DH171" s="1436"/>
      <c r="DI171" s="1436"/>
      <c r="DJ171" s="1437"/>
      <c r="DK171" s="1437"/>
      <c r="DL171" s="1286"/>
      <c r="DM171" s="1012"/>
      <c r="DN171" s="1436"/>
      <c r="DO171" s="1436"/>
      <c r="DP171" s="1437"/>
      <c r="DQ171" s="1437"/>
      <c r="DR171" s="1012"/>
      <c r="DS171" s="1012"/>
      <c r="DT171" s="1012"/>
      <c r="DU171" s="1012"/>
      <c r="DV171" s="1012"/>
      <c r="DW171" s="1012"/>
      <c r="DX171" s="1012"/>
      <c r="DY171" s="1012"/>
    </row>
    <row r="172" spans="1:129" ht="12.75" hidden="1" customHeight="1" outlineLevel="2">
      <c r="A172" s="1167" t="s">
        <v>769</v>
      </c>
      <c r="B172" s="951"/>
      <c r="C172" s="1363">
        <f>C167+C168</f>
        <v>-4.2386622909829662E-2</v>
      </c>
      <c r="D172" s="1269"/>
      <c r="E172" s="1167"/>
      <c r="F172" s="951"/>
      <c r="G172" s="1363">
        <f>G167+G168</f>
        <v>-1.9730707545410463E-2</v>
      </c>
      <c r="H172" s="1348" t="s">
        <v>714</v>
      </c>
      <c r="I172" s="1167"/>
      <c r="J172" s="951"/>
      <c r="K172" s="1363">
        <f>K167+K168</f>
        <v>-1.278552109028919E-2</v>
      </c>
      <c r="L172" s="1348" t="s">
        <v>714</v>
      </c>
      <c r="M172" s="1167"/>
      <c r="N172" s="951"/>
      <c r="O172" s="1363">
        <f>O167+O168</f>
        <v>7.1333345577529864E-2</v>
      </c>
      <c r="P172" s="1348" t="s">
        <v>714</v>
      </c>
      <c r="Q172" s="1167"/>
      <c r="R172" s="951"/>
      <c r="S172" s="1363">
        <f>S167+S168</f>
        <v>0.13362926043595375</v>
      </c>
      <c r="T172" s="1270">
        <f t="shared" si="269"/>
        <v>87.330706774038092</v>
      </c>
      <c r="U172" s="1167"/>
      <c r="V172" s="951"/>
      <c r="W172" s="1363">
        <f>W167+W168</f>
        <v>7.0605118460948676E-2</v>
      </c>
      <c r="X172" s="1270">
        <f t="shared" si="270"/>
        <v>-47.163429453545078</v>
      </c>
      <c r="Y172" s="1167"/>
      <c r="Z172" s="1167"/>
      <c r="AA172" s="951"/>
      <c r="AB172" s="1363">
        <f>AB167+AB168</f>
        <v>0.13868701685482659</v>
      </c>
      <c r="AC172" s="1270">
        <f t="shared" si="271"/>
        <v>96.426292991114607</v>
      </c>
      <c r="AD172" s="1167"/>
      <c r="AE172" s="951"/>
      <c r="AF172" s="1363">
        <f>AF167+AF168</f>
        <v>0.10326683171710344</v>
      </c>
      <c r="AG172" s="1270">
        <f t="shared" si="272"/>
        <v>-25.539654641789532</v>
      </c>
      <c r="AH172" s="1167"/>
      <c r="AI172" s="951"/>
      <c r="AJ172" s="1363">
        <f>AJ167+AJ168</f>
        <v>6.6968768126093661E-2</v>
      </c>
      <c r="AK172" s="1270">
        <f t="shared" si="273"/>
        <v>-35.149779447526086</v>
      </c>
      <c r="AL172" s="1418"/>
      <c r="AM172" s="951"/>
      <c r="AN172" s="1363">
        <f>AN167+AN168</f>
        <v>0.24694658358650515</v>
      </c>
      <c r="AO172" s="1270">
        <f t="shared" si="274"/>
        <v>268.74888174967799</v>
      </c>
      <c r="AP172" s="1418"/>
      <c r="AQ172" s="951"/>
      <c r="AR172" s="1363">
        <f>AR167+AR168</f>
        <v>0.48121470331305027</v>
      </c>
      <c r="AS172" s="1270">
        <f t="shared" si="275"/>
        <v>94.86590837750191</v>
      </c>
      <c r="AT172" s="1434"/>
      <c r="AU172" s="951"/>
      <c r="AV172" s="1380">
        <f>AV167+AV168</f>
        <v>0.59546281122412992</v>
      </c>
      <c r="AW172" s="1271">
        <f t="shared" si="276"/>
        <v>23.741607877836699</v>
      </c>
      <c r="AX172" s="1438"/>
      <c r="AY172" s="951"/>
      <c r="AZ172" s="1380">
        <f>AZ167+AZ168</f>
        <v>0.71555378493728361</v>
      </c>
      <c r="BA172" s="1271">
        <f t="shared" si="277"/>
        <v>20.167669827486833</v>
      </c>
      <c r="BB172" s="1438"/>
      <c r="BC172" s="951"/>
      <c r="BD172" s="1380">
        <f>BD167+BD168</f>
        <v>0.49926480012987379</v>
      </c>
      <c r="BE172" s="1271">
        <f t="shared" si="278"/>
        <v>-30.226796274492063</v>
      </c>
      <c r="BF172" s="1438"/>
      <c r="BG172" s="1438"/>
      <c r="BH172" s="1380">
        <f>BH167+BH168</f>
        <v>0.24267267736066506</v>
      </c>
      <c r="BI172" s="1271">
        <f t="shared" si="279"/>
        <v>-51.3939942696664</v>
      </c>
      <c r="BJ172" s="1438"/>
      <c r="BK172" s="1438"/>
      <c r="BL172" s="1380">
        <f>BL167+BL168</f>
        <v>0.11007748249610527</v>
      </c>
      <c r="BM172" s="1271">
        <f t="shared" si="280"/>
        <v>-54.639523619502548</v>
      </c>
      <c r="BN172" s="1438"/>
      <c r="BO172" s="1438"/>
      <c r="BP172" s="1380">
        <f>BP167+BP168</f>
        <v>0.28972766737717259</v>
      </c>
      <c r="BQ172" s="1271">
        <f t="shared" si="281"/>
        <v>163.20339165407751</v>
      </c>
      <c r="BR172" s="1438"/>
      <c r="BS172" s="1438"/>
      <c r="BT172" s="1380">
        <f>BT167+BT168</f>
        <v>0.31238337097280117</v>
      </c>
      <c r="BU172" s="1271">
        <f t="shared" si="282"/>
        <v>7.8196548506135555</v>
      </c>
      <c r="BV172" s="1438"/>
      <c r="BW172" s="1438"/>
      <c r="BX172" s="1380">
        <f>BX167+BX168</f>
        <v>0.27864606032153494</v>
      </c>
      <c r="BY172" s="1271">
        <f t="shared" si="283"/>
        <v>-10.799970096424783</v>
      </c>
      <c r="BZ172" s="1438"/>
      <c r="CA172" s="1438"/>
      <c r="CB172" s="1380">
        <f>CB167+CB168</f>
        <v>4.9704968596830906E-2</v>
      </c>
      <c r="CC172" s="1271">
        <f t="shared" si="284"/>
        <v>-82.161969726227085</v>
      </c>
      <c r="CD172" s="1438"/>
      <c r="CE172" s="1438"/>
      <c r="CF172" s="1380">
        <f>CF167+CF168</f>
        <v>0.31728710802565335</v>
      </c>
      <c r="CG172" s="1271">
        <f t="shared" si="285"/>
        <v>538.34082785414535</v>
      </c>
      <c r="CH172" s="1438"/>
      <c r="CI172" s="1438"/>
      <c r="CJ172" s="1380">
        <f>CJ167+CJ168</f>
        <v>0.44803550749637511</v>
      </c>
      <c r="CK172" s="1271">
        <f t="shared" si="286"/>
        <v>41.208229443772559</v>
      </c>
      <c r="CL172" s="1438"/>
      <c r="CM172" s="1438"/>
      <c r="CN172" s="1380">
        <f>CN167+CN168</f>
        <v>0.35103026707681562</v>
      </c>
      <c r="CO172" s="1271">
        <f t="shared" si="287"/>
        <v>-21.65123942109528</v>
      </c>
      <c r="CP172" s="1438"/>
      <c r="CQ172" s="1438"/>
      <c r="CR172" s="1380">
        <f>CR167+CR168</f>
        <v>0.5279956444713908</v>
      </c>
      <c r="CS172" s="1271">
        <f t="shared" si="288"/>
        <v>50.413139262390175</v>
      </c>
      <c r="CT172" s="1438"/>
      <c r="CU172" s="1371"/>
      <c r="CV172" s="1438"/>
      <c r="CW172" s="1371"/>
      <c r="CX172" s="1371"/>
      <c r="CY172" s="1438"/>
      <c r="CZ172" s="1438"/>
      <c r="DA172" s="1438"/>
      <c r="DB172" s="1434"/>
      <c r="DC172" s="1434"/>
      <c r="DD172" s="1434"/>
      <c r="DE172" s="1434"/>
      <c r="DF172" s="1434"/>
      <c r="DG172" s="1434"/>
      <c r="DH172" s="1439"/>
      <c r="DI172" s="1439"/>
      <c r="DJ172" s="1440"/>
      <c r="DK172" s="1440"/>
      <c r="DL172" s="1012"/>
      <c r="DM172" s="1012"/>
      <c r="DN172" s="1439"/>
      <c r="DO172" s="1439"/>
      <c r="DP172" s="1440"/>
      <c r="DQ172" s="1440"/>
      <c r="DR172" s="1012"/>
      <c r="DS172" s="1012"/>
      <c r="DT172" s="1012"/>
      <c r="DU172" s="1012"/>
      <c r="DV172" s="1012"/>
      <c r="DW172" s="1012"/>
      <c r="DX172" s="1012"/>
      <c r="DY172" s="1012"/>
    </row>
    <row r="173" spans="1:129" ht="12.75" hidden="1" customHeight="1" outlineLevel="2">
      <c r="A173" s="1167" t="s">
        <v>770</v>
      </c>
      <c r="B173" s="951"/>
      <c r="C173" s="1441">
        <f>C169+C172</f>
        <v>-3.4160337552742615E-2</v>
      </c>
      <c r="D173" s="1269"/>
      <c r="E173" s="1441"/>
      <c r="F173" s="951"/>
      <c r="G173" s="1441">
        <f>G169+G172</f>
        <v>-3.7844119925312114E-3</v>
      </c>
      <c r="H173" s="1348" t="s">
        <v>714</v>
      </c>
      <c r="I173" s="1167"/>
      <c r="J173" s="951"/>
      <c r="K173" s="1441">
        <f>K169+K172</f>
        <v>1.7437394583153128E-2</v>
      </c>
      <c r="L173" s="1348" t="s">
        <v>714</v>
      </c>
      <c r="M173" s="1167"/>
      <c r="N173" s="951"/>
      <c r="O173" s="1441">
        <f>O169+O172</f>
        <v>0.13555093817012254</v>
      </c>
      <c r="P173" s="1269">
        <f t="shared" si="289"/>
        <v>677.35774988473906</v>
      </c>
      <c r="Q173" s="1167"/>
      <c r="R173" s="951"/>
      <c r="S173" s="1441">
        <f>S169+S172</f>
        <v>0.24398537736256065</v>
      </c>
      <c r="T173" s="1270">
        <f t="shared" si="269"/>
        <v>79.995343932144536</v>
      </c>
      <c r="U173" s="1167"/>
      <c r="V173" s="951"/>
      <c r="W173" s="1441">
        <f>W169+W172</f>
        <v>0.20686448961457965</v>
      </c>
      <c r="X173" s="1270">
        <f t="shared" si="270"/>
        <v>-15.214390366033948</v>
      </c>
      <c r="Y173" s="1167"/>
      <c r="Z173" s="1167"/>
      <c r="AA173" s="951"/>
      <c r="AB173" s="1441">
        <f>AB169+AB172</f>
        <v>0.2781919291594121</v>
      </c>
      <c r="AC173" s="1270">
        <f t="shared" si="271"/>
        <v>34.480272412982259</v>
      </c>
      <c r="AD173" s="1167"/>
      <c r="AE173" s="951"/>
      <c r="AF173" s="1441">
        <f>AF169+AF172</f>
        <v>0.22795435329710501</v>
      </c>
      <c r="AG173" s="1270">
        <f t="shared" si="272"/>
        <v>-18.058602927160948</v>
      </c>
      <c r="AH173" s="1167"/>
      <c r="AI173" s="951"/>
      <c r="AJ173" s="1441">
        <f>AJ169+AJ172</f>
        <v>0.11375652273841846</v>
      </c>
      <c r="AK173" s="1270">
        <f t="shared" si="273"/>
        <v>-50.096797410070273</v>
      </c>
      <c r="AL173" s="1167"/>
      <c r="AM173" s="951"/>
      <c r="AN173" s="1441">
        <f>AN169+AN172</f>
        <v>0.50160559702364083</v>
      </c>
      <c r="AO173" s="1270">
        <f t="shared" si="274"/>
        <v>340.94666833046222</v>
      </c>
      <c r="AP173" s="1167"/>
      <c r="AQ173" s="951"/>
      <c r="AR173" s="1441">
        <f>AR169+AR172</f>
        <v>0.79473228276945806</v>
      </c>
      <c r="AS173" s="1270">
        <f t="shared" si="275"/>
        <v>58.437682411267453</v>
      </c>
      <c r="AT173" s="1167"/>
      <c r="AU173" s="951"/>
      <c r="AV173" s="1442">
        <f>AV169+AV172</f>
        <v>1.0374276930873481</v>
      </c>
      <c r="AW173" s="1271">
        <f t="shared" si="276"/>
        <v>30.538008280241581</v>
      </c>
      <c r="AX173" s="1371"/>
      <c r="AY173" s="951"/>
      <c r="AZ173" s="1442">
        <f>AZ169+AZ172</f>
        <v>1.16999785357056</v>
      </c>
      <c r="BA173" s="1271">
        <f t="shared" si="277"/>
        <v>12.778737387343874</v>
      </c>
      <c r="BB173" s="1371"/>
      <c r="BC173" s="951"/>
      <c r="BD173" s="1442">
        <f>BD169+BD172</f>
        <v>0.80073006873029584</v>
      </c>
      <c r="BE173" s="1271">
        <f t="shared" si="278"/>
        <v>-31.561407032786015</v>
      </c>
      <c r="BF173" s="1371"/>
      <c r="BG173" s="1371"/>
      <c r="BH173" s="1442">
        <f>BH169+BH172</f>
        <v>0.56717254125296301</v>
      </c>
      <c r="BI173" s="1271">
        <f t="shared" si="279"/>
        <v>-29.16807256254047</v>
      </c>
      <c r="BJ173" s="1371"/>
      <c r="BK173" s="1371"/>
      <c r="BL173" s="1442">
        <f>BL169+BL172</f>
        <v>0.42251951915680852</v>
      </c>
      <c r="BM173" s="1271">
        <f t="shared" si="280"/>
        <v>-25.504235761589555</v>
      </c>
      <c r="BN173" s="1371"/>
      <c r="BO173" s="1371"/>
      <c r="BP173" s="1442">
        <f>BP169+BP172</f>
        <v>0.5854186641371284</v>
      </c>
      <c r="BQ173" s="1271">
        <f t="shared" si="281"/>
        <v>38.55422947214506</v>
      </c>
      <c r="BR173" s="1371"/>
      <c r="BS173" s="1371"/>
      <c r="BT173" s="1442">
        <f>BT169+BT172</f>
        <v>0.72057381792700681</v>
      </c>
      <c r="BU173" s="1271">
        <f t="shared" si="282"/>
        <v>23.086922585409695</v>
      </c>
      <c r="BV173" s="1371"/>
      <c r="BW173" s="1371"/>
      <c r="BX173" s="1442">
        <f>BX169+BX172</f>
        <v>0.46784816502217008</v>
      </c>
      <c r="BY173" s="1271">
        <f t="shared" si="283"/>
        <v>-35.072833152874495</v>
      </c>
      <c r="BZ173" s="1371"/>
      <c r="CA173" s="1371"/>
      <c r="CB173" s="1442">
        <f>CB169+CB172</f>
        <v>0.27049519096020369</v>
      </c>
      <c r="CC173" s="1271">
        <f t="shared" si="284"/>
        <v>-42.183124529859882</v>
      </c>
      <c r="CD173" s="1371"/>
      <c r="CE173" s="1371"/>
      <c r="CF173" s="1442">
        <f>CF169+CF172</f>
        <v>0.66803503944079856</v>
      </c>
      <c r="CG173" s="1271">
        <f t="shared" si="285"/>
        <v>146.9674366739786</v>
      </c>
      <c r="CH173" s="1371"/>
      <c r="CI173" s="1371"/>
      <c r="CJ173" s="1442">
        <f>CJ169+CJ172</f>
        <v>0.85840302909537858</v>
      </c>
      <c r="CK173" s="1271">
        <f t="shared" si="286"/>
        <v>28.496707270614728</v>
      </c>
      <c r="CL173" s="1371"/>
      <c r="CM173" s="1371"/>
      <c r="CN173" s="1442">
        <f>CN169+CN172</f>
        <v>0.7183459895607941</v>
      </c>
      <c r="CO173" s="1271">
        <f t="shared" si="287"/>
        <v>-16.316000152304046</v>
      </c>
      <c r="CP173" s="1371"/>
      <c r="CQ173" s="1371"/>
      <c r="CR173" s="1442">
        <f>CR169+CR172</f>
        <v>0.94847056364532345</v>
      </c>
      <c r="CS173" s="1271">
        <f t="shared" si="288"/>
        <v>32.035339158116606</v>
      </c>
      <c r="CT173" s="1371"/>
      <c r="CU173" s="1158"/>
      <c r="CV173" s="1371"/>
      <c r="CW173" s="1158"/>
      <c r="CX173" s="1158"/>
      <c r="CY173" s="1371"/>
      <c r="CZ173" s="1371"/>
      <c r="DA173" s="1371"/>
      <c r="DB173" s="1433"/>
      <c r="DC173" s="1433"/>
      <c r="DD173" s="1433"/>
      <c r="DE173" s="1433"/>
      <c r="DF173" s="1433"/>
      <c r="DG173" s="1433"/>
      <c r="DH173" s="1012"/>
      <c r="DI173" s="1012"/>
      <c r="DJ173" s="1012"/>
      <c r="DK173" s="1012"/>
      <c r="DL173" s="1012"/>
      <c r="DM173" s="1012"/>
      <c r="DN173" s="1012"/>
      <c r="DO173" s="1012"/>
      <c r="DP173" s="1012"/>
      <c r="DQ173" s="1012"/>
      <c r="DR173" s="1012"/>
      <c r="DS173" s="1012"/>
      <c r="DT173" s="1012"/>
      <c r="DU173" s="1012"/>
      <c r="DV173" s="1012"/>
      <c r="DW173" s="1012"/>
      <c r="DX173" s="1012"/>
      <c r="DY173" s="1012"/>
    </row>
    <row r="174" spans="1:129" ht="12.75" hidden="1" customHeight="1" outlineLevel="1">
      <c r="A174" s="1167"/>
      <c r="B174" s="951"/>
      <c r="C174" s="951"/>
      <c r="D174" s="951"/>
      <c r="E174" s="951"/>
      <c r="F174" s="951"/>
      <c r="G174" s="951"/>
      <c r="H174" s="951"/>
      <c r="I174" s="951"/>
      <c r="J174" s="951"/>
      <c r="K174" s="951"/>
      <c r="L174" s="951"/>
      <c r="M174" s="951"/>
      <c r="N174" s="951"/>
      <c r="O174" s="1255"/>
      <c r="P174" s="951"/>
      <c r="Q174" s="951"/>
      <c r="R174" s="951"/>
      <c r="S174" s="1255"/>
      <c r="T174" s="951"/>
      <c r="U174" s="951"/>
      <c r="V174" s="951"/>
      <c r="W174" s="1255"/>
      <c r="X174" s="951"/>
      <c r="Y174" s="951"/>
      <c r="Z174" s="951"/>
      <c r="AA174" s="951"/>
      <c r="AB174" s="1255"/>
      <c r="AC174" s="951"/>
      <c r="AD174" s="951"/>
      <c r="AE174" s="951"/>
      <c r="AF174" s="1443"/>
      <c r="AG174" s="951"/>
      <c r="AH174" s="951"/>
      <c r="AI174" s="951"/>
      <c r="AJ174" s="1443"/>
      <c r="AK174" s="951"/>
      <c r="AL174" s="951"/>
      <c r="AM174" s="951"/>
      <c r="AN174" s="1443"/>
      <c r="AO174" s="951"/>
      <c r="AP174" s="951"/>
      <c r="AQ174" s="951"/>
      <c r="AR174" s="1443"/>
      <c r="AS174" s="951"/>
      <c r="AT174" s="951"/>
      <c r="AU174" s="951"/>
      <c r="AV174" s="1444"/>
      <c r="AW174" s="1158"/>
      <c r="AX174" s="1158"/>
      <c r="AY174" s="951"/>
      <c r="AZ174" s="1444"/>
      <c r="BA174" s="1158"/>
      <c r="BB174" s="1158"/>
      <c r="BC174" s="951"/>
      <c r="BD174" s="1444"/>
      <c r="BE174" s="1158"/>
      <c r="BF174" s="1158"/>
      <c r="BG174" s="1158"/>
      <c r="BH174" s="1444">
        <v>1.25</v>
      </c>
      <c r="BI174" s="1158"/>
      <c r="BJ174" s="1158"/>
      <c r="BK174" s="1158"/>
      <c r="BL174" s="1444">
        <v>1.25</v>
      </c>
      <c r="BM174" s="1158"/>
      <c r="BN174" s="1158"/>
      <c r="BO174" s="1158"/>
      <c r="BP174" s="1444">
        <v>1.25</v>
      </c>
      <c r="BQ174" s="1158"/>
      <c r="BR174" s="1158"/>
      <c r="BS174" s="1158"/>
      <c r="BT174" s="1444">
        <v>1.25</v>
      </c>
      <c r="BU174" s="1158"/>
      <c r="BV174" s="1158"/>
      <c r="BW174" s="1158"/>
      <c r="BX174" s="1158"/>
      <c r="BY174" s="1158"/>
      <c r="BZ174" s="1158"/>
      <c r="CA174" s="1158"/>
      <c r="CB174" s="1158"/>
      <c r="CC174" s="1158"/>
      <c r="CD174" s="1158"/>
      <c r="CE174" s="1158"/>
      <c r="CF174" s="1158"/>
      <c r="CG174" s="1158"/>
      <c r="CH174" s="1158"/>
      <c r="CI174" s="1158"/>
      <c r="CJ174" s="1158"/>
      <c r="CK174" s="1158"/>
      <c r="CL174" s="1158"/>
      <c r="CM174" s="1158"/>
      <c r="CN174" s="1158"/>
      <c r="CO174" s="1158"/>
      <c r="CP174" s="1158"/>
      <c r="CQ174" s="1158"/>
      <c r="CR174" s="1158"/>
      <c r="CS174" s="1158"/>
      <c r="CT174" s="1158"/>
      <c r="CU174" s="1185"/>
      <c r="CV174" s="1158"/>
      <c r="CW174" s="1185"/>
      <c r="CX174" s="1185"/>
      <c r="CY174" s="1158"/>
      <c r="CZ174" s="1158"/>
      <c r="DA174" s="1158"/>
      <c r="DB174" s="1012"/>
      <c r="DC174" s="1012"/>
      <c r="DD174" s="1012"/>
      <c r="DE174" s="1012"/>
      <c r="DF174" s="1012"/>
      <c r="DG174" s="1012"/>
      <c r="DH174" s="1012"/>
      <c r="DI174" s="1012"/>
      <c r="DJ174" s="1012"/>
      <c r="DK174" s="1012"/>
      <c r="DL174" s="1012"/>
      <c r="DM174" s="1012"/>
      <c r="DN174" s="1012"/>
      <c r="DO174" s="1012"/>
      <c r="DP174" s="1012"/>
      <c r="DQ174" s="1012"/>
      <c r="DR174" s="1012"/>
      <c r="DS174" s="1012"/>
      <c r="DT174" s="1012"/>
      <c r="DU174" s="1012"/>
      <c r="DV174" s="1012"/>
      <c r="DW174" s="1012"/>
      <c r="DX174" s="1012"/>
      <c r="DY174" s="1012"/>
    </row>
    <row r="175" spans="1:129" ht="12.75" collapsed="1">
      <c r="A175" s="1259"/>
      <c r="B175" s="1181"/>
      <c r="C175" s="1181"/>
      <c r="D175" s="1181"/>
      <c r="E175" s="1181"/>
      <c r="F175" s="1181"/>
      <c r="G175" s="1182"/>
      <c r="H175" s="1182"/>
      <c r="I175" s="1182"/>
      <c r="J175" s="1182"/>
      <c r="K175" s="1182"/>
      <c r="L175" s="1182"/>
      <c r="M175" s="1182"/>
      <c r="N175" s="1182"/>
      <c r="O175" s="1182"/>
      <c r="P175" s="1182"/>
      <c r="Q175" s="1182"/>
      <c r="R175" s="1182"/>
      <c r="S175" s="1259"/>
      <c r="T175" s="1182"/>
      <c r="U175" s="1182"/>
      <c r="V175" s="1182"/>
      <c r="W175" s="1259"/>
      <c r="X175" s="1182"/>
      <c r="Y175" s="1182"/>
      <c r="Z175" s="1182"/>
      <c r="AA175" s="1183"/>
      <c r="AB175" s="1182"/>
      <c r="AC175" s="1183"/>
      <c r="AD175" s="1183"/>
      <c r="AE175" s="1183"/>
      <c r="AF175" s="1182"/>
      <c r="AG175" s="1183"/>
      <c r="AH175" s="1183"/>
      <c r="AI175" s="1183"/>
      <c r="AJ175" s="1184"/>
      <c r="AK175" s="1183"/>
      <c r="AL175" s="1183"/>
      <c r="AM175" s="1183"/>
      <c r="AN175" s="1184"/>
      <c r="AO175" s="1183"/>
      <c r="AP175" s="1183"/>
      <c r="AQ175" s="1183"/>
      <c r="AR175" s="1184"/>
      <c r="AS175" s="1183"/>
      <c r="AT175" s="1183"/>
      <c r="AU175" s="1183"/>
      <c r="AW175" s="1185"/>
      <c r="AX175" s="1185"/>
      <c r="AY175" s="1183"/>
      <c r="AZ175" s="1186"/>
      <c r="BA175" s="1185"/>
      <c r="BB175" s="1185"/>
      <c r="BC175" s="1183"/>
      <c r="BD175" s="1186"/>
      <c r="BE175" s="1185"/>
      <c r="BF175" s="1185"/>
      <c r="BG175" s="1185"/>
      <c r="BH175" s="1186"/>
      <c r="BI175" s="1185"/>
      <c r="BJ175" s="1185"/>
      <c r="BK175" s="1185"/>
      <c r="BL175" s="1186"/>
      <c r="BM175" s="1185"/>
      <c r="BN175" s="1185"/>
      <c r="BO175" s="1185"/>
      <c r="BP175" s="1186"/>
      <c r="BQ175" s="1185"/>
      <c r="BR175" s="1182" t="s">
        <v>683</v>
      </c>
      <c r="BS175" s="1185"/>
      <c r="BT175" s="1186"/>
      <c r="BU175" s="1185"/>
      <c r="BV175" s="1185"/>
      <c r="BW175" s="1185"/>
      <c r="BX175" s="1185"/>
      <c r="BY175" s="1185"/>
      <c r="BZ175" s="1185"/>
      <c r="CA175" s="1187"/>
      <c r="CB175" s="1185"/>
      <c r="CC175" s="1185"/>
      <c r="CD175" s="1185"/>
      <c r="CE175" s="1187"/>
      <c r="CF175" s="1185"/>
      <c r="CG175" s="1182" t="s">
        <v>683</v>
      </c>
      <c r="CH175" s="1185"/>
      <c r="CI175" s="1187"/>
      <c r="CJ175" s="1185"/>
      <c r="CK175" s="1185"/>
      <c r="CL175" s="1185"/>
      <c r="CM175" s="1187"/>
      <c r="CN175" s="1185"/>
      <c r="CO175" s="1185"/>
      <c r="CP175" s="1185"/>
      <c r="CQ175" s="1185"/>
      <c r="CR175" s="1185"/>
      <c r="CS175" s="1185"/>
      <c r="CT175" s="1185"/>
      <c r="CU175" s="1185"/>
      <c r="CV175" s="1185"/>
      <c r="CW175" s="1185"/>
      <c r="CX175" s="1185"/>
      <c r="CY175" s="1185"/>
      <c r="CZ175" s="1185"/>
      <c r="DA175" s="1185"/>
      <c r="DB175" s="1352"/>
      <c r="DC175" s="1352"/>
      <c r="DD175" s="1352"/>
      <c r="DE175" s="1352"/>
      <c r="DF175" s="1352"/>
      <c r="DG175" s="1352"/>
      <c r="DH175" s="1409"/>
      <c r="DI175" s="1409"/>
      <c r="DJ175" s="1409"/>
      <c r="DK175" s="1409"/>
      <c r="DL175" s="1409"/>
      <c r="DM175" s="1409"/>
      <c r="DN175" s="1409"/>
      <c r="DO175" s="1409"/>
      <c r="DP175" s="1409"/>
      <c r="DQ175" s="1409"/>
      <c r="DR175" s="1409"/>
      <c r="DS175" s="1409"/>
      <c r="DT175" s="1409"/>
      <c r="DU175" s="1409"/>
      <c r="DV175" s="1409"/>
      <c r="DW175" s="1409"/>
      <c r="DX175" s="1409"/>
      <c r="DY175" s="1409"/>
    </row>
    <row r="176" spans="1:129" ht="12.75">
      <c r="A176" s="45"/>
      <c r="B176" s="1183"/>
      <c r="C176" s="1183"/>
      <c r="D176" s="1183"/>
      <c r="E176" s="1183"/>
      <c r="F176" s="1183"/>
      <c r="G176" s="1183"/>
      <c r="H176" s="1183"/>
      <c r="I176" s="1183"/>
      <c r="J176" s="1352"/>
      <c r="K176" s="1183"/>
      <c r="L176" s="1352"/>
      <c r="M176" s="1183"/>
      <c r="N176" s="179"/>
      <c r="O176" s="1183"/>
      <c r="P176" s="1183"/>
      <c r="Q176" s="1183"/>
      <c r="R176" s="179"/>
      <c r="S176" s="1183"/>
      <c r="T176" s="1183"/>
      <c r="U176" s="1183"/>
      <c r="V176" s="179"/>
      <c r="W176" s="1183"/>
      <c r="X176" s="1183"/>
      <c r="Y176" s="1183"/>
      <c r="Z176" s="1183"/>
      <c r="AA176" s="179"/>
      <c r="AB176" s="1183"/>
      <c r="AC176" s="1183"/>
      <c r="AD176" s="1183"/>
      <c r="AE176" s="179"/>
      <c r="AF176" s="1183"/>
      <c r="AG176" s="1183"/>
      <c r="AH176" s="1183"/>
      <c r="AI176" s="179"/>
      <c r="AJ176" s="1183"/>
      <c r="AK176" s="1183"/>
      <c r="AL176" s="1183"/>
      <c r="AM176" s="179"/>
      <c r="AN176" s="1183"/>
      <c r="AO176" s="1183"/>
      <c r="AP176" s="1183"/>
      <c r="AQ176" s="179"/>
      <c r="AR176" s="1183"/>
      <c r="AS176" s="1183"/>
      <c r="AT176" s="1183"/>
      <c r="AU176" s="179"/>
      <c r="AV176" s="1185"/>
      <c r="AW176" s="1185"/>
      <c r="AX176" s="1185"/>
      <c r="AY176" s="179"/>
      <c r="AZ176" s="1185"/>
      <c r="BA176" s="1185"/>
      <c r="BB176" s="1185"/>
      <c r="BC176" s="179"/>
      <c r="BD176" s="1185"/>
      <c r="BE176" s="1185"/>
      <c r="BF176" s="1185"/>
      <c r="BG176" s="1185"/>
      <c r="BH176" s="1185"/>
      <c r="BI176" s="1185"/>
      <c r="BJ176" s="1185"/>
      <c r="BK176" s="1185"/>
      <c r="BL176" s="1185"/>
      <c r="BM176" s="1185"/>
      <c r="BN176" s="1185"/>
      <c r="BO176" s="1185"/>
      <c r="BP176" s="1185"/>
      <c r="BQ176" s="1185"/>
      <c r="BR176" s="1185"/>
      <c r="BS176" s="1185"/>
      <c r="BT176" s="1185"/>
      <c r="BU176" s="1185"/>
      <c r="BV176" s="1185"/>
      <c r="BW176" s="1185"/>
      <c r="BX176" s="1185"/>
      <c r="BY176" s="1185"/>
      <c r="BZ176" s="1185"/>
      <c r="CA176" s="1185"/>
      <c r="CB176" s="1185"/>
      <c r="CC176" s="1185"/>
      <c r="CD176" s="1185"/>
      <c r="CE176" s="1185"/>
      <c r="CF176" s="1185"/>
      <c r="CG176" s="1185"/>
      <c r="CH176" s="1185"/>
      <c r="CI176" s="1185"/>
      <c r="CJ176" s="1185"/>
      <c r="CK176" s="1185"/>
      <c r="CL176" s="1185"/>
      <c r="CM176" s="1185"/>
      <c r="CN176" s="1185"/>
      <c r="CO176" s="1185"/>
      <c r="CP176" s="1185"/>
      <c r="CQ176" s="1185"/>
      <c r="CR176" s="1185"/>
      <c r="CS176" s="1185"/>
      <c r="CT176" s="1185"/>
      <c r="CU176" s="1166"/>
      <c r="CV176" s="1185"/>
      <c r="CW176" s="1166"/>
      <c r="CX176" s="1166"/>
      <c r="CY176" s="1185"/>
      <c r="CZ176" s="1185"/>
      <c r="DA176" s="1185"/>
      <c r="DB176" s="1445"/>
      <c r="DC176" s="1352"/>
      <c r="DD176" s="1352"/>
      <c r="DE176" s="1352"/>
      <c r="DF176" s="1352"/>
      <c r="DG176" s="1352"/>
      <c r="DH176" s="179"/>
      <c r="DI176" s="179"/>
      <c r="DJ176" s="179"/>
      <c r="DK176" s="179"/>
      <c r="DL176" s="179"/>
      <c r="DM176" s="179"/>
      <c r="DN176" s="179"/>
      <c r="DO176" s="179"/>
      <c r="DP176" s="179"/>
      <c r="DQ176" s="179"/>
      <c r="DR176" s="179"/>
      <c r="DS176" s="179"/>
      <c r="DT176" s="179"/>
      <c r="DU176" s="179"/>
      <c r="DV176" s="179"/>
      <c r="DW176" s="179"/>
      <c r="DX176" s="179"/>
      <c r="DY176" s="179"/>
    </row>
    <row r="177" spans="1:129" ht="12.75">
      <c r="A177" s="1167" t="s">
        <v>734</v>
      </c>
      <c r="B177" s="951"/>
      <c r="C177" s="268">
        <f>9.875*1.5*1.5*2*3/2*2*3/2</f>
        <v>199.96875</v>
      </c>
      <c r="D177" s="951"/>
      <c r="E177" s="951"/>
      <c r="F177" s="951"/>
      <c r="G177" s="268">
        <f>9.93*1.5*1.5*2*2*3/2</f>
        <v>134.05500000000001</v>
      </c>
      <c r="H177" s="951"/>
      <c r="I177" s="951"/>
      <c r="J177" s="1012"/>
      <c r="K177" s="268">
        <f>21.983*2*3/2*2*3/2</f>
        <v>197.84699999999998</v>
      </c>
      <c r="L177" s="1012"/>
      <c r="M177" s="951"/>
      <c r="N177" s="1012"/>
      <c r="O177" s="268">
        <f>23.705*2*3/2*2*3/2</f>
        <v>213.34499999999997</v>
      </c>
      <c r="P177" s="951"/>
      <c r="Q177" s="951"/>
      <c r="R177" s="1012"/>
      <c r="S177" s="268">
        <f>3/2*48.358*2*3/2</f>
        <v>217.61099999999999</v>
      </c>
      <c r="T177" s="951"/>
      <c r="U177" s="951"/>
      <c r="V177" s="1012"/>
      <c r="W177" s="268">
        <f>3/2*48.613*2*3/2</f>
        <v>218.7585</v>
      </c>
      <c r="X177" s="951"/>
      <c r="Y177" s="951"/>
      <c r="Z177" s="951"/>
      <c r="AA177" s="1012"/>
      <c r="AB177" s="268">
        <f>73.726*2*3/2</f>
        <v>221.178</v>
      </c>
      <c r="AC177" s="951"/>
      <c r="AD177" s="951"/>
      <c r="AE177" s="1012"/>
      <c r="AF177" s="268">
        <f>73.714*2*3/2</f>
        <v>221.142</v>
      </c>
      <c r="AG177" s="951"/>
      <c r="AH177" s="951"/>
      <c r="AI177" s="1012"/>
      <c r="AJ177" s="268">
        <f>71.991*2*3/2</f>
        <v>215.97300000000001</v>
      </c>
      <c r="AK177" s="951"/>
      <c r="AL177" s="951"/>
      <c r="AM177" s="1012"/>
      <c r="AN177" s="268">
        <f>146.494*3/2</f>
        <v>219.74099999999999</v>
      </c>
      <c r="AO177" s="951"/>
      <c r="AP177" s="951"/>
      <c r="AQ177" s="1012"/>
      <c r="AR177" s="268">
        <f>156.109*3/2</f>
        <v>234.1635</v>
      </c>
      <c r="AS177" s="951"/>
      <c r="AT177" s="951"/>
      <c r="AU177" s="1012"/>
      <c r="AV177" s="1446">
        <f>152.258*3/2</f>
        <v>228.387</v>
      </c>
      <c r="AW177" s="1166">
        <f>0.02*AV177</f>
        <v>4.5677399999999997</v>
      </c>
      <c r="AX177" s="1166">
        <f>+AW177/(1-AW110/100)</f>
        <v>7.5726972049379651</v>
      </c>
      <c r="AY177" s="1012"/>
      <c r="AZ177" s="1446">
        <v>225.565</v>
      </c>
      <c r="BA177" s="1166"/>
      <c r="BB177" s="1159"/>
      <c r="BC177" s="1012"/>
      <c r="BD177" s="1446">
        <v>208.10400000000001</v>
      </c>
      <c r="BE177" s="1166"/>
      <c r="BF177" s="1166"/>
      <c r="BG177" s="1166"/>
      <c r="BH177" s="1446">
        <v>207.286</v>
      </c>
      <c r="BI177" s="1166"/>
      <c r="BJ177" s="1166"/>
      <c r="BK177" s="1166"/>
      <c r="BL177" s="1446">
        <v>210.285</v>
      </c>
      <c r="BM177" s="1166"/>
      <c r="BN177" s="1166"/>
      <c r="BO177" s="1166"/>
      <c r="BP177" s="1446">
        <v>196.63300000000001</v>
      </c>
      <c r="BQ177" s="1166"/>
      <c r="BR177" s="1166"/>
      <c r="BS177" s="1166"/>
      <c r="BT177" s="1446">
        <v>197.25200000000001</v>
      </c>
      <c r="BU177" s="1166"/>
      <c r="BV177" s="1166"/>
      <c r="BW177" s="1166"/>
      <c r="BX177" s="1446">
        <v>196.71799999999999</v>
      </c>
      <c r="BY177" s="1166"/>
      <c r="BZ177" s="1166"/>
      <c r="CA177" s="1166"/>
      <c r="CB177" s="1446">
        <v>194.702</v>
      </c>
      <c r="CC177" s="1166"/>
      <c r="CD177" s="1166"/>
      <c r="CE177" s="1166"/>
      <c r="CF177" s="1446">
        <v>195.88</v>
      </c>
      <c r="CG177" s="1166"/>
      <c r="CH177" s="1166"/>
      <c r="CI177" s="1166"/>
      <c r="CJ177" s="1446">
        <v>182.92699999999999</v>
      </c>
      <c r="CK177" s="1166"/>
      <c r="CL177" s="1166"/>
      <c r="CM177" s="1166"/>
      <c r="CN177" s="1446">
        <v>181.678</v>
      </c>
      <c r="CO177" s="1166"/>
      <c r="CP177" s="1166"/>
      <c r="CQ177" s="1166"/>
      <c r="CR177" s="1447">
        <f>CN180-1</f>
        <v>179.18899999999999</v>
      </c>
      <c r="CS177" s="1166"/>
      <c r="CT177" s="1166"/>
      <c r="CU177" s="1166"/>
      <c r="CV177" s="1185"/>
      <c r="CW177" s="1166"/>
      <c r="CX177" s="1166"/>
      <c r="CY177" s="1166"/>
      <c r="CZ177" s="1166"/>
      <c r="DA177" s="1166"/>
      <c r="DB177" s="1012"/>
      <c r="DC177" s="1012"/>
      <c r="DD177" s="1012"/>
      <c r="DE177" s="1286"/>
      <c r="DF177" s="1012"/>
      <c r="DG177" s="1012"/>
      <c r="DH177" s="1012"/>
      <c r="DI177" s="1012"/>
      <c r="DJ177" s="1012"/>
      <c r="DK177" s="1012"/>
      <c r="DL177" s="1012"/>
      <c r="DM177" s="1012"/>
      <c r="DN177" s="1012"/>
      <c r="DO177" s="1012"/>
      <c r="DP177" s="1012"/>
      <c r="DQ177" s="1012"/>
      <c r="DR177" s="1012"/>
      <c r="DS177" s="1012"/>
      <c r="DT177" s="1012"/>
      <c r="DU177" s="1012"/>
      <c r="DV177" s="1012"/>
      <c r="DW177" s="1012"/>
      <c r="DX177" s="1012"/>
      <c r="DY177" s="1012"/>
    </row>
    <row r="178" spans="1:129" ht="12.75">
      <c r="A178" s="1167" t="s">
        <v>735</v>
      </c>
      <c r="B178" s="951"/>
      <c r="C178" s="268">
        <f>9.875*1.5*1.5*2*3/2*2*3/2</f>
        <v>199.96875</v>
      </c>
      <c r="D178" s="951"/>
      <c r="E178" s="951"/>
      <c r="F178" s="951"/>
      <c r="G178" s="268">
        <f>9.93*1.5*1.5*2*2*3/2</f>
        <v>134.05500000000001</v>
      </c>
      <c r="H178" s="951"/>
      <c r="I178" s="951"/>
      <c r="J178" s="1012"/>
      <c r="K178" s="268">
        <f>22.6*2*3/2*2*3/2</f>
        <v>203.40000000000003</v>
      </c>
      <c r="L178" s="1012"/>
      <c r="M178" s="951"/>
      <c r="N178" s="1012"/>
      <c r="O178" s="268">
        <f>24.056*2*3/2*2*3/2</f>
        <v>216.50400000000002</v>
      </c>
      <c r="P178" s="951"/>
      <c r="Q178" s="951"/>
      <c r="R178" s="1012"/>
      <c r="S178" s="268">
        <f>3/2*48.682*2*3/2</f>
        <v>219.06899999999999</v>
      </c>
      <c r="T178" s="951"/>
      <c r="U178" s="951"/>
      <c r="V178" s="1012"/>
      <c r="W178" s="268">
        <f>3/2*47.577*2*3/2</f>
        <v>214.09649999999999</v>
      </c>
      <c r="X178" s="951"/>
      <c r="Y178" s="951"/>
      <c r="Z178" s="951"/>
      <c r="AA178" s="1012"/>
      <c r="AB178" s="268">
        <f>74.586*2*3/2</f>
        <v>223.75799999999998</v>
      </c>
      <c r="AC178" s="951"/>
      <c r="AD178" s="951"/>
      <c r="AE178" s="1012"/>
      <c r="AF178" s="268">
        <f>73.265*2*3/2</f>
        <v>219.79500000000002</v>
      </c>
      <c r="AG178" s="951"/>
      <c r="AH178" s="951"/>
      <c r="AI178" s="1012"/>
      <c r="AJ178" s="268">
        <f>72.38*2*3/2</f>
        <v>217.14</v>
      </c>
      <c r="AK178" s="951"/>
      <c r="AL178" s="951"/>
      <c r="AM178" s="1012"/>
      <c r="AN178" s="268">
        <f>74.164*2*3/2</f>
        <v>222.49200000000002</v>
      </c>
      <c r="AO178" s="951"/>
      <c r="AP178" s="951"/>
      <c r="AQ178" s="1012"/>
      <c r="AR178" s="268">
        <f>157.806*3/2</f>
        <v>236.709</v>
      </c>
      <c r="AS178" s="951"/>
      <c r="AT178" s="951"/>
      <c r="AU178" s="1012"/>
      <c r="AV178" s="1446">
        <f>152.807*3/2</f>
        <v>229.21049999999997</v>
      </c>
      <c r="AW178" s="1166">
        <f>0.04*AV178</f>
        <v>9.1684199999999993</v>
      </c>
      <c r="AX178" s="1166">
        <f>+AW178/(1-AW111/100)</f>
        <v>15.03349257021595</v>
      </c>
      <c r="AY178" s="1012"/>
      <c r="AZ178" s="1446">
        <v>222.04400000000001</v>
      </c>
      <c r="BA178" s="1166"/>
      <c r="BB178" s="1166"/>
      <c r="BC178" s="1012"/>
      <c r="BD178" s="1446">
        <v>207.50399999999999</v>
      </c>
      <c r="BE178" s="1166"/>
      <c r="BF178" s="1166"/>
      <c r="BG178" s="1166"/>
      <c r="BH178" s="1446">
        <v>209.01499999999999</v>
      </c>
      <c r="BI178" s="1159"/>
      <c r="BJ178" s="1166"/>
      <c r="BK178" s="1166"/>
      <c r="BL178" s="1446">
        <v>203.15299999999999</v>
      </c>
      <c r="BM178" s="1166"/>
      <c r="BN178" s="1166"/>
      <c r="BO178" s="1166"/>
      <c r="BP178" s="1446">
        <v>196.578</v>
      </c>
      <c r="BQ178" s="1159"/>
      <c r="BR178" s="1166"/>
      <c r="BS178" s="1166"/>
      <c r="BT178" s="1446">
        <v>199.80699999999999</v>
      </c>
      <c r="BU178" s="1159"/>
      <c r="BV178" s="1166"/>
      <c r="BW178" s="1166"/>
      <c r="BX178" s="1446">
        <v>195.95099999999999</v>
      </c>
      <c r="BY178" s="1166"/>
      <c r="BZ178" s="1166"/>
      <c r="CA178" s="1166"/>
      <c r="CB178" s="1446">
        <v>194.74700000000001</v>
      </c>
      <c r="CC178" s="1166"/>
      <c r="CD178" s="1166"/>
      <c r="CE178" s="1166"/>
      <c r="CF178" s="1446">
        <v>196.88499999999999</v>
      </c>
      <c r="CG178" s="1166"/>
      <c r="CH178" s="1166"/>
      <c r="CI178" s="1166"/>
      <c r="CJ178" s="1446">
        <v>183.41300000000001</v>
      </c>
      <c r="CK178" s="1166"/>
      <c r="CL178" s="1166"/>
      <c r="CM178" s="1166"/>
      <c r="CN178" s="1446">
        <v>178.78800000000001</v>
      </c>
      <c r="CO178" s="1166"/>
      <c r="CP178" s="1166"/>
      <c r="CQ178" s="1166"/>
      <c r="CR178" s="1447">
        <f>CR177-0.5</f>
        <v>178.68899999999999</v>
      </c>
      <c r="CS178" s="1166"/>
      <c r="CT178" s="1166"/>
      <c r="CU178" s="1166"/>
      <c r="CV178" s="1185"/>
      <c r="CW178" s="1166"/>
      <c r="CX178" s="1166"/>
      <c r="CY178" s="1166"/>
      <c r="CZ178" s="1166"/>
      <c r="DA178" s="1166"/>
      <c r="DB178" s="1012"/>
      <c r="DC178" s="1286"/>
      <c r="DD178" s="1286"/>
      <c r="DE178" s="1286"/>
      <c r="DF178" s="1012"/>
      <c r="DG178" s="1012"/>
      <c r="DH178" s="1012"/>
      <c r="DI178" s="1012"/>
      <c r="DJ178" s="1012"/>
      <c r="DK178" s="1012"/>
      <c r="DL178" s="1012"/>
      <c r="DM178" s="1012"/>
      <c r="DN178" s="1012"/>
      <c r="DO178" s="1012"/>
      <c r="DP178" s="1012"/>
      <c r="DQ178" s="1012"/>
      <c r="DR178" s="1012"/>
      <c r="DS178" s="1012"/>
      <c r="DT178" s="1012"/>
      <c r="DU178" s="1012"/>
      <c r="DV178" s="1012"/>
      <c r="DW178" s="1012"/>
      <c r="DX178" s="1012"/>
      <c r="DY178" s="1012"/>
    </row>
    <row r="179" spans="1:129" ht="12.75">
      <c r="A179" s="1167" t="s">
        <v>736</v>
      </c>
      <c r="B179" s="951"/>
      <c r="C179" s="268">
        <f>9.875*1.5*1.5*2*3/2*2*3/2</f>
        <v>199.96875</v>
      </c>
      <c r="D179" s="951"/>
      <c r="E179" s="951"/>
      <c r="F179" s="951"/>
      <c r="G179" s="268">
        <f>9.964*1.5*1.5*2*2*3/2</f>
        <v>134.51400000000001</v>
      </c>
      <c r="H179" s="951"/>
      <c r="I179" s="951"/>
      <c r="J179" s="1012"/>
      <c r="K179" s="268">
        <f>23.073*2*3/2*2*3/2</f>
        <v>207.65699999999998</v>
      </c>
      <c r="L179" s="1012"/>
      <c r="M179" s="951"/>
      <c r="N179" s="1012"/>
      <c r="O179" s="268">
        <f>24*2*3/2*2*3/2</f>
        <v>216</v>
      </c>
      <c r="P179" s="951"/>
      <c r="Q179" s="951"/>
      <c r="R179" s="1012"/>
      <c r="S179" s="268">
        <f>3/2*49.007*2*3/2</f>
        <v>220.53149999999999</v>
      </c>
      <c r="T179" s="951"/>
      <c r="U179" s="951"/>
      <c r="V179" s="1012"/>
      <c r="W179" s="268">
        <f>3/2*47.664*2*3/2</f>
        <v>214.48800000000003</v>
      </c>
      <c r="X179" s="951"/>
      <c r="Y179" s="951"/>
      <c r="Z179" s="951"/>
      <c r="AA179" s="1012"/>
      <c r="AB179" s="268">
        <f>73.455*2*3/2</f>
        <v>220.36500000000001</v>
      </c>
      <c r="AC179" s="951"/>
      <c r="AD179" s="951"/>
      <c r="AE179" s="1012"/>
      <c r="AF179" s="268">
        <f>72.405*2*3/2</f>
        <v>217.215</v>
      </c>
      <c r="AG179" s="951"/>
      <c r="AH179" s="951"/>
      <c r="AI179" s="1012"/>
      <c r="AJ179" s="268">
        <f>72.234*2*3/2</f>
        <v>216.702</v>
      </c>
      <c r="AK179" s="951"/>
      <c r="AL179" s="951"/>
      <c r="AM179" s="1012"/>
      <c r="AN179" s="268">
        <f>75.785*2*3/2</f>
        <v>227.35499999999999</v>
      </c>
      <c r="AO179" s="951"/>
      <c r="AP179" s="951"/>
      <c r="AQ179" s="1012"/>
      <c r="AR179" s="268">
        <f>155.987*3/2</f>
        <v>233.98050000000001</v>
      </c>
      <c r="AS179" s="951"/>
      <c r="AT179" s="951"/>
      <c r="AU179" s="1012"/>
      <c r="AV179" s="1446">
        <f>152.267*3/2</f>
        <v>228.40049999999999</v>
      </c>
      <c r="AW179" s="1166">
        <f>0.04*AV179</f>
        <v>9.1360200000000003</v>
      </c>
      <c r="AX179" s="1166">
        <f>+AW179/(1-AW112/100)</f>
        <v>14.623876840061422</v>
      </c>
      <c r="AY179" s="1012"/>
      <c r="AZ179" s="1446">
        <v>218.786</v>
      </c>
      <c r="BA179" s="1166">
        <f>213.96+4</f>
        <v>217.96</v>
      </c>
      <c r="BB179" s="1158"/>
      <c r="BC179" s="1164"/>
      <c r="BD179" s="1446">
        <v>207.334</v>
      </c>
      <c r="BE179" s="1158"/>
      <c r="BF179" s="1166"/>
      <c r="BG179" s="1166"/>
      <c r="BH179" s="1446">
        <v>209.393</v>
      </c>
      <c r="BI179" s="1158"/>
      <c r="BJ179" s="1166"/>
      <c r="BK179" s="1166"/>
      <c r="BL179" s="1446">
        <v>197.32300000000001</v>
      </c>
      <c r="BM179" s="1158"/>
      <c r="BN179" s="1166"/>
      <c r="BO179" s="1166"/>
      <c r="BP179" s="1446">
        <v>195.98500000000001</v>
      </c>
      <c r="BQ179" s="1158"/>
      <c r="BR179" s="1166"/>
      <c r="BS179" s="1166"/>
      <c r="BT179" s="1446">
        <v>201.96700000000001</v>
      </c>
      <c r="BU179" s="1158"/>
      <c r="BV179" s="1166"/>
      <c r="BW179" s="1166"/>
      <c r="BX179" s="1446">
        <v>194.61199999999999</v>
      </c>
      <c r="BY179" s="1166"/>
      <c r="BZ179" s="1166"/>
      <c r="CA179" s="1166"/>
      <c r="CB179" s="1446">
        <v>195.221</v>
      </c>
      <c r="CC179" s="1166"/>
      <c r="CD179" s="1166"/>
      <c r="CE179" s="1166"/>
      <c r="CF179" s="1446">
        <v>197.47800000000001</v>
      </c>
      <c r="CG179" s="1166"/>
      <c r="CH179" s="1166"/>
      <c r="CI179" s="1166"/>
      <c r="CJ179" s="1446">
        <v>184.61500000000001</v>
      </c>
      <c r="CK179" s="1166"/>
      <c r="CL179" s="1166"/>
      <c r="CM179" s="1166"/>
      <c r="CN179" s="1446">
        <v>179.13200000000001</v>
      </c>
      <c r="CO179" s="1166"/>
      <c r="CP179" s="1166"/>
      <c r="CQ179" s="1166"/>
      <c r="CR179" s="1447">
        <f>CR178-0.5</f>
        <v>178.18899999999999</v>
      </c>
      <c r="CS179" s="1166"/>
      <c r="CT179" s="1166"/>
      <c r="CU179" s="1449"/>
      <c r="CV179" s="1185"/>
      <c r="CW179" s="1449"/>
      <c r="CX179" s="1449"/>
      <c r="CY179" s="1166"/>
      <c r="CZ179" s="1166"/>
      <c r="DA179" s="1166"/>
      <c r="DB179" s="1164"/>
      <c r="DC179" s="1211"/>
      <c r="DD179" s="1211"/>
      <c r="DE179" s="1211"/>
      <c r="DF179" s="1012"/>
      <c r="DG179" s="1012"/>
      <c r="DH179" s="1012"/>
      <c r="DI179" s="1012"/>
      <c r="DJ179" s="1012"/>
      <c r="DK179" s="1012"/>
      <c r="DL179" s="1012"/>
      <c r="DM179" s="1012"/>
      <c r="DN179" s="1012"/>
      <c r="DO179" s="1012"/>
      <c r="DP179" s="1012"/>
      <c r="DQ179" s="1012"/>
      <c r="DR179" s="1012"/>
      <c r="DS179" s="1012"/>
      <c r="DT179" s="1012"/>
      <c r="DU179" s="1012"/>
      <c r="DV179" s="1012"/>
      <c r="DW179" s="1012"/>
      <c r="DX179" s="1012"/>
      <c r="DY179" s="1012"/>
    </row>
    <row r="180" spans="1:129" ht="12.75">
      <c r="A180" s="1167" t="s">
        <v>737</v>
      </c>
      <c r="B180" s="951"/>
      <c r="C180" s="270">
        <f>9.875*1.5*1.5*2*3/2*2*3/2</f>
        <v>199.96875</v>
      </c>
      <c r="D180" s="951"/>
      <c r="E180" s="951"/>
      <c r="F180" s="951"/>
      <c r="G180" s="270">
        <f>10.086*1.5*1.5*2*2*3/2</f>
        <v>136.161</v>
      </c>
      <c r="H180" s="951"/>
      <c r="I180" s="951"/>
      <c r="J180" s="951"/>
      <c r="K180" s="270">
        <f>15.211*1.5*2*3/2*2*3/2</f>
        <v>205.3485</v>
      </c>
      <c r="L180" s="1012"/>
      <c r="M180" s="951"/>
      <c r="N180" s="951"/>
      <c r="O180" s="270">
        <f>47.952*3/2*2*3/2</f>
        <v>215.78399999999999</v>
      </c>
      <c r="P180" s="951"/>
      <c r="Q180" s="951"/>
      <c r="R180" s="951"/>
      <c r="S180" s="270">
        <f>3/2*49.012*2*3/2</f>
        <v>220.554</v>
      </c>
      <c r="T180" s="951"/>
      <c r="U180" s="951"/>
      <c r="V180" s="951"/>
      <c r="W180" s="1448">
        <f>72.736*2*3/2</f>
        <v>218.20800000000003</v>
      </c>
      <c r="X180" s="1226"/>
      <c r="Y180" s="951"/>
      <c r="Z180" s="951"/>
      <c r="AA180" s="951"/>
      <c r="AB180" s="270">
        <f>73.558*2*3/2</f>
        <v>220.67400000000004</v>
      </c>
      <c r="AC180" s="1226"/>
      <c r="AD180" s="951"/>
      <c r="AE180" s="951"/>
      <c r="AF180" s="270">
        <f>72.034*2*3/2</f>
        <v>216.10200000000003</v>
      </c>
      <c r="AG180" s="951"/>
      <c r="AH180" s="951"/>
      <c r="AI180" s="951"/>
      <c r="AJ180" s="270">
        <f>72.251*2*3/2</f>
        <v>216.75300000000001</v>
      </c>
      <c r="AK180" s="951"/>
      <c r="AL180" s="951"/>
      <c r="AM180" s="951"/>
      <c r="AN180" s="270">
        <f>76.701*2*3/2</f>
        <v>230.10299999999998</v>
      </c>
      <c r="AO180" s="951"/>
      <c r="AP180" s="951"/>
      <c r="AQ180" s="951"/>
      <c r="AR180" s="270">
        <v>227.19200000000001</v>
      </c>
      <c r="AS180" s="951"/>
      <c r="AT180" s="951"/>
      <c r="AU180" s="951"/>
      <c r="AV180" s="1448">
        <v>227.95500000000001</v>
      </c>
      <c r="AW180" s="1166">
        <f>0.02*AV180</f>
        <v>4.5590999999999999</v>
      </c>
      <c r="AX180" s="1166">
        <f>+AW180/(1-AW113/100)</f>
        <v>7.3749763071144576</v>
      </c>
      <c r="AY180" s="951"/>
      <c r="AZ180" s="1448">
        <v>214.059</v>
      </c>
      <c r="BA180" s="1158">
        <f>BA179-AZ180</f>
        <v>3.9010000000000105</v>
      </c>
      <c r="BB180" s="1158"/>
      <c r="BC180" s="951"/>
      <c r="BD180" s="1448">
        <v>206.565</v>
      </c>
      <c r="BE180" s="1158"/>
      <c r="BF180" s="1449"/>
      <c r="BG180" s="1449"/>
      <c r="BH180" s="1448">
        <v>210.69</v>
      </c>
      <c r="BI180" s="1166"/>
      <c r="BJ180" s="1450"/>
      <c r="BK180" s="1449"/>
      <c r="BL180" s="1448">
        <v>196.78899999999999</v>
      </c>
      <c r="BM180" s="1158"/>
      <c r="BN180" s="1449"/>
      <c r="BO180" s="1449"/>
      <c r="BP180" s="1448">
        <v>195.91300000000001</v>
      </c>
      <c r="BQ180" s="1158"/>
      <c r="BR180" s="1449"/>
      <c r="BS180" s="1449"/>
      <c r="BT180" s="1448">
        <v>201.376</v>
      </c>
      <c r="BU180" s="1158"/>
      <c r="BV180" s="1449"/>
      <c r="BW180" s="1449"/>
      <c r="BX180" s="1448">
        <v>194.47499999999999</v>
      </c>
      <c r="BY180" s="1449"/>
      <c r="BZ180" s="1449"/>
      <c r="CA180" s="1449"/>
      <c r="CB180" s="1448">
        <v>195.62700000000001</v>
      </c>
      <c r="CC180" s="1449"/>
      <c r="CD180" s="1449"/>
      <c r="CE180" s="1449"/>
      <c r="CF180" s="1448">
        <v>194.25899999999999</v>
      </c>
      <c r="CG180" s="1449"/>
      <c r="CH180" s="1449"/>
      <c r="CI180" s="1449"/>
      <c r="CJ180" s="1448">
        <v>185.054</v>
      </c>
      <c r="CK180" s="1449"/>
      <c r="CL180" s="1449"/>
      <c r="CM180" s="1449"/>
      <c r="CN180" s="1448">
        <v>180.18899999999999</v>
      </c>
      <c r="CO180" s="1449"/>
      <c r="CP180" s="1449"/>
      <c r="CQ180" s="1449"/>
      <c r="CR180" s="1451">
        <f>CR179-0.5</f>
        <v>177.68899999999999</v>
      </c>
      <c r="CS180" s="1449"/>
      <c r="CT180" s="1449"/>
      <c r="CU180" s="1166"/>
      <c r="CV180" s="1449"/>
      <c r="CW180" s="1166"/>
      <c r="CX180" s="1166"/>
      <c r="CY180" s="1449"/>
      <c r="CZ180" s="1449"/>
      <c r="DA180" s="1449"/>
      <c r="DB180" s="1012"/>
      <c r="DC180" s="1247"/>
      <c r="DD180" s="1012"/>
      <c r="DE180" s="1247"/>
      <c r="DF180" s="1012"/>
      <c r="DG180" s="1012"/>
      <c r="DH180" s="1012"/>
      <c r="DI180" s="1012"/>
      <c r="DJ180" s="1012"/>
      <c r="DK180" s="1012"/>
      <c r="DL180" s="1012"/>
      <c r="DM180" s="1012"/>
      <c r="DN180" s="1012"/>
      <c r="DO180" s="1012"/>
      <c r="DP180" s="1012"/>
      <c r="DQ180" s="1012"/>
      <c r="DR180" s="1012"/>
      <c r="DS180" s="1012"/>
      <c r="DT180" s="1012"/>
      <c r="DU180" s="1012"/>
      <c r="DV180" s="1012"/>
      <c r="DW180" s="1012"/>
      <c r="DX180" s="1012"/>
      <c r="DY180" s="1012"/>
    </row>
    <row r="181" spans="1:129" ht="12.75">
      <c r="A181" s="1167" t="s">
        <v>762</v>
      </c>
      <c r="B181" s="951"/>
      <c r="C181" s="1452">
        <f>(C180+C179+C178+C177)/4</f>
        <v>199.96875</v>
      </c>
      <c r="D181" s="951"/>
      <c r="E181" s="951"/>
      <c r="F181" s="951"/>
      <c r="G181" s="1452">
        <f>(G180+G179+G178+G177)/4</f>
        <v>134.69625000000002</v>
      </c>
      <c r="H181" s="951"/>
      <c r="I181" s="1012"/>
      <c r="J181" s="1012"/>
      <c r="K181" s="1452">
        <f>(K180+K179+K178+K177)/4</f>
        <v>203.56312500000001</v>
      </c>
      <c r="L181" s="1012"/>
      <c r="M181" s="1012"/>
      <c r="N181" s="951"/>
      <c r="O181" s="268">
        <f>3/2*47.952*2*3/2</f>
        <v>215.78399999999999</v>
      </c>
      <c r="P181" s="951"/>
      <c r="Q181" s="951"/>
      <c r="R181" s="951"/>
      <c r="S181" s="268">
        <f>3/2*48.742*2*3/2</f>
        <v>219.339</v>
      </c>
      <c r="T181" s="951"/>
      <c r="U181" s="951"/>
      <c r="V181" s="951"/>
      <c r="W181" s="268">
        <f>144.264*3/2</f>
        <v>216.39600000000002</v>
      </c>
      <c r="X181" s="951"/>
      <c r="Y181" s="951"/>
      <c r="Z181" s="951"/>
      <c r="AA181" s="951"/>
      <c r="AB181" s="268">
        <f>147.594*3/2</f>
        <v>221.39099999999999</v>
      </c>
      <c r="AC181" s="951"/>
      <c r="AD181" s="951"/>
      <c r="AE181" s="951"/>
      <c r="AF181" s="268">
        <f>145.566*3/2</f>
        <v>218.34899999999999</v>
      </c>
      <c r="AG181" s="951"/>
      <c r="AH181" s="951"/>
      <c r="AI181" s="951"/>
      <c r="AJ181" s="268">
        <f>144.414*3/2</f>
        <v>216.62099999999998</v>
      </c>
      <c r="AK181" s="951"/>
      <c r="AL181" s="951"/>
      <c r="AM181" s="951"/>
      <c r="AN181" s="268">
        <f>150.244*3/2</f>
        <v>225.36599999999999</v>
      </c>
      <c r="AO181" s="951"/>
      <c r="AP181" s="951"/>
      <c r="AQ181" s="951"/>
      <c r="AR181" s="268">
        <v>233.03100000000001</v>
      </c>
      <c r="AS181" s="951"/>
      <c r="AT181" s="951"/>
      <c r="AU181" s="951"/>
      <c r="AV181" s="1446">
        <v>228.38399999999999</v>
      </c>
      <c r="AW181" s="1158">
        <f>0.12*AV181</f>
        <v>27.406079999999996</v>
      </c>
      <c r="AX181" s="1158">
        <f>+AW181/(1-AW114/100)</f>
        <v>44.507189783534123</v>
      </c>
      <c r="AY181" s="951"/>
      <c r="AZ181" s="1446">
        <v>220.28</v>
      </c>
      <c r="BA181" s="1158"/>
      <c r="BB181" s="1158"/>
      <c r="BC181" s="951"/>
      <c r="BD181" s="1446">
        <v>207.58199999999999</v>
      </c>
      <c r="BE181" s="1158"/>
      <c r="BF181" s="1166"/>
      <c r="BG181" s="1166"/>
      <c r="BH181" s="1446">
        <v>209.512</v>
      </c>
      <c r="BI181" s="1158"/>
      <c r="BJ181" s="1166"/>
      <c r="BK181" s="1166"/>
      <c r="BL181" s="1446">
        <v>201.81800000000001</v>
      </c>
      <c r="BM181" s="1158"/>
      <c r="BN181" s="1166"/>
      <c r="BO181" s="1166"/>
      <c r="BP181" s="1447">
        <f>(BP177+BP178+BP179+BP180)/4</f>
        <v>196.27725000000001</v>
      </c>
      <c r="BQ181" s="1158"/>
      <c r="BR181" s="1166"/>
      <c r="BS181" s="1166"/>
      <c r="BT181" s="1446">
        <v>200.66499999999999</v>
      </c>
      <c r="BU181" s="1158"/>
      <c r="BV181" s="1166"/>
      <c r="BW181" s="1166"/>
      <c r="BX181" s="1446">
        <v>194.47499999999999</v>
      </c>
      <c r="BY181" s="1229"/>
      <c r="BZ181" s="1166"/>
      <c r="CA181" s="1166"/>
      <c r="CB181" s="1446">
        <v>195.13499999999999</v>
      </c>
      <c r="CC181" s="1229"/>
      <c r="CD181" s="1166"/>
      <c r="CE181" s="1166"/>
      <c r="CF181" s="1446">
        <v>196.23699999999999</v>
      </c>
      <c r="CG181" s="1229"/>
      <c r="CH181" s="1166"/>
      <c r="CI181" s="1166"/>
      <c r="CJ181" s="1446">
        <v>183.83500000000001</v>
      </c>
      <c r="CK181" s="1229"/>
      <c r="CL181" s="1166"/>
      <c r="CM181" s="1166"/>
      <c r="CN181" s="2181">
        <v>180.15600000000001</v>
      </c>
      <c r="CO181" s="1229"/>
      <c r="CP181" s="1166"/>
      <c r="CQ181" s="1166"/>
      <c r="CR181" s="1447">
        <f>(CR177+CR178+CR179+CR180)/4</f>
        <v>178.43899999999999</v>
      </c>
      <c r="CS181" s="1229"/>
      <c r="CT181" s="1166"/>
      <c r="CU181" s="1158"/>
      <c r="CV181" s="1166"/>
      <c r="CW181" s="1158"/>
      <c r="CX181" s="1158"/>
      <c r="CY181" s="1166"/>
      <c r="CZ181" s="1166"/>
      <c r="DA181" s="1166"/>
      <c r="DB181" s="1164"/>
      <c r="DC181" s="1012"/>
      <c r="DD181" s="1012"/>
      <c r="DE181" s="1012"/>
      <c r="DF181" s="1012"/>
      <c r="DG181" s="1012"/>
      <c r="DH181" s="1012"/>
      <c r="DI181" s="1012"/>
      <c r="DJ181" s="1012"/>
      <c r="DK181" s="1012"/>
      <c r="DL181" s="1012"/>
      <c r="DM181" s="1012"/>
      <c r="DN181" s="1012"/>
      <c r="DO181" s="1012"/>
      <c r="DP181" s="1012"/>
      <c r="DQ181" s="1012"/>
      <c r="DR181" s="1012"/>
      <c r="DS181" s="1012"/>
      <c r="DT181" s="1012"/>
      <c r="DU181" s="1012"/>
      <c r="DV181" s="1012"/>
      <c r="DW181" s="1012"/>
      <c r="DX181" s="1012"/>
      <c r="DY181" s="1012"/>
    </row>
    <row r="182" spans="1:129" ht="12.75" hidden="1" customHeight="1" outlineLevel="1">
      <c r="A182" s="1167" t="s">
        <v>769</v>
      </c>
      <c r="B182" s="951"/>
      <c r="C182" s="1226">
        <f>AVERAGEA(C177:C178)</f>
        <v>199.96875</v>
      </c>
      <c r="D182" s="951"/>
      <c r="E182" s="951"/>
      <c r="F182" s="951"/>
      <c r="G182" s="1226">
        <f>AVERAGEA(G177:G178)</f>
        <v>134.05500000000001</v>
      </c>
      <c r="H182" s="951"/>
      <c r="I182" s="951"/>
      <c r="J182" s="951"/>
      <c r="K182" s="1226">
        <f>AVERAGEA(K177:K178)</f>
        <v>200.62350000000001</v>
      </c>
      <c r="L182" s="951"/>
      <c r="M182" s="951"/>
      <c r="N182" s="951"/>
      <c r="O182" s="1226">
        <f>AVERAGEA(O177:O178)</f>
        <v>214.92449999999999</v>
      </c>
      <c r="P182" s="951"/>
      <c r="Q182" s="951"/>
      <c r="R182" s="951"/>
      <c r="S182" s="1226">
        <f>AVERAGEA(S177:S178)</f>
        <v>218.33999999999997</v>
      </c>
      <c r="T182" s="951"/>
      <c r="U182" s="951"/>
      <c r="V182" s="951"/>
      <c r="W182" s="1226">
        <f>AVERAGEA(W177:W178)</f>
        <v>216.42750000000001</v>
      </c>
      <c r="X182" s="951"/>
      <c r="Y182" s="951"/>
      <c r="Z182" s="951"/>
      <c r="AA182" s="951"/>
      <c r="AB182" s="1226">
        <f>AVERAGEA(AB177:AB178)</f>
        <v>222.46799999999999</v>
      </c>
      <c r="AC182" s="951"/>
      <c r="AD182" s="951"/>
      <c r="AE182" s="951"/>
      <c r="AF182" s="1226">
        <f>AVERAGEA(AF177:AF178)</f>
        <v>220.46850000000001</v>
      </c>
      <c r="AG182" s="951"/>
      <c r="AH182" s="951"/>
      <c r="AI182" s="951"/>
      <c r="AJ182" s="1226">
        <f>AVERAGEA(AJ177:AJ178)</f>
        <v>216.5565</v>
      </c>
      <c r="AK182" s="951"/>
      <c r="AL182" s="951"/>
      <c r="AM182" s="951"/>
      <c r="AN182" s="1226">
        <f>AVERAGEA(AN177:AN178)</f>
        <v>221.1165</v>
      </c>
      <c r="AO182" s="951"/>
      <c r="AP182" s="951"/>
      <c r="AQ182" s="951"/>
      <c r="AR182" s="1226">
        <f>AVERAGEA(AR177:AR178)</f>
        <v>235.43625</v>
      </c>
      <c r="AS182" s="951"/>
      <c r="AT182" s="951"/>
      <c r="AU182" s="951"/>
      <c r="AV182" s="1166">
        <f>AVERAGEA(AV177:AV178)</f>
        <v>228.79874999999998</v>
      </c>
      <c r="AW182" s="1158"/>
      <c r="AX182" s="1158"/>
      <c r="AY182" s="951"/>
      <c r="AZ182" s="1166">
        <f>AVERAGEA(AZ177:AZ178)</f>
        <v>223.80450000000002</v>
      </c>
      <c r="BA182" s="1158"/>
      <c r="BB182" s="1158"/>
      <c r="BC182" s="951"/>
      <c r="BD182" s="1166">
        <f>AVERAGEA(BD177:BD178)</f>
        <v>207.804</v>
      </c>
      <c r="BE182" s="1158"/>
      <c r="BF182" s="1158"/>
      <c r="BG182" s="1158"/>
      <c r="BH182" s="1166">
        <f>AVERAGEA(BH177:BH178)</f>
        <v>208.15049999999999</v>
      </c>
      <c r="BI182" s="1158"/>
      <c r="BJ182" s="1158"/>
      <c r="BK182" s="1158"/>
      <c r="BL182" s="1166">
        <f>AVERAGEA(BL177:BL178)</f>
        <v>206.71899999999999</v>
      </c>
      <c r="BM182" s="1158"/>
      <c r="BN182" s="1158"/>
      <c r="BO182" s="1158"/>
      <c r="BP182" s="1166">
        <f>AVERAGEA(BP177:BP178)</f>
        <v>196.60550000000001</v>
      </c>
      <c r="BQ182" s="1158"/>
      <c r="BR182" s="1158"/>
      <c r="BS182" s="1158"/>
      <c r="BT182" s="1166">
        <f>AVERAGEA(BT177:BT178)</f>
        <v>198.52949999999998</v>
      </c>
      <c r="BU182" s="1158"/>
      <c r="BV182" s="1158"/>
      <c r="BW182" s="1158"/>
      <c r="BX182" s="1166">
        <f>AVERAGEA(BX177:BX178)</f>
        <v>196.33449999999999</v>
      </c>
      <c r="BY182" s="1158"/>
      <c r="BZ182" s="1158"/>
      <c r="CA182" s="1158"/>
      <c r="CB182" s="1166">
        <f>AVERAGEA(CB177:CB178)</f>
        <v>194.72450000000001</v>
      </c>
      <c r="CC182" s="1158"/>
      <c r="CD182" s="1158"/>
      <c r="CE182" s="1158"/>
      <c r="CF182" s="1166">
        <f>AVERAGEA(CF177:CF178)</f>
        <v>196.38249999999999</v>
      </c>
      <c r="CG182" s="1158"/>
      <c r="CH182" s="1158"/>
      <c r="CI182" s="1158"/>
      <c r="CJ182" s="1166">
        <f>AVERAGEA(CJ177:CJ178)</f>
        <v>183.17000000000002</v>
      </c>
      <c r="CK182" s="1158"/>
      <c r="CL182" s="1158"/>
      <c r="CM182" s="1158"/>
      <c r="CN182" s="1166">
        <f>AVERAGEA(CN177:CN178)</f>
        <v>180.233</v>
      </c>
      <c r="CO182" s="1158"/>
      <c r="CP182" s="1158"/>
      <c r="CQ182" s="1158"/>
      <c r="CR182" s="1166">
        <f>AVERAGEA(CR177:CR178)</f>
        <v>178.93899999999999</v>
      </c>
      <c r="CS182" s="1158"/>
      <c r="CT182" s="1158"/>
      <c r="CU182" s="1158"/>
      <c r="CV182" s="1158"/>
      <c r="CW182" s="1158"/>
      <c r="CX182" s="1158"/>
      <c r="CY182" s="1158"/>
      <c r="CZ182" s="1158"/>
      <c r="DA182" s="1158"/>
      <c r="DB182" s="1012"/>
      <c r="DC182" s="1012"/>
      <c r="DD182" s="1012"/>
      <c r="DE182" s="1012"/>
      <c r="DF182" s="1012"/>
      <c r="DG182" s="1012"/>
      <c r="DH182" s="1012"/>
      <c r="DI182" s="1012"/>
      <c r="DJ182" s="1012"/>
      <c r="DK182" s="1012"/>
      <c r="DL182" s="1012"/>
      <c r="DM182" s="1012"/>
      <c r="DN182" s="1012"/>
      <c r="DO182" s="1012"/>
      <c r="DP182" s="1012"/>
      <c r="DQ182" s="1012"/>
      <c r="DR182" s="1012"/>
      <c r="DS182" s="1012"/>
      <c r="DT182" s="1012"/>
      <c r="DU182" s="1012"/>
      <c r="DV182" s="1012"/>
      <c r="DW182" s="1012"/>
      <c r="DX182" s="1012"/>
      <c r="DY182" s="1012"/>
    </row>
    <row r="183" spans="1:129" ht="12.75" hidden="1" customHeight="1" outlineLevel="1">
      <c r="A183" s="1167" t="s">
        <v>770</v>
      </c>
      <c r="B183" s="951"/>
      <c r="C183" s="1226">
        <f>AVERAGEA(C177:C179)</f>
        <v>199.96875</v>
      </c>
      <c r="D183" s="951"/>
      <c r="E183" s="951"/>
      <c r="F183" s="951"/>
      <c r="G183" s="1226">
        <f>AVERAGEA(G177:G179)</f>
        <v>134.208</v>
      </c>
      <c r="H183" s="951"/>
      <c r="I183" s="951"/>
      <c r="J183" s="951"/>
      <c r="K183" s="1226">
        <f>AVERAGEA(K177:K179)</f>
        <v>202.96799999999999</v>
      </c>
      <c r="L183" s="951"/>
      <c r="M183" s="951"/>
      <c r="N183" s="951"/>
      <c r="O183" s="1226">
        <f>AVERAGEA(O177:O179)</f>
        <v>215.28299999999999</v>
      </c>
      <c r="P183" s="951"/>
      <c r="Q183" s="951"/>
      <c r="R183" s="951"/>
      <c r="S183" s="1247">
        <f>AVERAGEA(S177:S179)</f>
        <v>219.07049999999995</v>
      </c>
      <c r="T183" s="951"/>
      <c r="U183" s="951"/>
      <c r="V183" s="951"/>
      <c r="W183" s="1247">
        <f>AVERAGEA(W177:W179)</f>
        <v>215.78100000000003</v>
      </c>
      <c r="X183" s="951"/>
      <c r="Y183" s="951"/>
      <c r="Z183" s="951"/>
      <c r="AA183" s="951"/>
      <c r="AB183" s="1247">
        <f>AVERAGEA(AB177:AB179)</f>
        <v>221.76699999999997</v>
      </c>
      <c r="AC183" s="951"/>
      <c r="AD183" s="951"/>
      <c r="AE183" s="951"/>
      <c r="AF183" s="1247">
        <f>AVERAGEA(AF177:AF179)</f>
        <v>219.38400000000001</v>
      </c>
      <c r="AG183" s="951"/>
      <c r="AH183" s="951"/>
      <c r="AI183" s="951"/>
      <c r="AJ183" s="1247">
        <f>AVERAGEA(AJ177:AJ179)</f>
        <v>216.60500000000002</v>
      </c>
      <c r="AK183" s="951"/>
      <c r="AL183" s="951"/>
      <c r="AM183" s="951"/>
      <c r="AN183" s="1247">
        <f>AVERAGEA(AN177:AN179)</f>
        <v>223.196</v>
      </c>
      <c r="AO183" s="951"/>
      <c r="AP183" s="951"/>
      <c r="AQ183" s="951"/>
      <c r="AR183" s="1247">
        <f>AVERAGEA(AR177:AR179)</f>
        <v>234.95100000000002</v>
      </c>
      <c r="AS183" s="951"/>
      <c r="AT183" s="951"/>
      <c r="AU183" s="951"/>
      <c r="AV183" s="1211">
        <f>AVERAGEA(AV177:AV179)</f>
        <v>228.66599999999997</v>
      </c>
      <c r="AW183" s="1158"/>
      <c r="AX183" s="1158"/>
      <c r="AY183" s="951"/>
      <c r="AZ183" s="1211">
        <f>AVERAGEA(AZ177:AZ179)</f>
        <v>222.13166666666666</v>
      </c>
      <c r="BA183" s="1158"/>
      <c r="BB183" s="1158"/>
      <c r="BC183" s="951"/>
      <c r="BD183" s="1211">
        <f>AVERAGEA(BD177:BD179)</f>
        <v>207.64733333333334</v>
      </c>
      <c r="BE183" s="1158"/>
      <c r="BF183" s="1158"/>
      <c r="BG183" s="1158"/>
      <c r="BH183" s="1211">
        <f>AVERAGEA(BH177:BH179)</f>
        <v>208.56466666666665</v>
      </c>
      <c r="BI183" s="1158"/>
      <c r="BJ183" s="1158"/>
      <c r="BK183" s="1158"/>
      <c r="BL183" s="1211">
        <f>AVERAGEA(BL177:BL179)</f>
        <v>203.58699999999999</v>
      </c>
      <c r="BM183" s="1158"/>
      <c r="BN183" s="1158"/>
      <c r="BO183" s="1158"/>
      <c r="BP183" s="1211">
        <f>AVERAGEA(BP177:BP179)</f>
        <v>196.39866666666668</v>
      </c>
      <c r="BQ183" s="1158"/>
      <c r="BR183" s="1158"/>
      <c r="BS183" s="1158"/>
      <c r="BT183" s="1211">
        <f>AVERAGEA(BT177:BT179)</f>
        <v>199.67533333333333</v>
      </c>
      <c r="BU183" s="1158"/>
      <c r="BV183" s="1158"/>
      <c r="BW183" s="1158"/>
      <c r="BX183" s="1211">
        <f>AVERAGEA(BX177:BX179)</f>
        <v>195.76033333333331</v>
      </c>
      <c r="BY183" s="1158"/>
      <c r="BZ183" s="1158"/>
      <c r="CA183" s="1158"/>
      <c r="CB183" s="1211">
        <f>AVERAGEA(CB177:CB179)</f>
        <v>194.89000000000001</v>
      </c>
      <c r="CC183" s="1158"/>
      <c r="CD183" s="1158"/>
      <c r="CE183" s="1158"/>
      <c r="CF183" s="1211">
        <f>AVERAGEA(CF177:CF179)</f>
        <v>196.74766666666665</v>
      </c>
      <c r="CG183" s="1158"/>
      <c r="CH183" s="1158"/>
      <c r="CI183" s="1158"/>
      <c r="CJ183" s="1211">
        <f>AVERAGEA(CJ177:CJ179)</f>
        <v>183.65166666666667</v>
      </c>
      <c r="CK183" s="1158"/>
      <c r="CL183" s="1158"/>
      <c r="CM183" s="1158"/>
      <c r="CN183" s="1211">
        <f>AVERAGEA(CN177:CN179)</f>
        <v>179.86599999999999</v>
      </c>
      <c r="CO183" s="1158"/>
      <c r="CP183" s="1158"/>
      <c r="CQ183" s="1158"/>
      <c r="CR183" s="1211">
        <f>AVERAGEA(CR177:CR179)</f>
        <v>178.68899999999999</v>
      </c>
      <c r="CS183" s="1158"/>
      <c r="CT183" s="1158"/>
      <c r="CU183" s="1158"/>
      <c r="CV183" s="1158"/>
      <c r="CW183" s="1158"/>
      <c r="CX183" s="1158"/>
      <c r="CY183" s="1158"/>
      <c r="CZ183" s="1158"/>
      <c r="DA183" s="1158"/>
      <c r="DB183" s="1012"/>
      <c r="DC183" s="1012"/>
      <c r="DD183" s="1012"/>
      <c r="DE183" s="1012"/>
      <c r="DF183" s="1012"/>
      <c r="DG183" s="1012"/>
      <c r="DH183" s="1012"/>
      <c r="DI183" s="1012"/>
      <c r="DJ183" s="1012"/>
      <c r="DK183" s="1012"/>
      <c r="DL183" s="1012"/>
      <c r="DM183" s="1012"/>
      <c r="DN183" s="1012"/>
      <c r="DO183" s="1012"/>
      <c r="DP183" s="1012"/>
      <c r="DQ183" s="1012"/>
      <c r="DR183" s="1012"/>
      <c r="DS183" s="1012"/>
      <c r="DT183" s="1012"/>
      <c r="DU183" s="1012"/>
      <c r="DV183" s="1012"/>
      <c r="DW183" s="1012"/>
      <c r="DX183" s="1012"/>
      <c r="DY183" s="1012"/>
    </row>
    <row r="184" spans="1:129" ht="7.5" customHeight="1" collapsed="1">
      <c r="A184" s="1167"/>
      <c r="B184" s="951"/>
      <c r="C184" s="951"/>
      <c r="D184" s="951"/>
      <c r="E184" s="951"/>
      <c r="F184" s="951"/>
      <c r="G184" s="951"/>
      <c r="H184" s="951"/>
      <c r="I184" s="951"/>
      <c r="J184" s="951"/>
      <c r="K184" s="951"/>
      <c r="L184" s="951"/>
      <c r="M184" s="951"/>
      <c r="N184" s="951"/>
      <c r="O184" s="951"/>
      <c r="P184" s="951"/>
      <c r="Q184" s="951"/>
      <c r="R184" s="951"/>
      <c r="S184" s="951"/>
      <c r="T184" s="951"/>
      <c r="U184" s="951"/>
      <c r="V184" s="951"/>
      <c r="W184" s="951"/>
      <c r="X184" s="951"/>
      <c r="Y184" s="951"/>
      <c r="Z184" s="951"/>
      <c r="AA184" s="951"/>
      <c r="AB184" s="951"/>
      <c r="AC184" s="951"/>
      <c r="AD184" s="951"/>
      <c r="AE184" s="951"/>
      <c r="AF184" s="951"/>
      <c r="AG184" s="951"/>
      <c r="AH184" s="951"/>
      <c r="AI184" s="951"/>
      <c r="AJ184" s="951"/>
      <c r="AK184" s="951"/>
      <c r="AL184" s="951"/>
      <c r="AM184" s="951"/>
      <c r="AN184" s="951"/>
      <c r="AO184" s="951"/>
      <c r="AP184" s="951"/>
      <c r="AQ184" s="951"/>
      <c r="AR184" s="951"/>
      <c r="AS184" s="951"/>
      <c r="AT184" s="951"/>
      <c r="AU184" s="951"/>
      <c r="AV184" s="1158"/>
      <c r="AW184" s="1158"/>
      <c r="AX184" s="1158"/>
      <c r="AY184" s="951"/>
      <c r="AZ184" s="1158"/>
      <c r="BA184" s="1158"/>
      <c r="BB184" s="1158"/>
      <c r="BC184" s="951"/>
      <c r="BD184" s="1158"/>
      <c r="BE184" s="1158"/>
      <c r="BF184" s="1158"/>
      <c r="BG184" s="1158"/>
      <c r="BH184" s="1158"/>
      <c r="BI184" s="1158"/>
      <c r="BJ184" s="1158"/>
      <c r="BK184" s="1158"/>
      <c r="BL184" s="1158"/>
      <c r="BM184" s="1158"/>
      <c r="BN184" s="1158"/>
      <c r="BO184" s="1158"/>
      <c r="BP184" s="1158"/>
      <c r="BQ184" s="1158"/>
      <c r="BR184" s="1158"/>
      <c r="BS184" s="1158"/>
      <c r="BT184" s="1158"/>
      <c r="BU184" s="1158"/>
      <c r="BV184" s="1158"/>
      <c r="BW184" s="1158"/>
      <c r="BX184" s="1158"/>
      <c r="BY184" s="1158"/>
      <c r="BZ184" s="1158"/>
      <c r="CA184" s="1158"/>
      <c r="CB184" s="1158"/>
      <c r="CC184" s="1158"/>
      <c r="CD184" s="1158"/>
      <c r="CE184" s="1158"/>
      <c r="CF184" s="1158"/>
      <c r="CG184" s="1158"/>
      <c r="CH184" s="1158"/>
      <c r="CI184" s="1158"/>
      <c r="CJ184" s="1158"/>
      <c r="CK184" s="1158"/>
      <c r="CL184" s="1158"/>
      <c r="CM184" s="1158"/>
      <c r="CN184" s="1158"/>
      <c r="CO184" s="1158"/>
      <c r="CP184" s="1158"/>
      <c r="CQ184" s="1158"/>
      <c r="CR184" s="1158"/>
      <c r="CS184" s="1158"/>
      <c r="CT184" s="1158"/>
      <c r="CU184" s="1158"/>
      <c r="CV184" s="1158"/>
      <c r="CW184" s="1158"/>
      <c r="CX184" s="1158"/>
      <c r="CY184" s="1158"/>
      <c r="CZ184" s="1158"/>
      <c r="DA184" s="1158"/>
      <c r="DB184" s="1012"/>
      <c r="DC184" s="1012"/>
      <c r="DD184" s="1012"/>
      <c r="DE184" s="1012"/>
      <c r="DF184" s="1012"/>
      <c r="DG184" s="1012"/>
      <c r="DH184" s="1012"/>
      <c r="DI184" s="1012"/>
      <c r="DJ184" s="1012"/>
      <c r="DK184" s="1012"/>
      <c r="DL184" s="1012"/>
      <c r="DM184" s="1012"/>
      <c r="DN184" s="1012"/>
      <c r="DO184" s="1012"/>
      <c r="DP184" s="1012"/>
      <c r="DQ184" s="1012"/>
      <c r="DR184" s="1012"/>
      <c r="DS184" s="1012"/>
      <c r="DT184" s="1012"/>
      <c r="DU184" s="1012"/>
      <c r="DV184" s="1012"/>
      <c r="DW184" s="1012"/>
      <c r="DX184" s="1012"/>
      <c r="DY184" s="1012"/>
    </row>
    <row r="185" spans="1:129" ht="12.75">
      <c r="A185" s="951"/>
      <c r="B185" s="951"/>
      <c r="C185" s="951"/>
      <c r="D185" s="951"/>
      <c r="E185" s="951"/>
      <c r="F185" s="951"/>
      <c r="G185" s="951"/>
      <c r="H185" s="951"/>
      <c r="I185" s="951"/>
      <c r="J185" s="951"/>
      <c r="K185" s="951"/>
      <c r="L185" s="951"/>
      <c r="M185" s="951"/>
      <c r="N185" s="951"/>
      <c r="O185" s="951"/>
      <c r="P185" s="951"/>
      <c r="Q185" s="951"/>
      <c r="R185" s="951"/>
      <c r="S185" s="951"/>
      <c r="T185" s="951"/>
      <c r="U185" s="951"/>
      <c r="V185" s="951"/>
      <c r="W185" s="951"/>
      <c r="X185" s="951"/>
      <c r="Y185" s="951"/>
      <c r="Z185" s="951"/>
      <c r="AA185" s="951"/>
      <c r="AB185" s="951"/>
      <c r="AC185" s="951"/>
      <c r="AD185" s="951"/>
      <c r="AE185" s="951"/>
      <c r="AF185" s="951"/>
      <c r="AG185" s="951"/>
      <c r="AH185" s="951"/>
      <c r="AI185" s="951"/>
      <c r="AJ185" s="951"/>
      <c r="AK185" s="951"/>
      <c r="AL185" s="951"/>
      <c r="AM185" s="951"/>
      <c r="AN185" s="951"/>
      <c r="AO185" s="951"/>
      <c r="AP185" s="951"/>
      <c r="AQ185" s="951"/>
      <c r="AR185" s="951"/>
      <c r="AS185" s="951"/>
      <c r="AT185" s="951"/>
      <c r="AU185" s="951"/>
      <c r="AV185" s="1166"/>
      <c r="AW185" s="1158"/>
      <c r="AX185" s="1158"/>
      <c r="AY185" s="951"/>
      <c r="AZ185" s="1158"/>
      <c r="BA185" s="1453"/>
      <c r="BB185" s="1158"/>
      <c r="BC185" s="951"/>
      <c r="BD185" s="1158"/>
      <c r="BE185" s="1158"/>
      <c r="BF185" s="1320"/>
      <c r="BG185" s="1158"/>
      <c r="BH185" s="1166"/>
      <c r="BI185" s="1158"/>
      <c r="BJ185" s="1158"/>
      <c r="BK185" s="1158"/>
      <c r="BL185" s="1166"/>
      <c r="BM185" s="1158"/>
      <c r="BN185" s="1158"/>
      <c r="BO185" s="1158"/>
      <c r="BP185" s="1166"/>
      <c r="BQ185" s="1158"/>
      <c r="BS185" s="1158"/>
      <c r="BT185" s="1166"/>
      <c r="BV185" s="1182" t="s">
        <v>590</v>
      </c>
      <c r="BW185" s="1158"/>
      <c r="BX185" s="1158"/>
      <c r="BY185" s="1158"/>
      <c r="BZ185" s="1158"/>
      <c r="CA185" s="1158"/>
      <c r="CB185" s="1158"/>
      <c r="CC185" s="1158"/>
      <c r="CD185" s="1158"/>
      <c r="CE185" s="1158"/>
      <c r="CF185" s="1158"/>
      <c r="CG185" s="1158"/>
      <c r="CH185" s="1182" t="s">
        <v>590</v>
      </c>
      <c r="CI185" s="1158"/>
      <c r="CJ185" s="1158"/>
      <c r="CK185" s="1158"/>
      <c r="CL185" s="1158"/>
      <c r="CM185" s="1158"/>
      <c r="CN185" s="1158"/>
      <c r="CO185" s="1158"/>
      <c r="CP185" s="1158"/>
      <c r="CQ185" s="1158"/>
      <c r="CR185" s="1158"/>
      <c r="CS185" s="1158"/>
      <c r="CT185" s="1158"/>
      <c r="CU185" s="1158"/>
      <c r="CV185" s="1158"/>
      <c r="CW185" s="1158"/>
      <c r="CX185" s="1158"/>
      <c r="CY185" s="1158"/>
      <c r="CZ185" s="1158"/>
      <c r="DA185" s="1158"/>
      <c r="DB185" s="1158"/>
      <c r="DC185" s="951"/>
      <c r="DD185" s="951"/>
      <c r="DE185" s="951"/>
      <c r="DF185" s="951"/>
      <c r="DG185" s="951"/>
      <c r="DH185" s="951"/>
      <c r="DI185" s="951"/>
      <c r="DJ185" s="951"/>
      <c r="DK185" s="951"/>
      <c r="DL185" s="951"/>
      <c r="DM185" s="951"/>
      <c r="DN185" s="951"/>
      <c r="DO185" s="951"/>
      <c r="DP185" s="951"/>
      <c r="DQ185" s="951"/>
      <c r="DR185" s="951"/>
      <c r="DS185" s="951"/>
      <c r="DT185" s="951"/>
      <c r="DU185" s="951"/>
      <c r="DV185" s="951"/>
      <c r="DW185" s="951"/>
      <c r="DX185" s="951"/>
      <c r="DY185" s="951"/>
    </row>
    <row r="186" spans="1:129" ht="6.75" customHeight="1">
      <c r="A186" s="951"/>
      <c r="B186" s="951"/>
      <c r="C186" s="951"/>
      <c r="D186" s="951"/>
      <c r="E186" s="951"/>
      <c r="F186" s="951"/>
      <c r="G186" s="951"/>
      <c r="H186" s="951"/>
      <c r="I186" s="951"/>
      <c r="J186" s="951"/>
      <c r="K186" s="951"/>
      <c r="L186" s="951"/>
      <c r="M186" s="951"/>
      <c r="N186" s="951"/>
      <c r="O186" s="1209"/>
      <c r="P186" s="951"/>
      <c r="Q186" s="951"/>
      <c r="R186" s="951"/>
      <c r="S186" s="951"/>
      <c r="T186" s="951"/>
      <c r="U186" s="951"/>
      <c r="V186" s="951"/>
      <c r="W186" s="951"/>
      <c r="X186" s="951"/>
      <c r="Y186" s="951"/>
      <c r="Z186" s="951"/>
      <c r="AA186" s="951"/>
      <c r="AB186" s="951"/>
      <c r="AC186" s="951"/>
      <c r="AD186" s="951"/>
      <c r="AE186" s="951"/>
      <c r="AF186" s="951"/>
      <c r="AG186" s="951"/>
      <c r="AH186" s="951"/>
      <c r="AI186" s="951"/>
      <c r="AJ186" s="951"/>
      <c r="AK186" s="951"/>
      <c r="AL186" s="951"/>
      <c r="AM186" s="951"/>
      <c r="AN186" s="951"/>
      <c r="AO186" s="951"/>
      <c r="AP186" s="951"/>
      <c r="AQ186" s="951"/>
      <c r="AR186" s="951"/>
      <c r="AS186" s="951"/>
      <c r="AT186" s="951"/>
      <c r="AU186" s="951"/>
      <c r="AV186" s="1158"/>
      <c r="AW186" s="1158"/>
      <c r="AX186" s="1158"/>
      <c r="AY186" s="951"/>
      <c r="AZ186" s="1158"/>
      <c r="BA186" s="1158"/>
      <c r="BB186" s="1158"/>
      <c r="BC186" s="951"/>
      <c r="BD186" s="1158"/>
      <c r="BE186" s="1158"/>
      <c r="BF186" s="1158"/>
      <c r="BG186" s="1158"/>
      <c r="BH186" s="1158"/>
      <c r="BI186" s="1158"/>
      <c r="BJ186" s="1158"/>
      <c r="BK186" s="1158"/>
      <c r="BL186" s="1158"/>
      <c r="BM186" s="1158"/>
      <c r="BN186" s="1158"/>
      <c r="BO186" s="1158"/>
      <c r="BP186" s="1158"/>
      <c r="BQ186" s="1158"/>
      <c r="BR186" s="1158"/>
      <c r="BS186" s="1158"/>
      <c r="BT186" s="1158"/>
      <c r="BU186" s="1158"/>
      <c r="BV186" s="1158"/>
      <c r="BW186" s="1158"/>
      <c r="BX186" s="1158"/>
      <c r="BY186" s="1158"/>
      <c r="BZ186" s="1158"/>
      <c r="CA186" s="1158"/>
      <c r="CB186" s="1158"/>
      <c r="CC186" s="1158"/>
      <c r="CD186" s="1158"/>
      <c r="CE186" s="1158"/>
      <c r="CF186" s="1158"/>
      <c r="CG186" s="1158"/>
      <c r="CH186" s="1158"/>
      <c r="CI186" s="1158"/>
      <c r="CJ186" s="1158"/>
      <c r="CK186" s="1158"/>
      <c r="CL186" s="1158"/>
      <c r="CM186" s="1158"/>
      <c r="CN186" s="1158"/>
      <c r="CO186" s="1158"/>
      <c r="CP186" s="1158"/>
      <c r="CQ186" s="1158"/>
      <c r="CR186" s="1158"/>
      <c r="CS186" s="1158"/>
      <c r="CT186" s="1158"/>
      <c r="CU186" s="1267"/>
      <c r="CV186" s="1158"/>
      <c r="CW186" s="1267"/>
      <c r="CX186" s="1267"/>
      <c r="CY186" s="1158"/>
      <c r="CZ186" s="1158"/>
      <c r="DA186" s="1158"/>
      <c r="DB186" s="951"/>
      <c r="DC186" s="951"/>
      <c r="DD186" s="951"/>
      <c r="DE186" s="951"/>
      <c r="DF186" s="951"/>
      <c r="DG186" s="951"/>
      <c r="DH186" s="951"/>
      <c r="DI186" s="951"/>
      <c r="DJ186" s="951"/>
      <c r="DK186" s="951"/>
      <c r="DL186" s="951"/>
      <c r="DM186" s="951"/>
      <c r="DN186" s="951"/>
      <c r="DO186" s="951"/>
      <c r="DP186" s="951"/>
      <c r="DQ186" s="951"/>
      <c r="DR186" s="951"/>
      <c r="DS186" s="951"/>
      <c r="DT186" s="951"/>
      <c r="DU186" s="951"/>
      <c r="DV186" s="951"/>
      <c r="DW186" s="951"/>
      <c r="DX186" s="951"/>
      <c r="DY186" s="951"/>
    </row>
    <row r="187" spans="1:129" ht="10.5" hidden="1" customHeight="1" outlineLevel="1">
      <c r="A187" s="951"/>
      <c r="B187" s="951"/>
      <c r="C187" s="951"/>
      <c r="D187" s="951"/>
      <c r="E187" s="951"/>
      <c r="F187" s="951"/>
      <c r="G187" s="951"/>
      <c r="H187" s="951"/>
      <c r="I187" s="951"/>
      <c r="J187" s="951"/>
      <c r="K187" s="951"/>
      <c r="L187" s="951"/>
      <c r="M187" s="951"/>
      <c r="N187" s="951"/>
      <c r="O187" s="1209"/>
      <c r="P187" s="951"/>
      <c r="Q187" s="951"/>
      <c r="R187" s="951"/>
      <c r="S187" s="951"/>
      <c r="T187" s="1412"/>
      <c r="U187" s="1412"/>
      <c r="V187" s="1412"/>
      <c r="W187" s="1412"/>
      <c r="X187" s="1412"/>
      <c r="Y187" s="1412"/>
      <c r="Z187" s="1412"/>
      <c r="AA187" s="1412"/>
      <c r="AB187" s="1412"/>
      <c r="AC187" s="1412"/>
      <c r="AD187" s="1412"/>
      <c r="AE187" s="1412"/>
      <c r="AF187" s="1182" t="s">
        <v>591</v>
      </c>
      <c r="AG187" s="1412"/>
      <c r="AH187" s="1412"/>
      <c r="AI187" s="1412"/>
      <c r="AJ187" s="1412"/>
      <c r="AK187" s="1412"/>
      <c r="AL187" s="1412"/>
      <c r="AM187" s="1412"/>
      <c r="AN187" s="1412"/>
      <c r="AO187" s="1412"/>
      <c r="AP187" s="1412"/>
      <c r="AQ187" s="1412"/>
      <c r="AR187" s="1412"/>
      <c r="AS187" s="1412"/>
      <c r="AT187" s="1412"/>
      <c r="AU187" s="1412"/>
      <c r="AV187" s="1267"/>
      <c r="AW187" s="1267"/>
      <c r="AX187" s="1267"/>
      <c r="AY187" s="1412"/>
      <c r="AZ187" s="1267"/>
      <c r="BA187" s="1267"/>
      <c r="BB187" s="1267"/>
      <c r="BC187" s="1412"/>
      <c r="BD187" s="1267"/>
      <c r="BE187" s="1267"/>
      <c r="BF187" s="1267"/>
      <c r="BG187" s="1267"/>
      <c r="BH187" s="1267"/>
      <c r="BI187" s="1267"/>
      <c r="BJ187" s="1267"/>
      <c r="BK187" s="1267"/>
      <c r="BL187" s="1267"/>
      <c r="BM187" s="1267"/>
      <c r="BN187" s="1267"/>
      <c r="BO187" s="1267"/>
      <c r="BP187" s="1267"/>
      <c r="BQ187" s="1267"/>
      <c r="BR187" s="1267"/>
      <c r="BS187" s="1267"/>
      <c r="BT187" s="1267"/>
      <c r="BU187" s="1267"/>
      <c r="BV187" s="1267"/>
      <c r="BW187" s="1267"/>
      <c r="BX187" s="1267"/>
      <c r="BY187" s="1267"/>
      <c r="BZ187" s="1267"/>
      <c r="CA187" s="1267"/>
      <c r="CB187" s="1267"/>
      <c r="CC187" s="1267"/>
      <c r="CD187" s="1267"/>
      <c r="CE187" s="1267"/>
      <c r="CF187" s="1267"/>
      <c r="CG187" s="1267"/>
      <c r="CH187" s="1267"/>
      <c r="CI187" s="1267"/>
      <c r="CJ187" s="1267"/>
      <c r="CK187" s="1267"/>
      <c r="CL187" s="1267"/>
      <c r="CM187" s="1267"/>
      <c r="CN187" s="1267"/>
      <c r="CO187" s="1267"/>
      <c r="CP187" s="1267"/>
      <c r="CQ187" s="1267"/>
      <c r="CR187" s="1267"/>
      <c r="CS187" s="1267"/>
      <c r="CT187" s="1267"/>
      <c r="CU187" s="1158"/>
      <c r="CV187" s="1267"/>
      <c r="CW187" s="1158"/>
      <c r="CX187" s="1158"/>
      <c r="CY187" s="1267"/>
      <c r="CZ187" s="1267"/>
      <c r="DA187" s="1267"/>
      <c r="DB187" s="1412"/>
      <c r="DC187" s="1412"/>
      <c r="DD187" s="1412"/>
      <c r="DE187" s="1412"/>
      <c r="DF187" s="1412"/>
      <c r="DG187" s="1412"/>
      <c r="DH187" s="951"/>
      <c r="DI187" s="951"/>
      <c r="DJ187" s="951"/>
      <c r="DK187" s="951"/>
      <c r="DL187" s="951"/>
      <c r="DM187" s="951"/>
      <c r="DN187" s="951"/>
      <c r="DO187" s="951"/>
      <c r="DP187" s="951"/>
      <c r="DQ187" s="951"/>
      <c r="DR187" s="951"/>
      <c r="DS187" s="951"/>
      <c r="DT187" s="951"/>
      <c r="DU187" s="951"/>
      <c r="DV187" s="951"/>
      <c r="DW187" s="951"/>
      <c r="DX187" s="951"/>
      <c r="DY187" s="951"/>
    </row>
    <row r="188" spans="1:129" ht="10.5" hidden="1" customHeight="1" outlineLevel="1">
      <c r="A188" s="1167" t="s">
        <v>734</v>
      </c>
      <c r="B188" s="951"/>
      <c r="C188" s="268"/>
      <c r="D188" s="951"/>
      <c r="E188" s="951"/>
      <c r="F188" s="951"/>
      <c r="G188" s="268"/>
      <c r="H188" s="951"/>
      <c r="I188" s="951"/>
      <c r="J188" s="1012"/>
      <c r="K188" s="268"/>
      <c r="L188" s="1012"/>
      <c r="M188" s="951"/>
      <c r="N188" s="1012"/>
      <c r="O188" s="268"/>
      <c r="P188" s="951"/>
      <c r="Q188" s="951"/>
      <c r="R188" s="1012"/>
      <c r="S188" s="268">
        <f>46.369793*(3/2)*2</f>
        <v>139.10937899999999</v>
      </c>
      <c r="T188" s="951"/>
      <c r="U188" s="951"/>
      <c r="V188" s="1012"/>
      <c r="W188" s="268">
        <f>70.458*2</f>
        <v>140.916</v>
      </c>
      <c r="X188" s="951"/>
      <c r="Y188" s="951"/>
      <c r="Z188" s="951"/>
      <c r="AA188" s="1012"/>
      <c r="AB188" s="268">
        <f>71.4727*2</f>
        <v>142.94540000000001</v>
      </c>
      <c r="AC188" s="951"/>
      <c r="AD188" s="951"/>
      <c r="AE188" s="1012"/>
      <c r="AF188" s="268">
        <f>72.147*2</f>
        <v>144.29400000000001</v>
      </c>
      <c r="AG188" s="951"/>
      <c r="AH188" s="951"/>
      <c r="AI188" s="1012"/>
      <c r="AJ188" s="268">
        <f>71.068*2*3/2</f>
        <v>213.20400000000001</v>
      </c>
      <c r="AK188" s="951"/>
      <c r="AL188" s="951"/>
      <c r="AM188" s="1012"/>
      <c r="AN188" s="268">
        <f>71.7204*2*3/2</f>
        <v>215.16120000000001</v>
      </c>
      <c r="AO188" s="951"/>
      <c r="AP188" s="951"/>
      <c r="AQ188" s="1012"/>
      <c r="AR188" s="1452">
        <f>AR177/AN177*AN188</f>
        <v>229.28310900651223</v>
      </c>
      <c r="AS188" s="951"/>
      <c r="AT188" s="951"/>
      <c r="AU188" s="1012"/>
      <c r="AV188" s="1447">
        <f>AV177/AR177*AR188</f>
        <v>223.6270017174765</v>
      </c>
      <c r="AW188" s="1158"/>
      <c r="AX188" s="1158"/>
      <c r="AY188" s="1012"/>
      <c r="AZ188" s="1447">
        <f>AZ177/AV177*AV188</f>
        <v>220.86381730309776</v>
      </c>
      <c r="BA188" s="1158"/>
      <c r="BB188" s="1158"/>
      <c r="BC188" s="1012"/>
      <c r="BD188" s="1447">
        <f>BD177/AZ177*AZ188</f>
        <v>203.76673613390312</v>
      </c>
      <c r="BE188" s="1158"/>
      <c r="BF188" s="1158"/>
      <c r="BG188" s="1158"/>
      <c r="BH188" s="1447">
        <f>BH177/BD177*BD188</f>
        <v>202.96578473384577</v>
      </c>
      <c r="BI188" s="1158"/>
      <c r="BJ188" s="1158"/>
      <c r="BK188" s="1158"/>
      <c r="BL188" s="1447">
        <f>BL177/BH177*BH188</f>
        <v>205.90228014799243</v>
      </c>
      <c r="BM188" s="1158"/>
      <c r="BN188" s="1158"/>
      <c r="BO188" s="1158"/>
      <c r="BP188" s="1447">
        <f>BP177/BL177*BL188</f>
        <v>192.53481252747554</v>
      </c>
      <c r="BQ188" s="1158"/>
      <c r="BR188" s="1158"/>
      <c r="BS188" s="1158"/>
      <c r="BT188" s="1447">
        <f>BT177/BP177*BP188</f>
        <v>193.14091144756785</v>
      </c>
      <c r="BU188" s="1158"/>
      <c r="BV188" s="1158"/>
      <c r="BW188" s="1158"/>
      <c r="BX188" s="1447">
        <f>BX177/BT177*BT188</f>
        <v>192.61804097369176</v>
      </c>
      <c r="BY188" s="1158"/>
      <c r="BZ188" s="1158"/>
      <c r="CA188" s="1158"/>
      <c r="CB188" s="1447">
        <f>CB177/BX177*BX188</f>
        <v>190.64405806108101</v>
      </c>
      <c r="CC188" s="1158"/>
      <c r="CD188" s="1158"/>
      <c r="CE188" s="1158"/>
      <c r="CF188" s="1447">
        <f>CF177/CB177*CB188</f>
        <v>191.79750640981882</v>
      </c>
      <c r="CG188" s="1158"/>
      <c r="CH188" s="1158"/>
      <c r="CI188" s="1158"/>
      <c r="CJ188" s="1447">
        <f>CJ177/CF177*CF188</f>
        <v>179.11447036465657</v>
      </c>
      <c r="CK188" s="1158"/>
      <c r="CL188" s="1158"/>
      <c r="CM188" s="1158"/>
      <c r="CN188" s="1447">
        <f>CN177/CJ177*CJ188</f>
        <v>177.89150178437342</v>
      </c>
      <c r="CO188" s="1158"/>
      <c r="CP188" s="1158"/>
      <c r="CQ188" s="1158"/>
      <c r="CR188" s="1447">
        <f>CR177/CN177*CN188</f>
        <v>175.45437704752413</v>
      </c>
      <c r="CS188" s="1158"/>
      <c r="CT188" s="1158"/>
      <c r="CU188" s="1158"/>
      <c r="CV188" s="1158"/>
      <c r="CW188" s="1158"/>
      <c r="CX188" s="1158"/>
      <c r="CY188" s="1158"/>
      <c r="CZ188" s="1158"/>
      <c r="DA188" s="1158"/>
      <c r="DB188" s="951"/>
      <c r="DC188" s="951"/>
      <c r="DD188" s="951"/>
      <c r="DE188" s="951"/>
      <c r="DF188" s="951"/>
      <c r="DG188" s="951"/>
      <c r="DH188" s="951"/>
      <c r="DI188" s="951"/>
      <c r="DJ188" s="951"/>
      <c r="DK188" s="951"/>
      <c r="DL188" s="951"/>
      <c r="DM188" s="951"/>
      <c r="DN188" s="951"/>
      <c r="DO188" s="951"/>
      <c r="DP188" s="951"/>
      <c r="DQ188" s="951"/>
      <c r="DR188" s="951"/>
      <c r="DS188" s="951"/>
      <c r="DT188" s="951"/>
      <c r="DU188" s="951"/>
      <c r="DV188" s="951"/>
      <c r="DW188" s="951"/>
      <c r="DX188" s="951"/>
      <c r="DY188" s="951"/>
    </row>
    <row r="189" spans="1:129" ht="10.5" hidden="1" customHeight="1" outlineLevel="1">
      <c r="A189" s="1167" t="s">
        <v>735</v>
      </c>
      <c r="B189" s="951"/>
      <c r="C189" s="268"/>
      <c r="D189" s="951"/>
      <c r="E189" s="951"/>
      <c r="F189" s="951"/>
      <c r="G189" s="268"/>
      <c r="H189" s="951"/>
      <c r="I189" s="951"/>
      <c r="J189" s="1012"/>
      <c r="K189" s="268"/>
      <c r="L189" s="1012"/>
      <c r="M189" s="951"/>
      <c r="N189" s="1012"/>
      <c r="O189" s="268"/>
      <c r="P189" s="951"/>
      <c r="Q189" s="951"/>
      <c r="R189" s="1012"/>
      <c r="S189" s="268">
        <f>46.577303*(3/2)*2</f>
        <v>139.731909</v>
      </c>
      <c r="T189" s="951"/>
      <c r="U189" s="951"/>
      <c r="V189" s="1012"/>
      <c r="W189" s="268">
        <f>69.258*2</f>
        <v>138.51599999999999</v>
      </c>
      <c r="X189" s="951"/>
      <c r="Y189" s="951"/>
      <c r="Z189" s="951"/>
      <c r="AA189" s="1012"/>
      <c r="AB189" s="268">
        <f>71.973*2</f>
        <v>143.946</v>
      </c>
      <c r="AC189" s="951"/>
      <c r="AD189" s="951"/>
      <c r="AE189" s="1012"/>
      <c r="AF189" s="268">
        <f>71.783*2</f>
        <v>143.566</v>
      </c>
      <c r="AG189" s="951"/>
      <c r="AH189" s="951"/>
      <c r="AI189" s="1012"/>
      <c r="AJ189" s="268">
        <f>71.126*2*3/2</f>
        <v>213.37800000000001</v>
      </c>
      <c r="AK189" s="951"/>
      <c r="AL189" s="951"/>
      <c r="AM189" s="1012"/>
      <c r="AN189" s="268">
        <f>73.38*2*3/2</f>
        <v>220.14</v>
      </c>
      <c r="AO189" s="951"/>
      <c r="AP189" s="951"/>
      <c r="AQ189" s="1012"/>
      <c r="AR189" s="1452">
        <f>AR178/AN178*AN189</f>
        <v>234.20670972439459</v>
      </c>
      <c r="AS189" s="951"/>
      <c r="AT189" s="951"/>
      <c r="AU189" s="1012"/>
      <c r="AV189" s="1447">
        <f>AV178/AR178*AR189</f>
        <v>226.78747761717273</v>
      </c>
      <c r="AW189" s="1158"/>
      <c r="AX189" s="1158"/>
      <c r="AY189" s="1012"/>
      <c r="AZ189" s="1447">
        <f>AZ178/AV178*AV189</f>
        <v>219.69673588263848</v>
      </c>
      <c r="BA189" s="1158"/>
      <c r="BB189" s="1158"/>
      <c r="BC189" s="1012"/>
      <c r="BD189" s="1447">
        <f>BD178/AZ178*AZ189</f>
        <v>205.31044064505687</v>
      </c>
      <c r="BE189" s="1158"/>
      <c r="BF189" s="1158"/>
      <c r="BG189" s="1158"/>
      <c r="BH189" s="1447">
        <f>BH178/BD178*BD189</f>
        <v>206.80546761231861</v>
      </c>
      <c r="BI189" s="1158"/>
      <c r="BJ189" s="1158"/>
      <c r="BK189" s="1158"/>
      <c r="BL189" s="1447">
        <f>BL178/BH178*BH189</f>
        <v>201.00543579094975</v>
      </c>
      <c r="BM189" s="1158"/>
      <c r="BN189" s="1158"/>
      <c r="BO189" s="1158"/>
      <c r="BP189" s="1447">
        <f>BP178/BL178*BL189</f>
        <v>194.49994121136939</v>
      </c>
      <c r="BQ189" s="1158"/>
      <c r="BR189" s="1158"/>
      <c r="BS189" s="1158"/>
      <c r="BT189" s="1447">
        <f>BT178/BP178*BP189</f>
        <v>197.69480691440586</v>
      </c>
      <c r="BU189" s="1158"/>
      <c r="BV189" s="1158"/>
      <c r="BW189" s="1158"/>
      <c r="BX189" s="1447">
        <f>BX178/BT178*BT189</f>
        <v>193.8795693328299</v>
      </c>
      <c r="BY189" s="1158"/>
      <c r="BZ189" s="1158"/>
      <c r="CA189" s="1158"/>
      <c r="CB189" s="1447">
        <f>CB178/BX178*BX189</f>
        <v>192.68829701742084</v>
      </c>
      <c r="CC189" s="1158"/>
      <c r="CD189" s="1158"/>
      <c r="CE189" s="1158"/>
      <c r="CF189" s="1447">
        <f>CF178/CB178*CB189</f>
        <v>194.803695863222</v>
      </c>
      <c r="CG189" s="1158"/>
      <c r="CH189" s="1158"/>
      <c r="CI189" s="1158"/>
      <c r="CJ189" s="1447">
        <f>CJ178/CF178*CF189</f>
        <v>181.47411061970766</v>
      </c>
      <c r="CK189" s="1158"/>
      <c r="CL189" s="1158"/>
      <c r="CM189" s="1158"/>
      <c r="CN189" s="1447">
        <f>CN178/CJ178*CJ189</f>
        <v>176.89800226524997</v>
      </c>
      <c r="CO189" s="1158"/>
      <c r="CP189" s="1158"/>
      <c r="CQ189" s="1158"/>
      <c r="CR189" s="1447">
        <f>CR178/CN178*CN189</f>
        <v>176.80004881074373</v>
      </c>
      <c r="CS189" s="1158"/>
      <c r="CT189" s="1158"/>
      <c r="CU189" s="1158"/>
      <c r="CV189" s="1158"/>
      <c r="CW189" s="1158"/>
      <c r="CX189" s="1158"/>
      <c r="CY189" s="1158"/>
      <c r="CZ189" s="1158"/>
      <c r="DA189" s="1158"/>
      <c r="DB189" s="951"/>
      <c r="DC189" s="951"/>
      <c r="DD189" s="951"/>
      <c r="DE189" s="951"/>
      <c r="DF189" s="951"/>
      <c r="DG189" s="951"/>
      <c r="DH189" s="951"/>
      <c r="DI189" s="951"/>
      <c r="DJ189" s="951"/>
      <c r="DK189" s="951"/>
      <c r="DL189" s="951"/>
      <c r="DM189" s="951"/>
      <c r="DN189" s="951"/>
      <c r="DO189" s="951"/>
      <c r="DP189" s="951"/>
      <c r="DQ189" s="951"/>
      <c r="DR189" s="951"/>
      <c r="DS189" s="951"/>
      <c r="DT189" s="951"/>
      <c r="DU189" s="951"/>
      <c r="DV189" s="951"/>
      <c r="DW189" s="951"/>
      <c r="DX189" s="951"/>
      <c r="DY189" s="951"/>
    </row>
    <row r="190" spans="1:129" ht="10.5" hidden="1" customHeight="1" outlineLevel="1">
      <c r="A190" s="1167" t="s">
        <v>736</v>
      </c>
      <c r="B190" s="951"/>
      <c r="C190" s="268"/>
      <c r="D190" s="951"/>
      <c r="E190" s="951"/>
      <c r="F190" s="951"/>
      <c r="G190" s="268"/>
      <c r="H190" s="951"/>
      <c r="I190" s="951"/>
      <c r="J190" s="1012"/>
      <c r="K190" s="268"/>
      <c r="L190" s="1012"/>
      <c r="M190" s="951"/>
      <c r="N190" s="1012"/>
      <c r="O190" s="268"/>
      <c r="P190" s="951"/>
      <c r="Q190" s="951"/>
      <c r="R190" s="1012"/>
      <c r="S190" s="268">
        <f>46.657667*(3/2)*2</f>
        <v>139.97300100000001</v>
      </c>
      <c r="T190" s="951"/>
      <c r="U190" s="951"/>
      <c r="V190" s="1012"/>
      <c r="W190" s="268">
        <f>69.6615*2</f>
        <v>139.32300000000001</v>
      </c>
      <c r="X190" s="951"/>
      <c r="Y190" s="951"/>
      <c r="Z190" s="951"/>
      <c r="AA190" s="1012"/>
      <c r="AB190" s="268">
        <f>71.879*2</f>
        <v>143.75800000000001</v>
      </c>
      <c r="AC190" s="951"/>
      <c r="AD190" s="951"/>
      <c r="AE190" s="1012"/>
      <c r="AF190" s="268">
        <f>71.187*2</f>
        <v>142.374</v>
      </c>
      <c r="AG190" s="951"/>
      <c r="AH190" s="951"/>
      <c r="AI190" s="1012"/>
      <c r="AJ190" s="268">
        <f>71.1845*2*3/2</f>
        <v>213.55349999999999</v>
      </c>
      <c r="AK190" s="951"/>
      <c r="AL190" s="951"/>
      <c r="AM190" s="1012"/>
      <c r="AN190" s="1452">
        <f>AN189</f>
        <v>220.14</v>
      </c>
      <c r="AO190" s="951"/>
      <c r="AP190" s="951"/>
      <c r="AQ190" s="1012"/>
      <c r="AR190" s="1452">
        <f>AR179/AN179*AN190</f>
        <v>226.55524299003758</v>
      </c>
      <c r="AS190" s="951"/>
      <c r="AT190" s="951"/>
      <c r="AU190" s="1012"/>
      <c r="AV190" s="1447">
        <f>AV179/AR179*AR190</f>
        <v>221.15232156759248</v>
      </c>
      <c r="AW190" s="1158"/>
      <c r="AX190" s="1158"/>
      <c r="AY190" s="1012"/>
      <c r="AZ190" s="1447">
        <f>AZ179/AV179*AV190</f>
        <v>211.84293303424155</v>
      </c>
      <c r="BA190" s="1158"/>
      <c r="BB190" s="1158"/>
      <c r="BC190" s="1012"/>
      <c r="BD190" s="1447">
        <f>BD179/AZ179*AZ190</f>
        <v>200.75435666688657</v>
      </c>
      <c r="BE190" s="1158"/>
      <c r="BF190" s="1158"/>
      <c r="BG190" s="1158"/>
      <c r="BH190" s="1447">
        <f>BH179/BD179*BD190</f>
        <v>202.74801530645905</v>
      </c>
      <c r="BI190" s="1158"/>
      <c r="BJ190" s="1158"/>
      <c r="BK190" s="1158"/>
      <c r="BL190" s="1447">
        <f>BL179/BH179*BH190</f>
        <v>191.06105086758592</v>
      </c>
      <c r="BM190" s="1158"/>
      <c r="BN190" s="1158"/>
      <c r="BO190" s="1158"/>
      <c r="BP190" s="1447">
        <f>BP179/BL179*BL190</f>
        <v>189.76551164478457</v>
      </c>
      <c r="BQ190" s="1158"/>
      <c r="BR190" s="1158"/>
      <c r="BS190" s="1158"/>
      <c r="BT190" s="1447">
        <f>BT179/BP179*BP190</f>
        <v>195.55767579336279</v>
      </c>
      <c r="BU190" s="1158"/>
      <c r="BV190" s="1158"/>
      <c r="BW190" s="1158"/>
      <c r="BX190" s="1447">
        <f>BX179/BT179*BT190</f>
        <v>188.43608312990696</v>
      </c>
      <c r="BY190" s="1158"/>
      <c r="BZ190" s="1158"/>
      <c r="CA190" s="1158"/>
      <c r="CB190" s="1447">
        <f>CB179/BX179*BX190</f>
        <v>189.02575681203402</v>
      </c>
      <c r="CC190" s="1158"/>
      <c r="CD190" s="1158"/>
      <c r="CE190" s="1158"/>
      <c r="CF190" s="1447">
        <f>CF179/CB179*CB190</f>
        <v>191.21113201820938</v>
      </c>
      <c r="CG190" s="1158"/>
      <c r="CH190" s="1158"/>
      <c r="CI190" s="1158"/>
      <c r="CJ190" s="1447">
        <f>CJ179/CF179*CF190</f>
        <v>178.75633304743678</v>
      </c>
      <c r="CK190" s="1158"/>
      <c r="CL190" s="1158"/>
      <c r="CM190" s="1158"/>
      <c r="CN190" s="1447">
        <f>CN179/CJ179*CJ190</f>
        <v>173.44733337731736</v>
      </c>
      <c r="CO190" s="1158"/>
      <c r="CP190" s="1158"/>
      <c r="CQ190" s="1158"/>
      <c r="CR190" s="1447">
        <f>CR179/CN179*CN190</f>
        <v>172.5342590222339</v>
      </c>
      <c r="CS190" s="1158"/>
      <c r="CT190" s="1158"/>
      <c r="CU190" s="1158"/>
      <c r="CV190" s="1158"/>
      <c r="CW190" s="1158"/>
      <c r="CX190" s="1158"/>
      <c r="CY190" s="1158"/>
      <c r="CZ190" s="1158"/>
      <c r="DA190" s="1158"/>
      <c r="DB190" s="951"/>
      <c r="DC190" s="951"/>
      <c r="DD190" s="951"/>
      <c r="DE190" s="951"/>
      <c r="DF190" s="951"/>
      <c r="DG190" s="951"/>
      <c r="DH190" s="951"/>
      <c r="DI190" s="951"/>
      <c r="DJ190" s="951"/>
      <c r="DK190" s="951"/>
      <c r="DL190" s="951"/>
      <c r="DM190" s="951"/>
      <c r="DN190" s="951"/>
      <c r="DO190" s="951"/>
      <c r="DP190" s="951"/>
      <c r="DQ190" s="951"/>
      <c r="DR190" s="951"/>
      <c r="DS190" s="951"/>
      <c r="DT190" s="951"/>
      <c r="DU190" s="951"/>
      <c r="DV190" s="951"/>
      <c r="DW190" s="951"/>
      <c r="DX190" s="951"/>
      <c r="DY190" s="951"/>
    </row>
    <row r="191" spans="1:129" ht="10.5" hidden="1" customHeight="1" outlineLevel="1">
      <c r="A191" s="1167" t="s">
        <v>737</v>
      </c>
      <c r="B191" s="951"/>
      <c r="C191" s="270"/>
      <c r="D191" s="951"/>
      <c r="E191" s="951"/>
      <c r="F191" s="951"/>
      <c r="G191" s="270"/>
      <c r="H191" s="951"/>
      <c r="I191" s="951"/>
      <c r="J191" s="951"/>
      <c r="K191" s="270"/>
      <c r="L191" s="1012"/>
      <c r="M191" s="951"/>
      <c r="N191" s="951"/>
      <c r="O191" s="270"/>
      <c r="P191" s="951"/>
      <c r="Q191" s="951"/>
      <c r="R191" s="951"/>
      <c r="S191" s="270">
        <f>47*(3/2)*2</f>
        <v>141</v>
      </c>
      <c r="T191" s="951"/>
      <c r="U191" s="951"/>
      <c r="V191" s="951"/>
      <c r="W191" s="1448">
        <f>70.419*2</f>
        <v>140.83799999999999</v>
      </c>
      <c r="X191" s="1226"/>
      <c r="Y191" s="951"/>
      <c r="Z191" s="951"/>
      <c r="AA191" s="951"/>
      <c r="AB191" s="270">
        <f>71.906*2</f>
        <v>143.81200000000001</v>
      </c>
      <c r="AC191" s="1226"/>
      <c r="AD191" s="951"/>
      <c r="AE191" s="951"/>
      <c r="AF191" s="270">
        <f>71.047*2</f>
        <v>142.09399999999999</v>
      </c>
      <c r="AG191" s="951"/>
      <c r="AH191" s="951"/>
      <c r="AI191" s="951"/>
      <c r="AJ191" s="270">
        <f>71.191*2*3/2</f>
        <v>213.57300000000001</v>
      </c>
      <c r="AK191" s="951"/>
      <c r="AL191" s="951"/>
      <c r="AM191" s="951"/>
      <c r="AN191" s="1454">
        <f>AN190</f>
        <v>220.14</v>
      </c>
      <c r="AO191" s="951"/>
      <c r="AP191" s="951"/>
      <c r="AQ191" s="951"/>
      <c r="AR191" s="1454">
        <f>AR180/AN180*AN191</f>
        <v>217.35504048187119</v>
      </c>
      <c r="AS191" s="951"/>
      <c r="AT191" s="951"/>
      <c r="AU191" s="951"/>
      <c r="AV191" s="1451">
        <f>AV180/AR180*AR191</f>
        <v>218.0850041068565</v>
      </c>
      <c r="AW191" s="1158"/>
      <c r="AX191" s="1158"/>
      <c r="AY191" s="951"/>
      <c r="AZ191" s="1451">
        <f>AZ180/AV180*AV191</f>
        <v>204.79067313333593</v>
      </c>
      <c r="BA191" s="1158"/>
      <c r="BB191" s="1158"/>
      <c r="BC191" s="951"/>
      <c r="BD191" s="1451">
        <f>BD180/AZ180*AZ191</f>
        <v>197.62114835530173</v>
      </c>
      <c r="BE191" s="1158"/>
      <c r="BF191" s="1158"/>
      <c r="BG191" s="1158"/>
      <c r="BH191" s="1451">
        <f>BH180/BD180*BD191</f>
        <v>201.56754409981613</v>
      </c>
      <c r="BI191" s="1158"/>
      <c r="BJ191" s="1158"/>
      <c r="BK191" s="1158"/>
      <c r="BL191" s="1451">
        <f>BL180/BH180*BH191</f>
        <v>188.26842961630223</v>
      </c>
      <c r="BM191" s="1158"/>
      <c r="BN191" s="1158"/>
      <c r="BO191" s="1158"/>
      <c r="BP191" s="1451">
        <f>BP180/BL180*BL191</f>
        <v>187.4303586654672</v>
      </c>
      <c r="BQ191" s="1158"/>
      <c r="BR191" s="1158"/>
      <c r="BS191" s="1158"/>
      <c r="BT191" s="1451">
        <f>BT180/BP180*BP191</f>
        <v>192.65682168420227</v>
      </c>
      <c r="BU191" s="1158"/>
      <c r="BV191" s="1158"/>
      <c r="BW191" s="1158"/>
      <c r="BX191" s="1451">
        <f>BX180/BT180*BT191</f>
        <v>186.05462119137948</v>
      </c>
      <c r="BY191" s="1158"/>
      <c r="BZ191" s="1158"/>
      <c r="CA191" s="1158"/>
      <c r="CB191" s="1451">
        <f>CB180/BX180*BX191</f>
        <v>187.15674189384751</v>
      </c>
      <c r="CC191" s="1158"/>
      <c r="CD191" s="1158"/>
      <c r="CE191" s="1158"/>
      <c r="CF191" s="1451">
        <f>CF180/CB180*CB191</f>
        <v>185.84797355966671</v>
      </c>
      <c r="CG191" s="1158"/>
      <c r="CH191" s="1158"/>
      <c r="CI191" s="1158"/>
      <c r="CJ191" s="1451">
        <f>CJ180/CF180*CF191</f>
        <v>177.0415316619079</v>
      </c>
      <c r="CK191" s="1158"/>
      <c r="CL191" s="1158"/>
      <c r="CM191" s="1158"/>
      <c r="CN191" s="1451">
        <f>CN180/CJ180*CJ191</f>
        <v>172.38717643837754</v>
      </c>
      <c r="CO191" s="1158"/>
      <c r="CP191" s="1158"/>
      <c r="CQ191" s="1158"/>
      <c r="CR191" s="1451">
        <f>CR180/CN180*CN191</f>
        <v>169.99542144170215</v>
      </c>
      <c r="CS191" s="1158"/>
      <c r="CT191" s="1158"/>
      <c r="CU191" s="1158"/>
      <c r="CV191" s="1158"/>
      <c r="CW191" s="1158"/>
      <c r="CX191" s="1158"/>
      <c r="CY191" s="1158"/>
      <c r="CZ191" s="1158"/>
      <c r="DA191" s="1158"/>
      <c r="DB191" s="951"/>
      <c r="DC191" s="951"/>
      <c r="DD191" s="951"/>
      <c r="DE191" s="951"/>
      <c r="DF191" s="951"/>
      <c r="DG191" s="951"/>
      <c r="DH191" s="951"/>
      <c r="DI191" s="951"/>
      <c r="DJ191" s="951"/>
      <c r="DK191" s="951"/>
      <c r="DL191" s="951"/>
      <c r="DM191" s="951"/>
      <c r="DN191" s="951"/>
      <c r="DO191" s="951"/>
      <c r="DP191" s="951"/>
      <c r="DQ191" s="951"/>
      <c r="DR191" s="951"/>
      <c r="DS191" s="951"/>
      <c r="DT191" s="951"/>
      <c r="DU191" s="951"/>
      <c r="DV191" s="951"/>
      <c r="DW191" s="951"/>
      <c r="DX191" s="951"/>
      <c r="DY191" s="951"/>
    </row>
    <row r="192" spans="1:129" ht="10.5" hidden="1" customHeight="1" outlineLevel="1">
      <c r="A192" s="1167" t="s">
        <v>762</v>
      </c>
      <c r="B192" s="951"/>
      <c r="C192" s="1452"/>
      <c r="D192" s="951"/>
      <c r="E192" s="951"/>
      <c r="F192" s="951"/>
      <c r="G192" s="1452"/>
      <c r="H192" s="951"/>
      <c r="I192" s="1012"/>
      <c r="J192" s="1012"/>
      <c r="K192" s="1452"/>
      <c r="L192" s="1012"/>
      <c r="M192" s="1012"/>
      <c r="N192" s="951"/>
      <c r="O192" s="268">
        <f>46*(3/2)*2</f>
        <v>138</v>
      </c>
      <c r="P192" s="951"/>
      <c r="Q192" s="951"/>
      <c r="R192" s="951"/>
      <c r="S192" s="268">
        <f>S191</f>
        <v>141</v>
      </c>
      <c r="T192" s="951"/>
      <c r="U192" s="951"/>
      <c r="V192" s="951"/>
      <c r="W192" s="268">
        <f>W191</f>
        <v>140.83799999999999</v>
      </c>
      <c r="X192" s="951"/>
      <c r="Y192" s="951"/>
      <c r="Z192" s="951"/>
      <c r="AA192" s="951"/>
      <c r="AB192" s="268">
        <f>AB191</f>
        <v>143.81200000000001</v>
      </c>
      <c r="AC192" s="951"/>
      <c r="AD192" s="951"/>
      <c r="AE192" s="951"/>
      <c r="AF192" s="268">
        <f>AF191</f>
        <v>142.09399999999999</v>
      </c>
      <c r="AG192" s="951"/>
      <c r="AH192" s="951"/>
      <c r="AI192" s="951"/>
      <c r="AJ192" s="268">
        <f>AJ191</f>
        <v>213.57300000000001</v>
      </c>
      <c r="AK192" s="951"/>
      <c r="AL192" s="951"/>
      <c r="AM192" s="951"/>
      <c r="AN192" s="1452">
        <f>AN191</f>
        <v>220.14</v>
      </c>
      <c r="AO192" s="951"/>
      <c r="AP192" s="951"/>
      <c r="AQ192" s="951"/>
      <c r="AR192" s="1452">
        <f>AR191</f>
        <v>217.35504048187119</v>
      </c>
      <c r="AS192" s="951"/>
      <c r="AT192" s="951"/>
      <c r="AU192" s="951"/>
      <c r="AV192" s="1447">
        <f>AV191</f>
        <v>218.0850041068565</v>
      </c>
      <c r="AW192" s="1158"/>
      <c r="AX192" s="1158"/>
      <c r="AY192" s="951"/>
      <c r="AZ192" s="1447">
        <f>AZ191</f>
        <v>204.79067313333593</v>
      </c>
      <c r="BA192" s="1158"/>
      <c r="BB192" s="1158"/>
      <c r="BC192" s="951"/>
      <c r="BD192" s="1447">
        <f>BD191</f>
        <v>197.62114835530173</v>
      </c>
      <c r="BE192" s="1158"/>
      <c r="BF192" s="1158"/>
      <c r="BG192" s="1158"/>
      <c r="BH192" s="1447">
        <f>BH191</f>
        <v>201.56754409981613</v>
      </c>
      <c r="BI192" s="1158"/>
      <c r="BJ192" s="1158"/>
      <c r="BK192" s="1158"/>
      <c r="BL192" s="1447">
        <f>BL191</f>
        <v>188.26842961630223</v>
      </c>
      <c r="BM192" s="1158"/>
      <c r="BN192" s="1158"/>
      <c r="BO192" s="1158"/>
      <c r="BP192" s="1447">
        <f>BP191</f>
        <v>187.4303586654672</v>
      </c>
      <c r="BQ192" s="1158"/>
      <c r="BR192" s="1158"/>
      <c r="BS192" s="1158"/>
      <c r="BT192" s="1447">
        <f>BT191</f>
        <v>192.65682168420227</v>
      </c>
      <c r="BU192" s="1158"/>
      <c r="BV192" s="1158"/>
      <c r="BW192" s="1158"/>
      <c r="BX192" s="1447">
        <f>BX191</f>
        <v>186.05462119137948</v>
      </c>
      <c r="BY192" s="1158"/>
      <c r="BZ192" s="1158"/>
      <c r="CA192" s="1158"/>
      <c r="CB192" s="1447">
        <f>CB191</f>
        <v>187.15674189384751</v>
      </c>
      <c r="CC192" s="1158"/>
      <c r="CD192" s="1158"/>
      <c r="CE192" s="1158"/>
      <c r="CF192" s="1447">
        <f>CF191</f>
        <v>185.84797355966671</v>
      </c>
      <c r="CG192" s="1158"/>
      <c r="CH192" s="1158"/>
      <c r="CI192" s="1158"/>
      <c r="CJ192" s="1447">
        <f>CJ191</f>
        <v>177.0415316619079</v>
      </c>
      <c r="CK192" s="1158"/>
      <c r="CL192" s="1158"/>
      <c r="CM192" s="1158"/>
      <c r="CN192" s="1447">
        <f>CN191</f>
        <v>172.38717643837754</v>
      </c>
      <c r="CO192" s="1158"/>
      <c r="CP192" s="1158"/>
      <c r="CQ192" s="1158"/>
      <c r="CR192" s="1447">
        <f>CR191</f>
        <v>169.99542144170215</v>
      </c>
      <c r="CS192" s="1158"/>
      <c r="CT192" s="1158"/>
      <c r="CU192" s="1158"/>
      <c r="CV192" s="1158"/>
      <c r="CW192" s="1158"/>
      <c r="CX192" s="1158"/>
      <c r="CY192" s="1158"/>
      <c r="CZ192" s="1158"/>
      <c r="DA192" s="1158"/>
      <c r="DB192" s="951"/>
      <c r="DC192" s="951"/>
      <c r="DD192" s="951"/>
      <c r="DE192" s="951"/>
      <c r="DF192" s="951"/>
      <c r="DG192" s="951"/>
      <c r="DH192" s="951"/>
      <c r="DI192" s="951"/>
      <c r="DJ192" s="951"/>
      <c r="DK192" s="951"/>
      <c r="DL192" s="951"/>
      <c r="DM192" s="951"/>
      <c r="DN192" s="951"/>
      <c r="DO192" s="951"/>
      <c r="DP192" s="951"/>
      <c r="DQ192" s="951"/>
      <c r="DR192" s="951"/>
      <c r="DS192" s="951"/>
      <c r="DT192" s="951"/>
      <c r="DU192" s="951"/>
      <c r="DV192" s="951"/>
      <c r="DW192" s="951"/>
      <c r="DX192" s="951"/>
      <c r="DY192" s="951"/>
    </row>
    <row r="193" spans="1:129" ht="10.5" hidden="1" customHeight="1" outlineLevel="1">
      <c r="A193" s="1167"/>
      <c r="B193" s="951"/>
      <c r="C193" s="951"/>
      <c r="D193" s="951"/>
      <c r="E193" s="951"/>
      <c r="F193" s="951"/>
      <c r="G193" s="951"/>
      <c r="H193" s="951"/>
      <c r="I193" s="951"/>
      <c r="J193" s="951"/>
      <c r="K193" s="951"/>
      <c r="L193" s="951"/>
      <c r="M193" s="951"/>
      <c r="N193" s="951"/>
      <c r="O193" s="951"/>
      <c r="P193" s="951"/>
      <c r="Q193" s="951"/>
      <c r="R193" s="951"/>
      <c r="S193" s="951"/>
      <c r="T193" s="951"/>
      <c r="U193" s="951"/>
      <c r="V193" s="951"/>
      <c r="W193" s="951"/>
      <c r="X193" s="951"/>
      <c r="Y193" s="951"/>
      <c r="Z193" s="951"/>
      <c r="AA193" s="951"/>
      <c r="AB193" s="951"/>
      <c r="AC193" s="951"/>
      <c r="AD193" s="951"/>
      <c r="AE193" s="951"/>
      <c r="AF193" s="951"/>
      <c r="AG193" s="951"/>
      <c r="AH193" s="951"/>
      <c r="AI193" s="951"/>
      <c r="AJ193" s="951"/>
      <c r="AK193" s="951"/>
      <c r="AL193" s="951"/>
      <c r="AM193" s="951"/>
      <c r="AN193" s="951"/>
      <c r="AO193" s="951"/>
      <c r="AP193" s="951"/>
      <c r="AQ193" s="951"/>
      <c r="AR193" s="951"/>
      <c r="AS193" s="951"/>
      <c r="AT193" s="951"/>
      <c r="AU193" s="951"/>
      <c r="AV193" s="1158"/>
      <c r="AW193" s="1158"/>
      <c r="AX193" s="1158"/>
      <c r="AY193" s="951"/>
      <c r="AZ193" s="1158"/>
      <c r="BA193" s="1158"/>
      <c r="BB193" s="1158"/>
      <c r="BC193" s="951"/>
      <c r="BD193" s="1158"/>
      <c r="BE193" s="1158"/>
      <c r="BF193" s="1158"/>
      <c r="BG193" s="1158"/>
      <c r="BH193" s="1158"/>
      <c r="BI193" s="1158"/>
      <c r="BJ193" s="1158"/>
      <c r="BK193" s="1158"/>
      <c r="BL193" s="1158"/>
      <c r="BM193" s="1158"/>
      <c r="BN193" s="1158"/>
      <c r="BO193" s="1158"/>
      <c r="BP193" s="1158"/>
      <c r="BQ193" s="1158"/>
      <c r="BR193" s="1158"/>
      <c r="BS193" s="1158"/>
      <c r="BT193" s="1158"/>
      <c r="BU193" s="1158"/>
      <c r="BV193" s="1158"/>
      <c r="BW193" s="1158"/>
      <c r="BX193" s="1158"/>
      <c r="BY193" s="1158"/>
      <c r="BZ193" s="1158"/>
      <c r="CA193" s="1158"/>
      <c r="CB193" s="1158"/>
      <c r="CC193" s="1158"/>
      <c r="CD193" s="1158"/>
      <c r="CE193" s="1158"/>
      <c r="CF193" s="1158"/>
      <c r="CG193" s="1158"/>
      <c r="CH193" s="1158"/>
      <c r="CI193" s="1158"/>
      <c r="CJ193" s="1158"/>
      <c r="CK193" s="1158"/>
      <c r="CL193" s="1158"/>
      <c r="CM193" s="1158"/>
      <c r="CN193" s="1158"/>
      <c r="CO193" s="1158"/>
      <c r="CP193" s="1158"/>
      <c r="CQ193" s="1158"/>
      <c r="CR193" s="1158"/>
      <c r="CS193" s="1158"/>
      <c r="CT193" s="1158"/>
      <c r="CU193" s="1267"/>
      <c r="CV193" s="1158"/>
      <c r="CW193" s="1267"/>
      <c r="CX193" s="1267"/>
      <c r="CY193" s="1158"/>
      <c r="CZ193" s="1158"/>
      <c r="DA193" s="1158"/>
      <c r="DB193" s="951"/>
      <c r="DC193" s="951"/>
      <c r="DD193" s="951"/>
      <c r="DE193" s="951"/>
      <c r="DF193" s="951"/>
      <c r="DG193" s="951"/>
      <c r="DH193" s="951"/>
      <c r="DI193" s="951"/>
      <c r="DJ193" s="951"/>
      <c r="DK193" s="951"/>
      <c r="DL193" s="951"/>
      <c r="DM193" s="951"/>
      <c r="DN193" s="951"/>
      <c r="DO193" s="951"/>
      <c r="DP193" s="951"/>
      <c r="DQ193" s="951"/>
      <c r="DR193" s="951"/>
      <c r="DS193" s="951"/>
      <c r="DT193" s="951"/>
      <c r="DU193" s="951"/>
      <c r="DV193" s="951"/>
      <c r="DW193" s="951"/>
      <c r="DX193" s="951"/>
      <c r="DY193" s="951"/>
    </row>
    <row r="194" spans="1:129" ht="10.5" customHeight="1" collapsed="1">
      <c r="A194" s="951"/>
      <c r="B194" s="951"/>
      <c r="C194" s="951"/>
      <c r="D194" s="951"/>
      <c r="E194" s="951"/>
      <c r="F194" s="951"/>
      <c r="G194" s="951"/>
      <c r="H194" s="951"/>
      <c r="I194" s="951"/>
      <c r="J194" s="951"/>
      <c r="K194" s="951"/>
      <c r="L194" s="951"/>
      <c r="M194" s="951"/>
      <c r="N194" s="951"/>
      <c r="O194" s="1209"/>
      <c r="P194" s="951"/>
      <c r="Q194" s="951"/>
      <c r="R194" s="951"/>
      <c r="S194" s="951"/>
      <c r="T194" s="1412"/>
      <c r="U194" s="1412"/>
      <c r="V194" s="1412"/>
      <c r="W194" s="1412"/>
      <c r="X194" s="1412"/>
      <c r="Y194" s="1412"/>
      <c r="Z194" s="1412"/>
      <c r="AA194" s="1412"/>
      <c r="AB194" s="1412"/>
      <c r="AC194" s="1412"/>
      <c r="AD194" s="1412"/>
      <c r="AE194" s="1412"/>
      <c r="AF194" s="1182"/>
      <c r="AG194" s="1412"/>
      <c r="AH194" s="1412"/>
      <c r="AI194" s="1412"/>
      <c r="AJ194" s="1412"/>
      <c r="AK194" s="1412"/>
      <c r="AL194" s="1412"/>
      <c r="AM194" s="1412"/>
      <c r="AN194" s="1412"/>
      <c r="AO194" s="1412"/>
      <c r="AP194" s="1412"/>
      <c r="AQ194" s="1412"/>
      <c r="AR194" s="1412"/>
      <c r="AS194" s="1412"/>
      <c r="AT194" s="1412"/>
      <c r="AU194" s="1412"/>
      <c r="AW194" s="1185"/>
      <c r="AX194" s="1185"/>
      <c r="AY194" s="1183"/>
      <c r="AZ194" s="1186"/>
      <c r="BA194" s="1185"/>
      <c r="BB194" s="1185"/>
      <c r="BC194" s="1183"/>
      <c r="BD194" s="1186"/>
      <c r="BE194" s="1185"/>
      <c r="BF194" s="1185"/>
      <c r="BG194" s="1185"/>
      <c r="BH194" s="1186"/>
      <c r="BI194" s="1185"/>
      <c r="BJ194" s="1185"/>
      <c r="BK194" s="1185"/>
      <c r="BL194" s="1186"/>
      <c r="BM194" s="1185"/>
      <c r="BN194" s="1185"/>
      <c r="BO194" s="1185"/>
      <c r="BP194" s="1186"/>
      <c r="BQ194" s="1185"/>
      <c r="BR194" s="1185"/>
      <c r="BS194" s="1185"/>
      <c r="BT194" s="1186"/>
      <c r="BU194" s="1185"/>
      <c r="BV194" s="1185"/>
      <c r="BW194" s="1185"/>
      <c r="BX194" s="1185"/>
      <c r="BY194" s="1185"/>
      <c r="BZ194" s="1185"/>
      <c r="CA194" s="1187"/>
      <c r="CB194" s="1185"/>
      <c r="CC194" s="1185"/>
      <c r="CD194" s="1185"/>
      <c r="CE194" s="1187"/>
      <c r="CF194" s="1185"/>
      <c r="CG194" s="1185"/>
      <c r="CH194" s="1185"/>
      <c r="CI194" s="1187"/>
      <c r="CJ194" s="1185"/>
      <c r="CK194" s="1185"/>
      <c r="CL194" s="1185"/>
      <c r="CM194" s="1187"/>
      <c r="CN194" s="1185"/>
      <c r="CO194" s="1185"/>
      <c r="CP194" s="1185"/>
      <c r="CQ194" s="1185"/>
      <c r="CR194" s="1185"/>
      <c r="CS194" s="1185"/>
      <c r="CT194" s="1185"/>
      <c r="CU194" s="1158"/>
      <c r="CV194" s="1267"/>
      <c r="CW194" s="1158"/>
      <c r="CX194" s="1158"/>
      <c r="CY194" s="1267"/>
      <c r="CZ194" s="1267"/>
      <c r="DA194" s="1267"/>
      <c r="DB194" s="1412"/>
      <c r="DC194" s="1412"/>
      <c r="DD194" s="1412"/>
      <c r="DE194" s="1412"/>
      <c r="DF194" s="1412"/>
      <c r="DG194" s="1412"/>
      <c r="DH194" s="951"/>
      <c r="DI194" s="951"/>
      <c r="DJ194" s="951"/>
      <c r="DK194" s="951"/>
      <c r="DL194" s="951"/>
      <c r="DM194" s="951"/>
      <c r="DN194" s="951"/>
      <c r="DO194" s="951"/>
      <c r="DP194" s="951"/>
      <c r="DQ194" s="951"/>
      <c r="DR194" s="951"/>
      <c r="DS194" s="951"/>
      <c r="DT194" s="951"/>
      <c r="DU194" s="951"/>
      <c r="DV194" s="951"/>
      <c r="DW194" s="951"/>
      <c r="DX194" s="951"/>
      <c r="DY194" s="951"/>
    </row>
    <row r="195" spans="1:129" ht="10.5" customHeight="1">
      <c r="A195" s="1167" t="s">
        <v>734</v>
      </c>
      <c r="B195" s="951"/>
      <c r="C195" s="268"/>
      <c r="D195" s="951"/>
      <c r="E195" s="951"/>
      <c r="F195" s="951"/>
      <c r="G195" s="268"/>
      <c r="H195" s="951"/>
      <c r="I195" s="951"/>
      <c r="J195" s="1012"/>
      <c r="K195" s="268"/>
      <c r="L195" s="1012"/>
      <c r="M195" s="951"/>
      <c r="N195" s="1012"/>
      <c r="O195" s="268"/>
      <c r="P195" s="951"/>
      <c r="Q195" s="951"/>
      <c r="R195" s="1012"/>
      <c r="S195" s="268">
        <f>45.977*(3/2)*2</f>
        <v>137.93099999999998</v>
      </c>
      <c r="T195" s="951"/>
      <c r="U195" s="951"/>
      <c r="V195" s="1012"/>
      <c r="W195" s="268">
        <f>70.2915*2</f>
        <v>140.583</v>
      </c>
      <c r="X195" s="951"/>
      <c r="Y195" s="951"/>
      <c r="Z195" s="951"/>
      <c r="AA195" s="1012"/>
      <c r="AB195" s="268">
        <f>70.838*2</f>
        <v>141.67599999999999</v>
      </c>
      <c r="AC195" s="951"/>
      <c r="AD195" s="951"/>
      <c r="AE195" s="1012"/>
      <c r="AF195" s="268">
        <f>72.036*2</f>
        <v>144.072</v>
      </c>
      <c r="AG195" s="951"/>
      <c r="AH195" s="951"/>
      <c r="AI195" s="1012"/>
      <c r="AJ195" s="268">
        <f>71.056*2</f>
        <v>142.11199999999999</v>
      </c>
      <c r="AK195" s="951"/>
      <c r="AL195" s="951"/>
      <c r="AM195" s="1012"/>
      <c r="AN195" s="268">
        <f>71.506*2</f>
        <v>143.012</v>
      </c>
      <c r="AO195" s="951"/>
      <c r="AP195" s="951"/>
      <c r="AQ195" s="1012"/>
      <c r="AR195" s="268">
        <v>151.58199999999999</v>
      </c>
      <c r="AS195" s="951"/>
      <c r="AT195" s="951"/>
      <c r="AU195" s="1012"/>
      <c r="AV195" s="1446">
        <v>222.72200000000001</v>
      </c>
      <c r="AW195" s="1158"/>
      <c r="AX195" s="1158"/>
      <c r="AY195" s="1012"/>
      <c r="AZ195" s="1446">
        <v>220.67500000000001</v>
      </c>
      <c r="BA195" s="1158"/>
      <c r="BB195" s="1158"/>
      <c r="BC195" s="1012"/>
      <c r="BD195" s="1446">
        <v>204.84100000000001</v>
      </c>
      <c r="BE195" s="1158"/>
      <c r="BF195" s="1158"/>
      <c r="BG195" s="1158"/>
      <c r="BH195" s="1446">
        <v>205.40799999999999</v>
      </c>
      <c r="BI195" s="1158"/>
      <c r="BJ195" s="1158"/>
      <c r="BK195" s="1158"/>
      <c r="BL195" s="1446">
        <v>207.71799999999999</v>
      </c>
      <c r="BM195" s="1158"/>
      <c r="BN195" s="1158"/>
      <c r="BO195" s="1158"/>
      <c r="BP195" s="1446">
        <v>194.68299999999999</v>
      </c>
      <c r="BQ195" s="1158"/>
      <c r="BR195" s="1158"/>
      <c r="BS195" s="1158"/>
      <c r="BT195" s="1455">
        <v>194.89</v>
      </c>
      <c r="BU195" s="1158"/>
      <c r="BV195" s="1158"/>
      <c r="BW195" s="1158"/>
      <c r="BX195" s="1455">
        <v>192.71799999999999</v>
      </c>
      <c r="BY195" s="1158"/>
      <c r="BZ195" s="1158"/>
      <c r="CA195" s="1158"/>
      <c r="CB195" s="1455">
        <v>194.06</v>
      </c>
      <c r="CC195" s="1158"/>
      <c r="CD195" s="1158"/>
      <c r="CE195" s="1158"/>
      <c r="CF195" s="1455">
        <v>194.97499999999999</v>
      </c>
      <c r="CG195" s="1158"/>
      <c r="CH195" s="1158"/>
      <c r="CI195" s="1158"/>
      <c r="CJ195" s="1455">
        <v>180.697</v>
      </c>
      <c r="CK195" s="1158"/>
      <c r="CL195" s="1158"/>
      <c r="CM195" s="1158"/>
      <c r="CN195" s="1455">
        <v>179.31899999999999</v>
      </c>
      <c r="CO195" s="1158"/>
      <c r="CP195" s="1158"/>
      <c r="CQ195" s="1158"/>
      <c r="CR195" s="1807">
        <f>(CR177/CN180)*CN198</f>
        <v>176.50696761733514</v>
      </c>
      <c r="CS195" s="1158"/>
      <c r="CT195" s="1158"/>
      <c r="CU195" s="1158"/>
      <c r="CV195" s="1158"/>
      <c r="CW195" s="1158"/>
      <c r="CX195" s="1158"/>
      <c r="CY195" s="1158"/>
      <c r="CZ195" s="1158"/>
      <c r="DA195" s="1158"/>
      <c r="DB195" s="951"/>
      <c r="DC195" s="951"/>
      <c r="DD195" s="951"/>
      <c r="DE195" s="951"/>
      <c r="DF195" s="951"/>
      <c r="DG195" s="951"/>
      <c r="DH195" s="951"/>
      <c r="DI195" s="951"/>
      <c r="DJ195" s="951"/>
      <c r="DK195" s="951"/>
      <c r="DL195" s="951"/>
      <c r="DM195" s="951"/>
      <c r="DN195" s="951"/>
      <c r="DO195" s="951"/>
      <c r="DP195" s="951"/>
      <c r="DQ195" s="951"/>
      <c r="DR195" s="951"/>
      <c r="DS195" s="951"/>
      <c r="DT195" s="951"/>
      <c r="DU195" s="951"/>
      <c r="DV195" s="951"/>
      <c r="DW195" s="951"/>
      <c r="DX195" s="951"/>
      <c r="DY195" s="951"/>
    </row>
    <row r="196" spans="1:129" ht="10.5" customHeight="1">
      <c r="A196" s="1167" t="s">
        <v>735</v>
      </c>
      <c r="B196" s="951"/>
      <c r="C196" s="268"/>
      <c r="D196" s="951"/>
      <c r="E196" s="951"/>
      <c r="F196" s="951"/>
      <c r="G196" s="268"/>
      <c r="H196" s="951"/>
      <c r="I196" s="951"/>
      <c r="J196" s="1012"/>
      <c r="K196" s="268"/>
      <c r="L196" s="1012"/>
      <c r="M196" s="951"/>
      <c r="N196" s="1012"/>
      <c r="O196" s="268"/>
      <c r="P196" s="951"/>
      <c r="Q196" s="951"/>
      <c r="R196" s="1012"/>
      <c r="S196" s="268">
        <f>46.458*(3/2)*2</f>
        <v>139.374</v>
      </c>
      <c r="T196" s="951"/>
      <c r="U196" s="951"/>
      <c r="V196" s="1012"/>
      <c r="W196" s="268">
        <f>69.429*2</f>
        <v>138.858</v>
      </c>
      <c r="X196" s="951"/>
      <c r="Y196" s="951"/>
      <c r="Z196" s="951"/>
      <c r="AA196" s="1012"/>
      <c r="AB196" s="268">
        <f>71.537*2</f>
        <v>143.07400000000001</v>
      </c>
      <c r="AC196" s="951"/>
      <c r="AD196" s="951"/>
      <c r="AE196" s="1012"/>
      <c r="AF196" s="268">
        <f>72.119*2</f>
        <v>144.238</v>
      </c>
      <c r="AG196" s="951"/>
      <c r="AH196" s="951"/>
      <c r="AI196" s="1012"/>
      <c r="AJ196" s="268">
        <f>71.085*2</f>
        <v>142.16999999999999</v>
      </c>
      <c r="AK196" s="951"/>
      <c r="AL196" s="951"/>
      <c r="AM196" s="1012"/>
      <c r="AN196" s="268">
        <v>144.50200000000001</v>
      </c>
      <c r="AO196" s="951"/>
      <c r="AP196" s="951"/>
      <c r="AQ196" s="1012"/>
      <c r="AR196" s="268">
        <v>153.94300000000001</v>
      </c>
      <c r="AS196" s="951"/>
      <c r="AT196" s="951"/>
      <c r="AU196" s="1012"/>
      <c r="AV196" s="1446">
        <v>223.80500000000001</v>
      </c>
      <c r="AW196" s="1158"/>
      <c r="AX196" s="1158"/>
      <c r="AY196" s="1012"/>
      <c r="AZ196" s="1446">
        <v>217.79</v>
      </c>
      <c r="BA196" s="1158"/>
      <c r="BB196" s="1158"/>
      <c r="BC196" s="1012"/>
      <c r="BD196" s="1446">
        <v>204.929</v>
      </c>
      <c r="BE196" s="1158"/>
      <c r="BF196" s="1158"/>
      <c r="BG196" s="1158"/>
      <c r="BH196" s="1446">
        <v>206.01</v>
      </c>
      <c r="BI196" s="1158"/>
      <c r="BJ196" s="1158"/>
      <c r="BK196" s="1158"/>
      <c r="BL196" s="1446">
        <v>201.76400000000001</v>
      </c>
      <c r="BM196" s="1158"/>
      <c r="BN196" s="1158"/>
      <c r="BO196" s="1158"/>
      <c r="BP196" s="1446">
        <v>194.90899999999999</v>
      </c>
      <c r="BQ196" s="1158"/>
      <c r="BR196" s="1158"/>
      <c r="BS196" s="1158"/>
      <c r="BT196" s="1446">
        <f>(BT178/BT177)*BT195</f>
        <v>197.41440507574066</v>
      </c>
      <c r="BU196" s="1158"/>
      <c r="BV196" s="1158"/>
      <c r="BW196" s="1158"/>
      <c r="BX196" s="1455">
        <v>192.73099999999999</v>
      </c>
      <c r="BY196" s="1158"/>
      <c r="BZ196" s="1158"/>
      <c r="CA196" s="1158"/>
      <c r="CB196" s="1455">
        <v>194.511</v>
      </c>
      <c r="CC196" s="1158"/>
      <c r="CD196" s="1158"/>
      <c r="CE196" s="1158"/>
      <c r="CF196" s="1455">
        <v>195.50800000000001</v>
      </c>
      <c r="CG196" s="1158"/>
      <c r="CH196" s="1158"/>
      <c r="CI196" s="1158"/>
      <c r="CJ196" s="1455">
        <v>181.048</v>
      </c>
      <c r="CK196" s="1158"/>
      <c r="CL196" s="1158"/>
      <c r="CM196" s="1158"/>
      <c r="CN196" s="1455">
        <v>177.22800000000001</v>
      </c>
      <c r="CO196" s="1158"/>
      <c r="CP196" s="1158"/>
      <c r="CQ196" s="1158"/>
      <c r="CR196" s="1807">
        <f>(CR178/CR177)*CR195</f>
        <v>176.01445142600269</v>
      </c>
      <c r="CS196" s="1158"/>
      <c r="CT196" s="1158"/>
      <c r="CU196" s="1158"/>
      <c r="CV196" s="1158"/>
      <c r="CW196" s="1158"/>
      <c r="CX196" s="1158"/>
      <c r="CY196" s="1158"/>
      <c r="CZ196" s="1158"/>
      <c r="DA196" s="1158"/>
      <c r="DB196" s="951"/>
      <c r="DC196" s="951"/>
      <c r="DD196" s="951"/>
      <c r="DE196" s="951"/>
      <c r="DF196" s="951"/>
      <c r="DG196" s="951"/>
      <c r="DH196" s="951"/>
      <c r="DI196" s="951"/>
      <c r="DJ196" s="951"/>
      <c r="DK196" s="951"/>
      <c r="DL196" s="951"/>
      <c r="DM196" s="951"/>
      <c r="DN196" s="951"/>
      <c r="DO196" s="951"/>
      <c r="DP196" s="951"/>
      <c r="DQ196" s="951"/>
      <c r="DR196" s="951"/>
      <c r="DS196" s="951"/>
      <c r="DT196" s="951"/>
      <c r="DU196" s="951"/>
      <c r="DV196" s="951"/>
      <c r="DW196" s="951"/>
      <c r="DX196" s="951"/>
      <c r="DY196" s="951"/>
    </row>
    <row r="197" spans="1:129" ht="10.5" customHeight="1">
      <c r="A197" s="1167" t="s">
        <v>736</v>
      </c>
      <c r="B197" s="951"/>
      <c r="C197" s="268"/>
      <c r="D197" s="951"/>
      <c r="E197" s="951"/>
      <c r="F197" s="951"/>
      <c r="G197" s="268"/>
      <c r="H197" s="951"/>
      <c r="I197" s="951"/>
      <c r="J197" s="1012"/>
      <c r="K197" s="268"/>
      <c r="L197" s="1012"/>
      <c r="M197" s="951"/>
      <c r="N197" s="1012"/>
      <c r="O197" s="268"/>
      <c r="P197" s="951"/>
      <c r="Q197" s="951"/>
      <c r="R197" s="1012"/>
      <c r="S197" s="268">
        <f>46.562*(3/2)*2</f>
        <v>139.68599999999998</v>
      </c>
      <c r="T197" s="951"/>
      <c r="U197" s="951"/>
      <c r="V197" s="1012"/>
      <c r="W197" s="268">
        <f>69.1725*2</f>
        <v>138.345</v>
      </c>
      <c r="X197" s="951"/>
      <c r="Y197" s="951"/>
      <c r="Z197" s="951"/>
      <c r="AA197" s="1012"/>
      <c r="AB197" s="268">
        <f>71.891*2</f>
        <v>143.78200000000001</v>
      </c>
      <c r="AC197" s="951"/>
      <c r="AD197" s="951"/>
      <c r="AE197" s="1012"/>
      <c r="AF197" s="268">
        <f>71.559*2</f>
        <v>143.11799999999999</v>
      </c>
      <c r="AG197" s="951"/>
      <c r="AH197" s="951"/>
      <c r="AI197" s="1012"/>
      <c r="AJ197" s="268">
        <f>71.13*2</f>
        <v>142.26</v>
      </c>
      <c r="AK197" s="951"/>
      <c r="AL197" s="951"/>
      <c r="AM197" s="1012"/>
      <c r="AN197" s="1452">
        <f>AN196</f>
        <v>144.50200000000001</v>
      </c>
      <c r="AO197" s="951"/>
      <c r="AP197" s="951"/>
      <c r="AQ197" s="1012"/>
      <c r="AR197" s="1452">
        <f>AR179/AN179*AN197</f>
        <v>148.71302681269381</v>
      </c>
      <c r="AS197" s="951"/>
      <c r="AT197" s="951"/>
      <c r="AU197" s="1012"/>
      <c r="AV197" s="1446">
        <v>222.797</v>
      </c>
      <c r="AW197" s="1158"/>
      <c r="AX197" s="1158"/>
      <c r="AY197" s="1012"/>
      <c r="AZ197" s="1446">
        <v>214.71899999999999</v>
      </c>
      <c r="BA197" s="1158"/>
      <c r="BB197" s="1158"/>
      <c r="BC197" s="1012"/>
      <c r="BD197" s="1446">
        <v>205.119</v>
      </c>
      <c r="BE197" s="1158"/>
      <c r="BF197" s="1158"/>
      <c r="BG197" s="1158"/>
      <c r="BH197" s="1446">
        <v>206.517</v>
      </c>
      <c r="BI197" s="1158"/>
      <c r="BJ197" s="1158"/>
      <c r="BK197" s="1158"/>
      <c r="BL197" s="1446">
        <v>195.59</v>
      </c>
      <c r="BM197" s="1158"/>
      <c r="BN197" s="1158"/>
      <c r="BO197" s="1158"/>
      <c r="BP197" s="1446">
        <v>194.37799999999999</v>
      </c>
      <c r="BQ197" s="1158"/>
      <c r="BR197" s="1158"/>
      <c r="BS197" s="1158"/>
      <c r="BT197" s="1455">
        <f>(BT179/BT178)*BT196</f>
        <v>199.54854009084823</v>
      </c>
      <c r="BU197" s="1158"/>
      <c r="BV197" s="1158"/>
      <c r="BW197" s="1158"/>
      <c r="BX197" s="1455">
        <v>192.81800000000001</v>
      </c>
      <c r="BY197" s="1158"/>
      <c r="BZ197" s="1158"/>
      <c r="CA197" s="1158"/>
      <c r="CB197" s="1455">
        <v>194.57300000000001</v>
      </c>
      <c r="CC197" s="1158"/>
      <c r="CD197" s="1158"/>
      <c r="CE197" s="1158"/>
      <c r="CF197" s="1455">
        <v>195.215</v>
      </c>
      <c r="CG197" s="1158"/>
      <c r="CH197" s="1158"/>
      <c r="CI197" s="1158"/>
      <c r="CJ197" s="1455">
        <v>181.81899999999999</v>
      </c>
      <c r="CK197" s="1158"/>
      <c r="CL197" s="1158"/>
      <c r="CM197" s="1158"/>
      <c r="CN197" s="1455">
        <v>177.28800000000001</v>
      </c>
      <c r="CO197" s="1158"/>
      <c r="CP197" s="1158"/>
      <c r="CQ197" s="1158"/>
      <c r="CR197" s="1807">
        <f>(CR179/CR178)*CR196</f>
        <v>175.52193523467025</v>
      </c>
      <c r="CS197" s="1158"/>
      <c r="CT197" s="1158"/>
      <c r="CU197" s="1158"/>
      <c r="CV197" s="1158"/>
      <c r="CW197" s="1158"/>
      <c r="CX197" s="1158"/>
      <c r="CY197" s="1158"/>
      <c r="CZ197" s="1158"/>
      <c r="DA197" s="1158"/>
      <c r="DB197" s="951"/>
      <c r="DC197" s="951"/>
      <c r="DD197" s="951"/>
      <c r="DE197" s="951"/>
      <c r="DF197" s="951"/>
      <c r="DG197" s="951"/>
      <c r="DH197" s="951"/>
      <c r="DI197" s="951"/>
      <c r="DJ197" s="951"/>
      <c r="DK197" s="951"/>
      <c r="DL197" s="951"/>
      <c r="DM197" s="951"/>
      <c r="DN197" s="951"/>
      <c r="DO197" s="951"/>
      <c r="DP197" s="951"/>
      <c r="DQ197" s="951"/>
      <c r="DR197" s="951"/>
      <c r="DS197" s="951"/>
      <c r="DT197" s="951"/>
      <c r="DU197" s="951"/>
      <c r="DV197" s="951"/>
      <c r="DW197" s="951"/>
      <c r="DX197" s="951"/>
      <c r="DY197" s="951"/>
    </row>
    <row r="198" spans="1:129" ht="10.5" customHeight="1">
      <c r="A198" s="1167" t="s">
        <v>737</v>
      </c>
      <c r="B198" s="951"/>
      <c r="C198" s="270"/>
      <c r="D198" s="951"/>
      <c r="E198" s="951"/>
      <c r="F198" s="951"/>
      <c r="G198" s="270"/>
      <c r="H198" s="951"/>
      <c r="I198" s="951"/>
      <c r="J198" s="951"/>
      <c r="K198" s="270"/>
      <c r="L198" s="1012"/>
      <c r="M198" s="951"/>
      <c r="N198" s="951"/>
      <c r="O198" s="270"/>
      <c r="P198" s="951"/>
      <c r="Q198" s="951"/>
      <c r="R198" s="951"/>
      <c r="S198" s="270">
        <f>44.181*(3/2)*2</f>
        <v>132.54300000000001</v>
      </c>
      <c r="T198" s="951"/>
      <c r="U198" s="951"/>
      <c r="V198" s="951"/>
      <c r="W198" s="1448">
        <f>69.7005*2</f>
        <v>139.40100000000001</v>
      </c>
      <c r="X198" s="1226"/>
      <c r="Y198" s="951"/>
      <c r="Z198" s="951"/>
      <c r="AA198" s="951"/>
      <c r="AB198" s="270">
        <f>71.869*2</f>
        <v>143.738</v>
      </c>
      <c r="AC198" s="1226"/>
      <c r="AD198" s="951"/>
      <c r="AE198" s="951"/>
      <c r="AF198" s="270">
        <f>71.132*2</f>
        <v>142.26400000000001</v>
      </c>
      <c r="AG198" s="951"/>
      <c r="AH198" s="951"/>
      <c r="AI198" s="951"/>
      <c r="AJ198" s="270">
        <f>71.179*2</f>
        <v>142.358</v>
      </c>
      <c r="AK198" s="951"/>
      <c r="AL198" s="951"/>
      <c r="AM198" s="951"/>
      <c r="AN198" s="1454">
        <f>AN197</f>
        <v>144.50200000000001</v>
      </c>
      <c r="AO198" s="951"/>
      <c r="AP198" s="951"/>
      <c r="AQ198" s="951"/>
      <c r="AR198" s="1454">
        <f>AR180/AN180*AN198</f>
        <v>142.67392595489849</v>
      </c>
      <c r="AS198" s="951"/>
      <c r="AT198" s="951"/>
      <c r="AU198" s="951"/>
      <c r="AV198" s="1448">
        <v>221.47</v>
      </c>
      <c r="AW198" s="1158"/>
      <c r="AX198" s="1158"/>
      <c r="AY198" s="951"/>
      <c r="AZ198" s="1448">
        <v>210.227</v>
      </c>
      <c r="BA198" s="1158"/>
      <c r="BB198" s="1158"/>
      <c r="BC198" s="951"/>
      <c r="BD198" s="1448">
        <v>205.28</v>
      </c>
      <c r="BE198" s="1158"/>
      <c r="BF198" s="1158"/>
      <c r="BG198" s="1158"/>
      <c r="BH198" s="1448">
        <v>206.82599999999999</v>
      </c>
      <c r="BI198" s="1158"/>
      <c r="BJ198" s="1158"/>
      <c r="BK198" s="1158"/>
      <c r="BL198" s="1448">
        <v>194.87799999999999</v>
      </c>
      <c r="BM198" s="1158"/>
      <c r="BN198" s="1166"/>
      <c r="BO198" s="1158"/>
      <c r="BP198" s="1448">
        <v>193.798</v>
      </c>
      <c r="BQ198" s="1158"/>
      <c r="BR198" s="1158"/>
      <c r="BS198" s="1158"/>
      <c r="BT198" s="1448">
        <f>(BT180/BT179)*BT197</f>
        <v>198.96461703810351</v>
      </c>
      <c r="BU198" s="1158"/>
      <c r="BV198" s="1158"/>
      <c r="BW198" s="1158"/>
      <c r="BX198" s="1448">
        <v>192.80199999999999</v>
      </c>
      <c r="BY198" s="1158"/>
      <c r="BZ198" s="1158"/>
      <c r="CA198" s="1158"/>
      <c r="CB198" s="1448">
        <v>194.60599999999999</v>
      </c>
      <c r="CC198" s="1158"/>
      <c r="CD198" s="1158"/>
      <c r="CE198" s="1158"/>
      <c r="CF198" s="1448">
        <v>191.697</v>
      </c>
      <c r="CG198" s="1158"/>
      <c r="CH198" s="1158"/>
      <c r="CI198" s="1158"/>
      <c r="CJ198" s="1448">
        <v>182.05500000000001</v>
      </c>
      <c r="CK198" s="1158"/>
      <c r="CL198" s="1158"/>
      <c r="CM198" s="1158"/>
      <c r="CN198" s="2180">
        <v>177.49199999999999</v>
      </c>
      <c r="CO198" s="1158"/>
      <c r="CP198" s="1158"/>
      <c r="CQ198" s="1158"/>
      <c r="CR198" s="1451">
        <f>(CR180/CR179)*CR197</f>
        <v>175.02941904333781</v>
      </c>
      <c r="CS198" s="1158"/>
      <c r="CT198" s="1158"/>
      <c r="CU198" s="1158"/>
      <c r="CV198" s="1158"/>
      <c r="CW198" s="1158"/>
      <c r="CX198" s="1158"/>
      <c r="CY198" s="1158"/>
      <c r="CZ198" s="1158"/>
      <c r="DA198" s="1158"/>
      <c r="DB198" s="951"/>
      <c r="DC198" s="951"/>
      <c r="DD198" s="951"/>
      <c r="DE198" s="951"/>
      <c r="DF198" s="951"/>
      <c r="DG198" s="951"/>
      <c r="DH198" s="951"/>
      <c r="DI198" s="951"/>
      <c r="DJ198" s="951"/>
      <c r="DK198" s="951"/>
      <c r="DL198" s="951"/>
      <c r="DM198" s="951"/>
      <c r="DN198" s="951"/>
      <c r="DO198" s="951"/>
      <c r="DP198" s="951"/>
      <c r="DQ198" s="951"/>
      <c r="DR198" s="951"/>
      <c r="DS198" s="951"/>
      <c r="DT198" s="951"/>
      <c r="DU198" s="951"/>
      <c r="DV198" s="951"/>
      <c r="DW198" s="951"/>
      <c r="DX198" s="951"/>
      <c r="DY198" s="951"/>
    </row>
    <row r="199" spans="1:129" ht="10.5" customHeight="1">
      <c r="A199" s="1167" t="s">
        <v>762</v>
      </c>
      <c r="B199" s="951"/>
      <c r="C199" s="1452"/>
      <c r="D199" s="951"/>
      <c r="E199" s="951"/>
      <c r="F199" s="951"/>
      <c r="G199" s="1452"/>
      <c r="H199" s="951"/>
      <c r="I199" s="1012"/>
      <c r="J199" s="1012"/>
      <c r="K199" s="1452"/>
      <c r="L199" s="1012"/>
      <c r="M199" s="1012"/>
      <c r="N199" s="951"/>
      <c r="O199" s="268">
        <f>45.281*(3/2)*2</f>
        <v>135.84299999999999</v>
      </c>
      <c r="P199" s="951"/>
      <c r="Q199" s="951"/>
      <c r="R199" s="951"/>
      <c r="S199" s="268">
        <f>S198</f>
        <v>132.54300000000001</v>
      </c>
      <c r="T199" s="951"/>
      <c r="U199" s="951"/>
      <c r="V199" s="951"/>
      <c r="W199" s="268">
        <v>139.304</v>
      </c>
      <c r="X199" s="951"/>
      <c r="Y199" s="951"/>
      <c r="Z199" s="951"/>
      <c r="AA199" s="951"/>
      <c r="AB199" s="268">
        <v>143.05799999999999</v>
      </c>
      <c r="AC199" s="951"/>
      <c r="AD199" s="951"/>
      <c r="AE199" s="951"/>
      <c r="AF199" s="268">
        <v>143.41800000000001</v>
      </c>
      <c r="AG199" s="951"/>
      <c r="AH199" s="951"/>
      <c r="AI199" s="951"/>
      <c r="AJ199" s="268">
        <v>142.226</v>
      </c>
      <c r="AK199" s="951"/>
      <c r="AL199" s="951"/>
      <c r="AM199" s="951"/>
      <c r="AN199" s="268">
        <v>145.15</v>
      </c>
      <c r="AO199" s="951"/>
      <c r="AP199" s="951"/>
      <c r="AQ199" s="951"/>
      <c r="AR199" s="1452">
        <f>(AR195+AR196+AR197+AR198)/4</f>
        <v>149.22798819189808</v>
      </c>
      <c r="AS199" s="951"/>
      <c r="AT199" s="951"/>
      <c r="AU199" s="951"/>
      <c r="AV199" s="1447">
        <f>(AV195+AV196+AV197+AV198)/4</f>
        <v>222.69850000000002</v>
      </c>
      <c r="AW199" s="1158"/>
      <c r="AX199" s="1158"/>
      <c r="AY199" s="951"/>
      <c r="AZ199" s="1446">
        <v>216.119</v>
      </c>
      <c r="BA199" s="1158"/>
      <c r="BB199" s="1158"/>
      <c r="BC199" s="951"/>
      <c r="BD199" s="1446">
        <v>205.16900000000001</v>
      </c>
      <c r="BE199" s="1158"/>
      <c r="BF199" s="1158"/>
      <c r="BG199" s="1158"/>
      <c r="BH199" s="1446">
        <v>206.17099999999999</v>
      </c>
      <c r="BI199" s="1158"/>
      <c r="BJ199" s="1158"/>
      <c r="BK199" s="1158"/>
      <c r="BL199" s="1446">
        <v>199.97900000000001</v>
      </c>
      <c r="BM199" s="1158"/>
      <c r="BN199" s="1158"/>
      <c r="BO199" s="1158"/>
      <c r="BP199" s="1447">
        <f>(BP195+BP196+BP197+BP198)/4</f>
        <v>194.44200000000001</v>
      </c>
      <c r="BQ199" s="1158"/>
      <c r="BR199" s="1158"/>
      <c r="BS199" s="1158"/>
      <c r="BT199" s="1447">
        <f>(BT195+BT196+BT197+BT198)/4</f>
        <v>197.70439055117308</v>
      </c>
      <c r="BU199" s="1158"/>
      <c r="BV199" s="1158"/>
      <c r="BW199" s="1158"/>
      <c r="BX199" s="1447">
        <v>192.80199999999999</v>
      </c>
      <c r="BY199" s="1158"/>
      <c r="BZ199" s="1158"/>
      <c r="CA199" s="1158"/>
      <c r="CB199" s="1446">
        <v>194.43700000000001</v>
      </c>
      <c r="CC199" s="1229"/>
      <c r="CD199" s="1166"/>
      <c r="CE199" s="1166"/>
      <c r="CF199" s="1446">
        <v>194.351</v>
      </c>
      <c r="CG199" s="1158"/>
      <c r="CH199" s="1158"/>
      <c r="CI199" s="1158"/>
      <c r="CJ199" s="1446">
        <v>181.429</v>
      </c>
      <c r="CK199" s="1158"/>
      <c r="CL199" s="1158"/>
      <c r="CM199" s="1158"/>
      <c r="CN199" s="2181">
        <v>177.93799999999999</v>
      </c>
      <c r="CO199" s="1158"/>
      <c r="CP199" s="1158"/>
      <c r="CQ199" s="1158"/>
      <c r="CR199" s="1447">
        <f>(CR195+CR196+CR197+CR198)/4</f>
        <v>175.76819333033649</v>
      </c>
      <c r="CS199" s="1158"/>
      <c r="CT199" s="1158"/>
      <c r="CU199" s="1158"/>
      <c r="CV199" s="1158"/>
      <c r="CW199" s="1158"/>
      <c r="CX199" s="1158"/>
      <c r="CY199" s="1158"/>
      <c r="CZ199" s="1158"/>
      <c r="DA199" s="1158"/>
      <c r="DB199" s="951"/>
      <c r="DC199" s="951"/>
      <c r="DD199" s="951"/>
      <c r="DE199" s="951"/>
      <c r="DF199" s="951"/>
      <c r="DG199" s="951"/>
      <c r="DH199" s="951"/>
      <c r="DI199" s="951"/>
      <c r="DJ199" s="951"/>
      <c r="DK199" s="951"/>
      <c r="DL199" s="951"/>
      <c r="DM199" s="951"/>
      <c r="DN199" s="951"/>
      <c r="DO199" s="951"/>
      <c r="DP199" s="951"/>
      <c r="DQ199" s="951"/>
      <c r="DR199" s="951"/>
      <c r="DS199" s="951"/>
      <c r="DT199" s="951"/>
      <c r="DU199" s="951"/>
      <c r="DV199" s="951"/>
      <c r="DW199" s="951"/>
      <c r="DX199" s="951"/>
      <c r="DY199" s="951"/>
    </row>
    <row r="200" spans="1:129" ht="10.5" hidden="1" customHeight="1" outlineLevel="1">
      <c r="A200" s="1167" t="s">
        <v>769</v>
      </c>
      <c r="B200" s="951"/>
      <c r="C200" s="1226"/>
      <c r="D200" s="951"/>
      <c r="E200" s="951"/>
      <c r="F200" s="951"/>
      <c r="G200" s="1226"/>
      <c r="H200" s="951"/>
      <c r="I200" s="951"/>
      <c r="J200" s="951"/>
      <c r="K200" s="1226"/>
      <c r="L200" s="951"/>
      <c r="M200" s="951"/>
      <c r="N200" s="951"/>
      <c r="O200" s="1226"/>
      <c r="P200" s="951"/>
      <c r="Q200" s="951"/>
      <c r="R200" s="951"/>
      <c r="S200" s="1226">
        <f>AVERAGEA(S195:S196)</f>
        <v>138.65249999999997</v>
      </c>
      <c r="T200" s="951"/>
      <c r="U200" s="951"/>
      <c r="V200" s="951"/>
      <c r="W200" s="1226">
        <f>AVERAGEA(W195:W196)</f>
        <v>139.72050000000002</v>
      </c>
      <c r="X200" s="951"/>
      <c r="Y200" s="951"/>
      <c r="Z200" s="951"/>
      <c r="AA200" s="951"/>
      <c r="AB200" s="1226">
        <f>AVERAGEA(AB195:AB196)</f>
        <v>142.375</v>
      </c>
      <c r="AC200" s="951"/>
      <c r="AD200" s="951"/>
      <c r="AE200" s="951"/>
      <c r="AF200" s="1226">
        <f>AVERAGEA(AF195:AF196)</f>
        <v>144.155</v>
      </c>
      <c r="AG200" s="951"/>
      <c r="AH200" s="951"/>
      <c r="AI200" s="951"/>
      <c r="AJ200" s="1226">
        <f>AVERAGEA(AJ195:AJ196)</f>
        <v>142.14099999999999</v>
      </c>
      <c r="AK200" s="951"/>
      <c r="AL200" s="951"/>
      <c r="AM200" s="951"/>
      <c r="AN200" s="1226">
        <f>AVERAGEA(AN195:AN196)</f>
        <v>143.75700000000001</v>
      </c>
      <c r="AO200" s="951"/>
      <c r="AP200" s="951"/>
      <c r="AQ200" s="951"/>
      <c r="AR200" s="1226">
        <f>AVERAGEA(AR195:AR196)</f>
        <v>152.76249999999999</v>
      </c>
      <c r="AS200" s="951"/>
      <c r="AT200" s="951"/>
      <c r="AU200" s="951"/>
      <c r="AV200" s="1166">
        <f>AVERAGEA(AV195:AV196)</f>
        <v>223.26350000000002</v>
      </c>
      <c r="AW200" s="1158"/>
      <c r="AX200" s="1158"/>
      <c r="AY200" s="951"/>
      <c r="AZ200" s="1166">
        <f>AVERAGEA(AZ195:AZ196)</f>
        <v>219.23250000000002</v>
      </c>
      <c r="BA200" s="1158"/>
      <c r="BB200" s="1158"/>
      <c r="BC200" s="951"/>
      <c r="BD200" s="1166">
        <f>AVERAGEA(BD195:BD196)</f>
        <v>204.88499999999999</v>
      </c>
      <c r="BE200" s="1158"/>
      <c r="BF200" s="1158"/>
      <c r="BG200" s="1158"/>
      <c r="BH200" s="1166">
        <f>AVERAGEA(BH195:BH196)</f>
        <v>205.709</v>
      </c>
      <c r="BI200" s="1158"/>
      <c r="BJ200" s="1158"/>
      <c r="BK200" s="1158"/>
      <c r="BL200" s="1166">
        <f>AVERAGEA(BL195:BL196)</f>
        <v>204.74099999999999</v>
      </c>
      <c r="BM200" s="1158"/>
      <c r="BN200" s="1158"/>
      <c r="BO200" s="1158"/>
      <c r="BP200" s="1166">
        <f>AVERAGEA(BP195:BP196)</f>
        <v>194.79599999999999</v>
      </c>
      <c r="BQ200" s="1158"/>
      <c r="BR200" s="1158"/>
      <c r="BS200" s="1158"/>
      <c r="BT200" s="1166">
        <f>AVERAGEA(BT195:BT196)</f>
        <v>196.15220253787032</v>
      </c>
      <c r="BU200" s="1158"/>
      <c r="BV200" s="1158"/>
      <c r="BW200" s="1158"/>
      <c r="BX200" s="1166">
        <f>AVERAGEA(BX195:BX196)</f>
        <v>192.72449999999998</v>
      </c>
      <c r="BY200" s="1158"/>
      <c r="BZ200" s="1158"/>
      <c r="CA200" s="1158"/>
      <c r="CB200" s="1166">
        <f>AVERAGEA(CB195:CB196)</f>
        <v>194.28550000000001</v>
      </c>
      <c r="CC200" s="1158"/>
      <c r="CD200" s="1158"/>
      <c r="CE200" s="1158"/>
      <c r="CF200" s="1166">
        <f>AVERAGEA(CF195:CF196)</f>
        <v>195.2415</v>
      </c>
      <c r="CG200" s="1158"/>
      <c r="CH200" s="1158"/>
      <c r="CI200" s="1158"/>
      <c r="CJ200" s="1166">
        <f>AVERAGEA(CJ195:CJ196)</f>
        <v>180.8725</v>
      </c>
      <c r="CK200" s="1158"/>
      <c r="CL200" s="1158"/>
      <c r="CM200" s="1158"/>
      <c r="CN200" s="1166">
        <f>AVERAGEA(CN195:CN196)</f>
        <v>178.27350000000001</v>
      </c>
      <c r="CO200" s="1158"/>
      <c r="CP200" s="1158"/>
      <c r="CQ200" s="1158"/>
      <c r="CR200" s="1166">
        <f>AVERAGEA(CR195:CR196)</f>
        <v>176.2607095216689</v>
      </c>
      <c r="CS200" s="1158"/>
      <c r="CT200" s="1158"/>
      <c r="CU200" s="1158"/>
      <c r="CV200" s="1158"/>
      <c r="CW200" s="1158"/>
      <c r="CX200" s="1158"/>
      <c r="CY200" s="1158"/>
      <c r="CZ200" s="1158"/>
      <c r="DA200" s="1158"/>
      <c r="DB200" s="951"/>
      <c r="DC200" s="951"/>
      <c r="DD200" s="951"/>
      <c r="DE200" s="951"/>
      <c r="DF200" s="951"/>
      <c r="DG200" s="951"/>
      <c r="DH200" s="951"/>
      <c r="DI200" s="951"/>
      <c r="DJ200" s="951"/>
      <c r="DK200" s="951"/>
      <c r="DL200" s="951"/>
      <c r="DM200" s="951"/>
      <c r="DN200" s="951"/>
      <c r="DO200" s="951"/>
      <c r="DP200" s="951"/>
      <c r="DQ200" s="951"/>
      <c r="DR200" s="951"/>
      <c r="DS200" s="951"/>
      <c r="DT200" s="951"/>
      <c r="DU200" s="951"/>
      <c r="DV200" s="951"/>
      <c r="DW200" s="951"/>
      <c r="DX200" s="951"/>
      <c r="DY200" s="951"/>
    </row>
    <row r="201" spans="1:129" ht="10.5" hidden="1" customHeight="1" outlineLevel="1">
      <c r="A201" s="1167" t="s">
        <v>770</v>
      </c>
      <c r="B201" s="951"/>
      <c r="C201" s="951"/>
      <c r="D201" s="951"/>
      <c r="E201" s="951"/>
      <c r="F201" s="951"/>
      <c r="G201" s="951"/>
      <c r="H201" s="951"/>
      <c r="I201" s="951"/>
      <c r="J201" s="951"/>
      <c r="K201" s="951"/>
      <c r="L201" s="951"/>
      <c r="M201" s="951"/>
      <c r="N201" s="951"/>
      <c r="O201" s="951"/>
      <c r="P201" s="951"/>
      <c r="Q201" s="951"/>
      <c r="R201" s="951"/>
      <c r="S201" s="1247">
        <f>AVERAGEA(S195:S197)</f>
        <v>138.99699999999999</v>
      </c>
      <c r="T201" s="951"/>
      <c r="U201" s="951"/>
      <c r="V201" s="951"/>
      <c r="W201" s="1247">
        <f>AVERAGEA(W195:W197)</f>
        <v>139.26200000000003</v>
      </c>
      <c r="X201" s="951"/>
      <c r="Y201" s="951"/>
      <c r="Z201" s="951"/>
      <c r="AA201" s="951"/>
      <c r="AB201" s="1247">
        <f>AVERAGEA(AB195:AB197)</f>
        <v>142.84400000000002</v>
      </c>
      <c r="AC201" s="951"/>
      <c r="AD201" s="951"/>
      <c r="AE201" s="951"/>
      <c r="AF201" s="1247">
        <f>AVERAGEA(AF195:AF197)</f>
        <v>143.80933333333334</v>
      </c>
      <c r="AG201" s="951"/>
      <c r="AH201" s="951"/>
      <c r="AI201" s="951"/>
      <c r="AJ201" s="1247">
        <f>AVERAGEA(AJ195:AJ197)</f>
        <v>142.18066666666667</v>
      </c>
      <c r="AK201" s="951"/>
      <c r="AL201" s="951"/>
      <c r="AM201" s="951"/>
      <c r="AN201" s="1247">
        <f>AVERAGEA(AN195:AN197)</f>
        <v>144.00533333333334</v>
      </c>
      <c r="AO201" s="1303"/>
      <c r="AP201" s="951"/>
      <c r="AQ201" s="951"/>
      <c r="AR201" s="1247">
        <f>AVERAGEA(AR195:AR197)</f>
        <v>151.41267560423125</v>
      </c>
      <c r="AS201" s="951"/>
      <c r="AT201" s="951"/>
      <c r="AU201" s="951"/>
      <c r="AV201" s="1211">
        <f>AVERAGEA(AV195:AV197)</f>
        <v>223.10800000000003</v>
      </c>
      <c r="AW201" s="1158"/>
      <c r="AX201" s="1158"/>
      <c r="AY201" s="951"/>
      <c r="AZ201" s="1211">
        <f>AVERAGEA(AZ195:AZ197)</f>
        <v>217.72799999999998</v>
      </c>
      <c r="BA201" s="1158"/>
      <c r="BB201" s="1158"/>
      <c r="BC201" s="951"/>
      <c r="BD201" s="1211">
        <f>AVERAGEA(BD195:BD197)</f>
        <v>204.96299999999999</v>
      </c>
      <c r="BE201" s="1158"/>
      <c r="BF201" s="1158"/>
      <c r="BG201" s="1158"/>
      <c r="BH201" s="1211">
        <f>AVERAGEA(BH195:BH197)</f>
        <v>205.97833333333332</v>
      </c>
      <c r="BI201" s="1158"/>
      <c r="BJ201" s="1158"/>
      <c r="BK201" s="1158"/>
      <c r="BL201" s="1211">
        <f>AVERAGEA(BL195:BL197)</f>
        <v>201.69066666666666</v>
      </c>
      <c r="BM201" s="1158"/>
      <c r="BN201" s="1158"/>
      <c r="BO201" s="1158"/>
      <c r="BP201" s="1211">
        <f>AVERAGEA(BP195:BP197)</f>
        <v>194.65666666666667</v>
      </c>
      <c r="BQ201" s="1158"/>
      <c r="BR201" s="1158"/>
      <c r="BS201" s="1158"/>
      <c r="BT201" s="1211">
        <f>AVERAGEA(BT195:BT197)</f>
        <v>197.28431505552962</v>
      </c>
      <c r="BU201" s="1158"/>
      <c r="BV201" s="1158"/>
      <c r="BW201" s="1158"/>
      <c r="BX201" s="1211">
        <f>AVERAGEA(BX195:BX197)</f>
        <v>192.75566666666666</v>
      </c>
      <c r="BY201" s="1158"/>
      <c r="BZ201" s="1158"/>
      <c r="CA201" s="1158"/>
      <c r="CB201" s="1211">
        <f>AVERAGEA(CB195:CB197)</f>
        <v>194.38133333333334</v>
      </c>
      <c r="CC201" s="1158"/>
      <c r="CD201" s="1158"/>
      <c r="CE201" s="1158"/>
      <c r="CF201" s="1211">
        <f>AVERAGEA(CF195:CF197)</f>
        <v>195.23266666666666</v>
      </c>
      <c r="CG201" s="1158"/>
      <c r="CH201" s="1158"/>
      <c r="CI201" s="1158"/>
      <c r="CJ201" s="1211">
        <f>AVERAGEA(CJ195:CJ197)</f>
        <v>181.18799999999999</v>
      </c>
      <c r="CK201" s="1158"/>
      <c r="CL201" s="1158"/>
      <c r="CM201" s="1158"/>
      <c r="CN201" s="1211">
        <f>AVERAGEA(CN195:CN197)</f>
        <v>177.94500000000002</v>
      </c>
      <c r="CO201" s="1158"/>
      <c r="CP201" s="1158"/>
      <c r="CQ201" s="1158"/>
      <c r="CR201" s="1211">
        <f>AVERAGEA(CR195:CR197)</f>
        <v>176.01445142600269</v>
      </c>
      <c r="CS201" s="1158"/>
      <c r="CT201" s="1158"/>
      <c r="CU201" s="1158"/>
      <c r="CV201" s="1158"/>
      <c r="CW201" s="1158"/>
      <c r="CX201" s="1158"/>
      <c r="CY201" s="1158"/>
      <c r="CZ201" s="1158"/>
      <c r="DA201" s="1158"/>
      <c r="DB201" s="951"/>
      <c r="DC201" s="951"/>
      <c r="DD201" s="951"/>
      <c r="DE201" s="951"/>
      <c r="DF201" s="951"/>
      <c r="DG201" s="951"/>
      <c r="DH201" s="951"/>
      <c r="DI201" s="951"/>
      <c r="DJ201" s="951"/>
      <c r="DK201" s="951"/>
      <c r="DL201" s="951"/>
      <c r="DM201" s="951"/>
      <c r="DN201" s="951"/>
      <c r="DO201" s="951"/>
      <c r="DP201" s="951"/>
      <c r="DQ201" s="951"/>
      <c r="DR201" s="951"/>
      <c r="DS201" s="951"/>
      <c r="DT201" s="951"/>
      <c r="DU201" s="951"/>
      <c r="DV201" s="951"/>
      <c r="DW201" s="951"/>
      <c r="DX201" s="951"/>
      <c r="DY201" s="951"/>
    </row>
    <row r="202" spans="1:129" ht="10.5" customHeight="1" collapsed="1">
      <c r="A202" s="1167"/>
      <c r="B202" s="951"/>
      <c r="C202" s="951"/>
      <c r="D202" s="951"/>
      <c r="E202" s="951"/>
      <c r="F202" s="951"/>
      <c r="G202" s="951"/>
      <c r="H202" s="951"/>
      <c r="I202" s="951"/>
      <c r="J202" s="951"/>
      <c r="K202" s="951"/>
      <c r="L202" s="951"/>
      <c r="M202" s="951"/>
      <c r="N202" s="951"/>
      <c r="O202" s="951"/>
      <c r="P202" s="951"/>
      <c r="Q202" s="951"/>
      <c r="R202" s="951"/>
      <c r="S202" s="951"/>
      <c r="T202" s="951"/>
      <c r="U202" s="951"/>
      <c r="V202" s="951"/>
      <c r="W202" s="951"/>
      <c r="X202" s="951"/>
      <c r="Y202" s="951"/>
      <c r="Z202" s="951"/>
      <c r="AA202" s="951"/>
      <c r="AB202" s="951"/>
      <c r="AC202" s="951"/>
      <c r="AD202" s="951"/>
      <c r="AE202" s="951"/>
      <c r="AF202" s="951"/>
      <c r="AG202" s="951"/>
      <c r="AH202" s="951"/>
      <c r="AI202" s="951"/>
      <c r="AJ202" s="951"/>
      <c r="AK202" s="951"/>
      <c r="AL202" s="951"/>
      <c r="AM202" s="951"/>
      <c r="AN202" s="951"/>
      <c r="AO202" s="951"/>
      <c r="AP202" s="951"/>
      <c r="AQ202" s="951"/>
      <c r="AR202" s="951"/>
      <c r="AS202" s="951"/>
      <c r="AT202" s="951"/>
      <c r="AU202" s="951"/>
      <c r="AV202" s="1158"/>
      <c r="AW202" s="1158"/>
      <c r="AX202" s="1158"/>
      <c r="AY202" s="951"/>
      <c r="AZ202" s="1158"/>
      <c r="BA202" s="1158"/>
      <c r="BB202" s="1158"/>
      <c r="BC202" s="951"/>
      <c r="BD202" s="1158"/>
      <c r="BE202" s="1158"/>
      <c r="BF202" s="1158"/>
      <c r="BG202" s="1158"/>
      <c r="BH202" s="1158"/>
      <c r="BI202" s="1158"/>
      <c r="BJ202" s="1158"/>
      <c r="BK202" s="1158"/>
      <c r="BL202" s="1158"/>
      <c r="BM202" s="1158"/>
      <c r="BN202" s="1158"/>
      <c r="BO202" s="1158"/>
      <c r="BP202" s="1158"/>
      <c r="BQ202" s="1158"/>
      <c r="BR202" s="1158"/>
      <c r="BS202" s="1158"/>
      <c r="BT202" s="1158"/>
      <c r="BU202" s="1158"/>
      <c r="BV202" s="1158"/>
      <c r="BW202" s="1158"/>
      <c r="BX202" s="1158"/>
      <c r="BY202" s="1158"/>
      <c r="BZ202" s="1158"/>
      <c r="CA202" s="1158"/>
      <c r="CB202" s="1158"/>
      <c r="CC202" s="1158"/>
      <c r="CD202" s="1158"/>
      <c r="CE202" s="1158"/>
      <c r="CF202" s="1158"/>
      <c r="CG202" s="1158"/>
      <c r="CH202" s="1158"/>
      <c r="CI202" s="1158"/>
      <c r="CJ202" s="1158"/>
      <c r="CK202" s="1158"/>
      <c r="CL202" s="1158"/>
      <c r="CM202" s="1158"/>
      <c r="CN202" s="1158"/>
      <c r="CO202" s="1158"/>
      <c r="CP202" s="1158"/>
      <c r="CQ202" s="1158"/>
      <c r="CR202" s="1158"/>
      <c r="CS202" s="1158"/>
      <c r="CT202" s="1158"/>
      <c r="CU202" s="1267"/>
      <c r="CV202" s="1158"/>
      <c r="CW202" s="1267"/>
      <c r="CX202" s="1267"/>
      <c r="CY202" s="1158"/>
      <c r="CZ202" s="1158"/>
      <c r="DA202" s="1158"/>
      <c r="DB202" s="951"/>
      <c r="DC202" s="951"/>
      <c r="DD202" s="951"/>
      <c r="DE202" s="951"/>
      <c r="DF202" s="951"/>
      <c r="DG202" s="951"/>
      <c r="DH202" s="951"/>
      <c r="DI202" s="951"/>
      <c r="DJ202" s="951"/>
      <c r="DK202" s="951"/>
      <c r="DL202" s="951"/>
      <c r="DM202" s="951"/>
      <c r="DN202" s="951"/>
      <c r="DO202" s="951"/>
      <c r="DP202" s="951"/>
      <c r="DQ202" s="951"/>
      <c r="DR202" s="951"/>
      <c r="DS202" s="951"/>
      <c r="DT202" s="951"/>
      <c r="DU202" s="951"/>
      <c r="DV202" s="951"/>
      <c r="DW202" s="951"/>
      <c r="DX202" s="951"/>
      <c r="DY202" s="951"/>
    </row>
    <row r="203" spans="1:129" ht="12.75">
      <c r="A203" s="951"/>
      <c r="B203" s="951"/>
      <c r="C203" s="951"/>
      <c r="D203" s="951"/>
      <c r="E203" s="951"/>
      <c r="F203" s="951"/>
      <c r="G203" s="951"/>
      <c r="H203" s="951"/>
      <c r="I203" s="951"/>
      <c r="J203" s="951"/>
      <c r="K203" s="951"/>
      <c r="L203" s="951"/>
      <c r="M203" s="951"/>
      <c r="N203" s="951"/>
      <c r="O203" s="1209"/>
      <c r="P203" s="951"/>
      <c r="Q203" s="951"/>
      <c r="R203" s="951"/>
      <c r="S203" s="951"/>
      <c r="T203" s="1412"/>
      <c r="U203" s="1412"/>
      <c r="V203" s="1412"/>
      <c r="W203" s="951"/>
      <c r="X203" s="1412"/>
      <c r="Y203" s="1412"/>
      <c r="Z203" s="1412"/>
      <c r="AA203" s="1412"/>
      <c r="AB203" s="1182"/>
      <c r="AC203" s="1412"/>
      <c r="AD203" s="1412"/>
      <c r="AE203" s="1412"/>
      <c r="AF203" s="1182"/>
      <c r="AG203" s="1412"/>
      <c r="AH203" s="1412"/>
      <c r="AI203" s="1412"/>
      <c r="AJ203" s="1412"/>
      <c r="AK203" s="1412"/>
      <c r="AL203" s="1412"/>
      <c r="AM203" s="1412"/>
      <c r="AN203" s="1412"/>
      <c r="AO203" s="1412"/>
      <c r="AP203" s="1412"/>
      <c r="AQ203" s="1412"/>
      <c r="AR203" s="1412"/>
      <c r="AS203" s="1412"/>
      <c r="AT203" s="1412"/>
      <c r="AU203" s="1412"/>
      <c r="AW203" s="1185"/>
      <c r="AX203" s="1185"/>
      <c r="AY203" s="1183"/>
      <c r="AZ203" s="1186"/>
      <c r="BA203" s="1185"/>
      <c r="BB203" s="1185"/>
      <c r="BC203" s="1183"/>
      <c r="BD203" s="1186"/>
      <c r="BE203" s="1185"/>
      <c r="BF203" s="1185"/>
      <c r="BG203" s="1185"/>
      <c r="BH203" s="1186"/>
      <c r="BI203" s="1185"/>
      <c r="BJ203" s="1185"/>
      <c r="BK203" s="1185"/>
      <c r="BL203" s="1186"/>
      <c r="BM203" s="1185"/>
      <c r="BN203" s="1185"/>
      <c r="BO203" s="1185"/>
      <c r="BP203" s="1186"/>
      <c r="BQ203" s="1185"/>
      <c r="BR203" s="1185"/>
      <c r="BS203" s="1185"/>
      <c r="BT203" s="1182" t="s">
        <v>500</v>
      </c>
      <c r="BU203" s="1185"/>
      <c r="BV203" s="1185"/>
      <c r="BW203" s="1185"/>
      <c r="BX203" s="1185"/>
      <c r="BY203" s="1185"/>
      <c r="BZ203" s="1185"/>
      <c r="CA203" s="1187"/>
      <c r="CB203" s="1185"/>
      <c r="CC203" s="1185"/>
      <c r="CD203" s="1185"/>
      <c r="CE203" s="1187"/>
      <c r="CF203" s="1185"/>
      <c r="CG203" s="1182" t="s">
        <v>500</v>
      </c>
      <c r="CH203" s="1185"/>
      <c r="CI203" s="1187"/>
      <c r="CJ203" s="1185"/>
      <c r="CK203" s="1185"/>
      <c r="CL203" s="1185"/>
      <c r="CM203" s="1187"/>
      <c r="CN203" s="1185"/>
      <c r="CO203" s="1185"/>
      <c r="CP203" s="1185"/>
      <c r="CQ203" s="1185"/>
      <c r="CR203" s="1185"/>
      <c r="CS203" s="1185"/>
      <c r="CT203" s="1185"/>
      <c r="CU203" s="1158"/>
      <c r="CV203" s="1267"/>
      <c r="CW203" s="1158"/>
      <c r="CX203" s="1158"/>
      <c r="CY203" s="1267"/>
      <c r="CZ203" s="1267"/>
      <c r="DA203" s="1267"/>
      <c r="DB203" s="1412"/>
      <c r="DC203" s="1412"/>
      <c r="DD203" s="1412"/>
      <c r="DE203" s="1412"/>
      <c r="DF203" s="1412"/>
      <c r="DG203" s="1412"/>
      <c r="DH203" s="951"/>
      <c r="DI203" s="951"/>
      <c r="DJ203" s="951"/>
      <c r="DK203" s="951"/>
      <c r="DL203" s="951"/>
      <c r="DM203" s="951"/>
      <c r="DN203" s="951"/>
      <c r="DO203" s="951"/>
      <c r="DP203" s="951"/>
      <c r="DQ203" s="951"/>
      <c r="DR203" s="951"/>
      <c r="DS203" s="951"/>
      <c r="DT203" s="951"/>
      <c r="DU203" s="951"/>
      <c r="DV203" s="951"/>
      <c r="DW203" s="951"/>
      <c r="DX203" s="951"/>
      <c r="DY203" s="951"/>
    </row>
    <row r="204" spans="1:129" ht="12.75">
      <c r="A204" s="1167" t="s">
        <v>734</v>
      </c>
      <c r="B204" s="951"/>
      <c r="C204" s="951"/>
      <c r="D204" s="951"/>
      <c r="E204" s="951"/>
      <c r="F204" s="951"/>
      <c r="G204" s="951"/>
      <c r="H204" s="951"/>
      <c r="I204" s="951"/>
      <c r="J204" s="951"/>
      <c r="K204" s="951"/>
      <c r="L204" s="951"/>
      <c r="M204" s="951"/>
      <c r="N204" s="951"/>
      <c r="O204" s="951"/>
      <c r="P204" s="951"/>
      <c r="Q204" s="951"/>
      <c r="R204" s="951"/>
      <c r="S204" s="951"/>
      <c r="T204" s="951"/>
      <c r="U204" s="951"/>
      <c r="V204" s="951"/>
      <c r="W204" s="951"/>
      <c r="X204" s="951"/>
      <c r="Y204" s="951"/>
      <c r="Z204" s="951"/>
      <c r="AA204" s="951"/>
      <c r="AB204" s="951"/>
      <c r="AC204" s="951"/>
      <c r="AD204" s="951"/>
      <c r="AE204" s="951"/>
      <c r="AF204" s="951"/>
      <c r="AG204" s="951"/>
      <c r="AH204" s="951"/>
      <c r="AI204" s="951"/>
      <c r="AJ204" s="951"/>
      <c r="AK204" s="951"/>
      <c r="AL204" s="951"/>
      <c r="AM204" s="951"/>
      <c r="AN204" s="1456"/>
      <c r="AO204" s="1303"/>
      <c r="AP204" s="951"/>
      <c r="AQ204" s="951"/>
      <c r="AR204" s="1456">
        <f>0.05*2/3</f>
        <v>3.3333333333333333E-2</v>
      </c>
      <c r="AS204" s="1457" t="s">
        <v>714</v>
      </c>
      <c r="AT204" s="951"/>
      <c r="AU204" s="951"/>
      <c r="AV204" s="1458">
        <f>0.075*2/3</f>
        <v>4.9999999999999996E-2</v>
      </c>
      <c r="AW204" s="1229">
        <f>+AV204/AR204-1</f>
        <v>0.5</v>
      </c>
      <c r="AX204" s="1158"/>
      <c r="AY204" s="951"/>
      <c r="AZ204" s="1459">
        <f>+AV207</f>
        <v>7.4999999999999997E-2</v>
      </c>
      <c r="BA204" s="1229">
        <f>+AZ204/AV204-1</f>
        <v>0.5</v>
      </c>
      <c r="BB204" s="1158"/>
      <c r="BC204" s="951"/>
      <c r="BD204" s="1458">
        <f>+AZ207</f>
        <v>0.1</v>
      </c>
      <c r="BE204" s="1229">
        <f>+BD204/AZ204-1</f>
        <v>0.33333333333333348</v>
      </c>
      <c r="BF204" s="1158"/>
      <c r="BG204" s="1158"/>
      <c r="BH204" s="1458">
        <f>+BD207</f>
        <v>0.1</v>
      </c>
      <c r="BI204" s="1229">
        <f>+BH204/BD204-1</f>
        <v>0</v>
      </c>
      <c r="BJ204" s="1158"/>
      <c r="BK204" s="1158"/>
      <c r="BL204" s="1458">
        <f>+BH207</f>
        <v>0.1</v>
      </c>
      <c r="BM204" s="1229">
        <f>+BL204/BH204-1</f>
        <v>0</v>
      </c>
      <c r="BN204" s="1158"/>
      <c r="BO204" s="1158"/>
      <c r="BP204" s="1458">
        <f>+BL207</f>
        <v>0.11</v>
      </c>
      <c r="BQ204" s="1229">
        <f>+BP204/BL204-1</f>
        <v>9.9999999999999867E-2</v>
      </c>
      <c r="BR204" s="1158"/>
      <c r="BS204" s="1158"/>
      <c r="BT204" s="1458">
        <f>+BP207</f>
        <v>0.11</v>
      </c>
      <c r="BU204" s="1229">
        <f>+BT204/BP204-1</f>
        <v>0</v>
      </c>
      <c r="BV204" s="1158"/>
      <c r="BW204" s="1158"/>
      <c r="BX204" s="1458">
        <v>0</v>
      </c>
      <c r="BY204" s="1229">
        <f>+BX204/BT204-1</f>
        <v>-1</v>
      </c>
      <c r="BZ204" s="1158"/>
      <c r="CA204" s="1158"/>
      <c r="CB204" s="1458">
        <f>BX207</f>
        <v>0.125</v>
      </c>
      <c r="CC204" s="1460" t="s">
        <v>714</v>
      </c>
      <c r="CD204" s="1158"/>
      <c r="CE204" s="1158"/>
      <c r="CF204" s="1458">
        <f>CB207</f>
        <v>0.125</v>
      </c>
      <c r="CG204" s="1229">
        <f>+CF204/CB204-1</f>
        <v>0</v>
      </c>
      <c r="CH204" s="1158"/>
      <c r="CI204" s="1158"/>
      <c r="CJ204" s="1458">
        <f>CF207</f>
        <v>0.125</v>
      </c>
      <c r="CK204" s="1229">
        <f>+CJ204/CF204-1</f>
        <v>0</v>
      </c>
      <c r="CL204" s="1158"/>
      <c r="CM204" s="1158"/>
      <c r="CN204" s="1458">
        <v>0.125</v>
      </c>
      <c r="CO204" s="1229">
        <f>+CN204/CJ204-1</f>
        <v>0</v>
      </c>
      <c r="CP204" s="1158"/>
      <c r="CQ204" s="1158"/>
      <c r="CR204" s="2186">
        <v>0.13750000000000001</v>
      </c>
      <c r="CS204" s="1229">
        <f>+CR204/CN204-1</f>
        <v>0.10000000000000009</v>
      </c>
      <c r="CT204" s="1158"/>
      <c r="CU204" s="1158"/>
      <c r="CV204" s="1158"/>
      <c r="CW204" s="1158"/>
      <c r="CX204" s="1158"/>
      <c r="CY204" s="1158"/>
      <c r="CZ204" s="1158"/>
      <c r="DA204" s="1158"/>
      <c r="DB204" s="951"/>
      <c r="DC204" s="951"/>
      <c r="DD204" s="951"/>
      <c r="DE204" s="951"/>
      <c r="DF204" s="951"/>
      <c r="DG204" s="951"/>
      <c r="DH204" s="951"/>
      <c r="DI204" s="951"/>
      <c r="DJ204" s="951"/>
      <c r="DK204" s="951"/>
      <c r="DL204" s="951"/>
      <c r="DM204" s="951"/>
      <c r="DN204" s="951"/>
      <c r="DO204" s="951"/>
      <c r="DP204" s="951"/>
      <c r="DQ204" s="951"/>
      <c r="DR204" s="951"/>
      <c r="DS204" s="951"/>
      <c r="DT204" s="951"/>
      <c r="DU204" s="951"/>
      <c r="DV204" s="951"/>
      <c r="DW204" s="951"/>
      <c r="DX204" s="951"/>
      <c r="DY204" s="951"/>
    </row>
    <row r="205" spans="1:129" ht="12.75">
      <c r="A205" s="1167" t="s">
        <v>735</v>
      </c>
      <c r="B205" s="951"/>
      <c r="C205" s="951"/>
      <c r="D205" s="951"/>
      <c r="E205" s="951"/>
      <c r="F205" s="951"/>
      <c r="G205" s="951"/>
      <c r="H205" s="951"/>
      <c r="I205" s="951"/>
      <c r="J205" s="951"/>
      <c r="K205" s="951"/>
      <c r="L205" s="951"/>
      <c r="M205" s="951"/>
      <c r="N205" s="951"/>
      <c r="O205" s="951"/>
      <c r="P205" s="951"/>
      <c r="Q205" s="951"/>
      <c r="R205" s="951"/>
      <c r="S205" s="951"/>
      <c r="T205" s="951"/>
      <c r="U205" s="951"/>
      <c r="V205" s="951"/>
      <c r="W205" s="951"/>
      <c r="X205" s="951"/>
      <c r="Y205" s="951"/>
      <c r="Z205" s="951"/>
      <c r="AA205" s="951"/>
      <c r="AB205" s="951"/>
      <c r="AC205" s="951"/>
      <c r="AD205" s="951"/>
      <c r="AE205" s="951"/>
      <c r="AF205" s="951"/>
      <c r="AG205" s="951"/>
      <c r="AH205" s="951"/>
      <c r="AI205" s="951"/>
      <c r="AJ205" s="951"/>
      <c r="AK205" s="951"/>
      <c r="AL205" s="951"/>
      <c r="AM205" s="951"/>
      <c r="AN205" s="1456"/>
      <c r="AO205" s="1303"/>
      <c r="AP205" s="951"/>
      <c r="AQ205" s="951"/>
      <c r="AR205" s="1456">
        <f>0.075*2/3</f>
        <v>4.9999999999999996E-2</v>
      </c>
      <c r="AS205" s="1457" t="s">
        <v>714</v>
      </c>
      <c r="AT205" s="951"/>
      <c r="AU205" s="951"/>
      <c r="AV205" s="1461">
        <f>0.1125*2/3</f>
        <v>7.4999999999999997E-2</v>
      </c>
      <c r="AW205" s="1229">
        <f>+AV205/AR205-1</f>
        <v>0.5</v>
      </c>
      <c r="AX205" s="1158"/>
      <c r="AY205" s="951"/>
      <c r="AZ205" s="1462">
        <v>0.1</v>
      </c>
      <c r="BA205" s="1229">
        <f>+AZ205/AV205-1</f>
        <v>0.33333333333333348</v>
      </c>
      <c r="BB205" s="1158"/>
      <c r="BC205" s="951"/>
      <c r="BD205" s="1462">
        <v>0.1</v>
      </c>
      <c r="BE205" s="1229">
        <f>+BD205/AZ205-1</f>
        <v>0</v>
      </c>
      <c r="BF205" s="1158"/>
      <c r="BG205" s="1158"/>
      <c r="BH205" s="1462">
        <v>0.1</v>
      </c>
      <c r="BI205" s="1229">
        <f>+BH205/BD205-1</f>
        <v>0</v>
      </c>
      <c r="BJ205" s="1158"/>
      <c r="BK205" s="1158"/>
      <c r="BL205" s="1462">
        <v>0.11</v>
      </c>
      <c r="BM205" s="1229">
        <f>+BL205/BH205-1</f>
        <v>9.9999999999999867E-2</v>
      </c>
      <c r="BN205" s="1158"/>
      <c r="BO205" s="1158"/>
      <c r="BP205" s="1462">
        <v>0.11</v>
      </c>
      <c r="BQ205" s="1229">
        <f>+BP205/BL205-1</f>
        <v>0</v>
      </c>
      <c r="BR205" s="1158"/>
      <c r="BS205" s="1158"/>
      <c r="BT205" s="1462">
        <v>0.11</v>
      </c>
      <c r="BU205" s="1229">
        <f>+BT205/BP205-1</f>
        <v>0</v>
      </c>
      <c r="BV205" s="1158"/>
      <c r="BW205" s="1158"/>
      <c r="BX205" s="1462">
        <v>0.125</v>
      </c>
      <c r="BY205" s="1229">
        <f>+BX205/BT205-1</f>
        <v>0.13636363636363646</v>
      </c>
      <c r="BZ205" s="1158"/>
      <c r="CA205" s="1158"/>
      <c r="CB205" s="1462">
        <v>0.125</v>
      </c>
      <c r="CC205" s="1229">
        <f>+CB205/BX205-1</f>
        <v>0</v>
      </c>
      <c r="CD205" s="1158"/>
      <c r="CE205" s="1158"/>
      <c r="CF205" s="1462">
        <v>0.125</v>
      </c>
      <c r="CG205" s="1229">
        <f>+CF205/CB205-1</f>
        <v>0</v>
      </c>
      <c r="CH205" s="1158"/>
      <c r="CI205" s="1158"/>
      <c r="CJ205" s="1462">
        <v>0.125</v>
      </c>
      <c r="CK205" s="1229">
        <f>+CJ205/CF205-1</f>
        <v>0</v>
      </c>
      <c r="CL205" s="1158"/>
      <c r="CM205" s="1158"/>
      <c r="CN205" s="1462">
        <f>+CN204</f>
        <v>0.125</v>
      </c>
      <c r="CO205" s="1229">
        <f>+CN205/CJ205-1</f>
        <v>0</v>
      </c>
      <c r="CP205" s="1158"/>
      <c r="CQ205" s="1158"/>
      <c r="CR205" s="1380">
        <f>CR204</f>
        <v>0.13750000000000001</v>
      </c>
      <c r="CS205" s="1229">
        <f>+CR205/CN205-1</f>
        <v>0.10000000000000009</v>
      </c>
      <c r="CT205" s="1158"/>
      <c r="CU205" s="1158"/>
      <c r="CV205" s="1158"/>
      <c r="CW205" s="1158"/>
      <c r="CX205" s="1158"/>
      <c r="CY205" s="1158"/>
      <c r="CZ205" s="1158"/>
      <c r="DA205" s="1158"/>
      <c r="DB205" s="951"/>
      <c r="DC205" s="951"/>
      <c r="DD205" s="951"/>
      <c r="DE205" s="951"/>
      <c r="DF205" s="951"/>
      <c r="DG205" s="951"/>
      <c r="DH205" s="951"/>
      <c r="DI205" s="951"/>
      <c r="DJ205" s="951"/>
      <c r="DK205" s="951"/>
      <c r="DL205" s="951"/>
      <c r="DM205" s="951"/>
      <c r="DN205" s="951"/>
      <c r="DO205" s="951"/>
      <c r="DP205" s="951"/>
      <c r="DQ205" s="951"/>
      <c r="DR205" s="951"/>
      <c r="DS205" s="951"/>
      <c r="DT205" s="951"/>
      <c r="DU205" s="951"/>
      <c r="DV205" s="951"/>
      <c r="DW205" s="951"/>
      <c r="DX205" s="951"/>
      <c r="DY205" s="951"/>
    </row>
    <row r="206" spans="1:129" ht="12.75">
      <c r="A206" s="1167" t="s">
        <v>736</v>
      </c>
      <c r="B206" s="951"/>
      <c r="C206" s="951"/>
      <c r="D206" s="951"/>
      <c r="E206" s="951"/>
      <c r="F206" s="951"/>
      <c r="G206" s="951"/>
      <c r="H206" s="951"/>
      <c r="I206" s="951"/>
      <c r="J206" s="951"/>
      <c r="K206" s="951"/>
      <c r="L206" s="951"/>
      <c r="M206" s="951"/>
      <c r="N206" s="951"/>
      <c r="O206" s="951"/>
      <c r="P206" s="951"/>
      <c r="Q206" s="951"/>
      <c r="R206" s="951"/>
      <c r="S206" s="951"/>
      <c r="T206" s="951"/>
      <c r="U206" s="951"/>
      <c r="V206" s="951"/>
      <c r="W206" s="951"/>
      <c r="X206" s="951"/>
      <c r="Y206" s="951"/>
      <c r="Z206" s="951"/>
      <c r="AA206" s="951"/>
      <c r="AB206" s="951"/>
      <c r="AC206" s="951"/>
      <c r="AD206" s="951"/>
      <c r="AE206" s="951"/>
      <c r="AF206" s="951"/>
      <c r="AG206" s="951"/>
      <c r="AH206" s="951"/>
      <c r="AI206" s="951"/>
      <c r="AJ206" s="951"/>
      <c r="AK206" s="951"/>
      <c r="AL206" s="951"/>
      <c r="AM206" s="951"/>
      <c r="AN206" s="1456">
        <f>0.06/2*2/3</f>
        <v>0.02</v>
      </c>
      <c r="AO206" s="1303"/>
      <c r="AP206" s="951"/>
      <c r="AQ206" s="951"/>
      <c r="AR206" s="1456">
        <f>0.075*2/3</f>
        <v>4.9999999999999996E-2</v>
      </c>
      <c r="AS206" s="1303">
        <f>+AR206/AN206-1</f>
        <v>1.4999999999999996</v>
      </c>
      <c r="AT206" s="951"/>
      <c r="AU206" s="951"/>
      <c r="AV206" s="1461">
        <f>+AV205</f>
        <v>7.4999999999999997E-2</v>
      </c>
      <c r="AW206" s="1229">
        <f>+AV206/AR206-1</f>
        <v>0.5</v>
      </c>
      <c r="AX206" s="1158"/>
      <c r="AY206" s="951"/>
      <c r="AZ206" s="1462">
        <f>+AZ205</f>
        <v>0.1</v>
      </c>
      <c r="BA206" s="1229">
        <f>+AZ206/AV206-1</f>
        <v>0.33333333333333348</v>
      </c>
      <c r="BB206" s="1158"/>
      <c r="BC206" s="951"/>
      <c r="BD206" s="1462">
        <f>+BD205</f>
        <v>0.1</v>
      </c>
      <c r="BE206" s="1229">
        <f>+BD206/AZ206-1</f>
        <v>0</v>
      </c>
      <c r="BF206" s="1158"/>
      <c r="BG206" s="1158"/>
      <c r="BH206" s="1462">
        <f>+BH205</f>
        <v>0.1</v>
      </c>
      <c r="BI206" s="1229">
        <f>+BH206/BD206-1</f>
        <v>0</v>
      </c>
      <c r="BJ206" s="1158"/>
      <c r="BK206" s="1158"/>
      <c r="BL206" s="1462">
        <f>+BL205</f>
        <v>0.11</v>
      </c>
      <c r="BM206" s="1229">
        <f>+BL206/BH206-1</f>
        <v>9.9999999999999867E-2</v>
      </c>
      <c r="BN206" s="1158"/>
      <c r="BO206" s="1158"/>
      <c r="BP206" s="1462">
        <f>+BP205</f>
        <v>0.11</v>
      </c>
      <c r="BQ206" s="1229">
        <f>+BP206/BL206-1</f>
        <v>0</v>
      </c>
      <c r="BR206" s="1158"/>
      <c r="BS206" s="1158"/>
      <c r="BT206" s="1462">
        <f>+BT205+1.5</f>
        <v>1.61</v>
      </c>
      <c r="BU206" s="1229">
        <f>+BT206/BP206-1</f>
        <v>13.636363636363637</v>
      </c>
      <c r="BV206" s="1158"/>
      <c r="BW206" s="1158"/>
      <c r="BX206" s="1462">
        <v>0.125</v>
      </c>
      <c r="BY206" s="1229">
        <f>+BX206/BT206-1</f>
        <v>-0.92236024844720499</v>
      </c>
      <c r="BZ206" s="1158"/>
      <c r="CA206" s="1158"/>
      <c r="CB206" s="1462">
        <f>+CB205</f>
        <v>0.125</v>
      </c>
      <c r="CC206" s="1229">
        <f>+CB206/BX206-1</f>
        <v>0</v>
      </c>
      <c r="CD206" s="1158"/>
      <c r="CE206" s="1158"/>
      <c r="CF206" s="1462">
        <f>+CF205</f>
        <v>0.125</v>
      </c>
      <c r="CG206" s="1229">
        <f>+CF206/CB206-1</f>
        <v>0</v>
      </c>
      <c r="CH206" s="1158"/>
      <c r="CI206" s="1158"/>
      <c r="CJ206" s="1462">
        <f>+CJ205</f>
        <v>0.125</v>
      </c>
      <c r="CK206" s="1229">
        <f>+CJ206/CF206-1</f>
        <v>0</v>
      </c>
      <c r="CL206" s="1158"/>
      <c r="CM206" s="1158"/>
      <c r="CN206" s="2140">
        <f>+CN205</f>
        <v>0.125</v>
      </c>
      <c r="CO206" s="1229">
        <f>+CN206/CJ206-1</f>
        <v>0</v>
      </c>
      <c r="CP206" s="1158"/>
      <c r="CQ206" s="1158"/>
      <c r="CR206" s="1808">
        <f>+CR205</f>
        <v>0.13750000000000001</v>
      </c>
      <c r="CS206" s="1229">
        <f>+CR206/CN206-1</f>
        <v>0.10000000000000009</v>
      </c>
      <c r="CT206" s="1158"/>
      <c r="CU206" s="1158"/>
      <c r="CV206" s="1158"/>
      <c r="CW206" s="1158"/>
      <c r="CX206" s="1158"/>
      <c r="CY206" s="1158"/>
      <c r="CZ206" s="1158"/>
      <c r="DA206" s="1158"/>
      <c r="DB206" s="951"/>
      <c r="DC206" s="951"/>
      <c r="DD206" s="951"/>
      <c r="DE206" s="951"/>
      <c r="DF206" s="951"/>
      <c r="DG206" s="951"/>
      <c r="DH206" s="951"/>
      <c r="DI206" s="951"/>
      <c r="DJ206" s="951"/>
      <c r="DK206" s="951"/>
      <c r="DL206" s="951"/>
      <c r="DM206" s="951"/>
      <c r="DN206" s="951"/>
      <c r="DO206" s="951"/>
      <c r="DP206" s="951"/>
      <c r="DQ206" s="951"/>
      <c r="DR206" s="951"/>
      <c r="DS206" s="951"/>
      <c r="DT206" s="951"/>
      <c r="DU206" s="951"/>
      <c r="DV206" s="951"/>
      <c r="DW206" s="951"/>
      <c r="DX206" s="951"/>
      <c r="DY206" s="951"/>
    </row>
    <row r="207" spans="1:129" ht="12.75">
      <c r="A207" s="1167" t="s">
        <v>737</v>
      </c>
      <c r="B207" s="951"/>
      <c r="C207" s="951"/>
      <c r="D207" s="951"/>
      <c r="E207" s="951"/>
      <c r="F207" s="951"/>
      <c r="G207" s="951"/>
      <c r="H207" s="951"/>
      <c r="I207" s="951"/>
      <c r="J207" s="951"/>
      <c r="K207" s="951"/>
      <c r="L207" s="951"/>
      <c r="M207" s="951"/>
      <c r="N207" s="951"/>
      <c r="O207" s="951"/>
      <c r="P207" s="951"/>
      <c r="Q207" s="951"/>
      <c r="R207" s="951"/>
      <c r="S207" s="951"/>
      <c r="T207" s="951"/>
      <c r="U207" s="951"/>
      <c r="V207" s="951"/>
      <c r="W207" s="951"/>
      <c r="X207" s="951"/>
      <c r="Y207" s="951"/>
      <c r="Z207" s="951"/>
      <c r="AA207" s="951"/>
      <c r="AB207" s="951"/>
      <c r="AC207" s="951"/>
      <c r="AD207" s="951"/>
      <c r="AE207" s="951"/>
      <c r="AF207" s="951"/>
      <c r="AG207" s="951"/>
      <c r="AH207" s="951"/>
      <c r="AI207" s="951"/>
      <c r="AJ207" s="951"/>
      <c r="AK207" s="951"/>
      <c r="AL207" s="951"/>
      <c r="AM207" s="951"/>
      <c r="AN207" s="1463">
        <f>0.06/2*2/3</f>
        <v>0.02</v>
      </c>
      <c r="AO207" s="1303"/>
      <c r="AP207" s="951"/>
      <c r="AQ207" s="951"/>
      <c r="AR207" s="1463">
        <f>0.075*2/3</f>
        <v>4.9999999999999996E-2</v>
      </c>
      <c r="AS207" s="1303">
        <f>+AR207/AN207-1</f>
        <v>1.4999999999999996</v>
      </c>
      <c r="AT207" s="951"/>
      <c r="AU207" s="951"/>
      <c r="AV207" s="1464">
        <f>+AV206</f>
        <v>7.4999999999999997E-2</v>
      </c>
      <c r="AW207" s="1229">
        <f>+AV207/AR207-1</f>
        <v>0.5</v>
      </c>
      <c r="AX207" s="1158"/>
      <c r="AY207" s="951"/>
      <c r="AZ207" s="1465">
        <f>+AZ206</f>
        <v>0.1</v>
      </c>
      <c r="BA207" s="1229">
        <f>+AZ207/AV207-1</f>
        <v>0.33333333333333348</v>
      </c>
      <c r="BB207" s="1158"/>
      <c r="BC207" s="951"/>
      <c r="BD207" s="1465">
        <f>+BD206</f>
        <v>0.1</v>
      </c>
      <c r="BE207" s="1229">
        <f>+BD207/AZ207-1</f>
        <v>0</v>
      </c>
      <c r="BF207" s="1158"/>
      <c r="BG207" s="1158"/>
      <c r="BH207" s="1465">
        <f>+BH206</f>
        <v>0.1</v>
      </c>
      <c r="BI207" s="1229">
        <f>+BH207/BD207-1</f>
        <v>0</v>
      </c>
      <c r="BJ207" s="1158"/>
      <c r="BK207" s="1158"/>
      <c r="BL207" s="1465">
        <f>+BL206</f>
        <v>0.11</v>
      </c>
      <c r="BM207" s="1229">
        <f>+BL207/BH207-1</f>
        <v>9.9999999999999867E-2</v>
      </c>
      <c r="BN207" s="1158"/>
      <c r="BO207" s="1158"/>
      <c r="BP207" s="1465">
        <f>+BP206</f>
        <v>0.11</v>
      </c>
      <c r="BQ207" s="1229">
        <f>+BP207/BL207-1</f>
        <v>0</v>
      </c>
      <c r="BR207" s="1158"/>
      <c r="BS207" s="1158"/>
      <c r="BT207" s="1465">
        <v>0.22</v>
      </c>
      <c r="BU207" s="1229">
        <f>+BT207/BP207-1</f>
        <v>1</v>
      </c>
      <c r="BV207" s="1158"/>
      <c r="BW207" s="1158"/>
      <c r="BX207" s="1465">
        <v>0.125</v>
      </c>
      <c r="BY207" s="1229">
        <f>+BX207/BT207-1</f>
        <v>-0.43181818181818177</v>
      </c>
      <c r="BZ207" s="1158"/>
      <c r="CA207" s="1158"/>
      <c r="CB207" s="1465">
        <f>+CB206</f>
        <v>0.125</v>
      </c>
      <c r="CC207" s="1229">
        <f>+CB207/BX207-1</f>
        <v>0</v>
      </c>
      <c r="CD207" s="1158"/>
      <c r="CE207" s="1158"/>
      <c r="CF207" s="1465">
        <f>+CF206</f>
        <v>0.125</v>
      </c>
      <c r="CG207" s="1229">
        <f>+CF207/CB207-1</f>
        <v>0</v>
      </c>
      <c r="CH207" s="1158"/>
      <c r="CI207" s="1158"/>
      <c r="CJ207" s="1465">
        <f>+CJ206</f>
        <v>0.125</v>
      </c>
      <c r="CK207" s="1229">
        <f>+CJ207/CF207-1</f>
        <v>0</v>
      </c>
      <c r="CL207" s="1158"/>
      <c r="CM207" s="1158"/>
      <c r="CN207" s="2182">
        <f>+CN206</f>
        <v>0.125</v>
      </c>
      <c r="CO207" s="1229">
        <f>+CN207/CJ207-1</f>
        <v>0</v>
      </c>
      <c r="CP207" s="1158"/>
      <c r="CQ207" s="1158"/>
      <c r="CR207" s="1383">
        <f>+CR206</f>
        <v>0.13750000000000001</v>
      </c>
      <c r="CS207" s="1229">
        <f>+CR207/CN207-1</f>
        <v>0.10000000000000009</v>
      </c>
      <c r="CT207" s="1158"/>
      <c r="CU207" s="1158"/>
      <c r="CV207" s="1158"/>
      <c r="CW207" s="1158"/>
      <c r="CX207" s="1158"/>
      <c r="CY207" s="1158"/>
      <c r="CZ207" s="1158"/>
      <c r="DA207" s="1158"/>
      <c r="DB207" s="951"/>
      <c r="DC207" s="951"/>
      <c r="DD207" s="951"/>
      <c r="DE207" s="951"/>
      <c r="DF207" s="951"/>
      <c r="DG207" s="951"/>
      <c r="DH207" s="951"/>
      <c r="DI207" s="951"/>
      <c r="DJ207" s="951"/>
      <c r="DK207" s="951"/>
      <c r="DL207" s="951"/>
      <c r="DM207" s="951"/>
      <c r="DN207" s="951"/>
      <c r="DO207" s="951"/>
      <c r="DP207" s="951"/>
      <c r="DQ207" s="951"/>
      <c r="DR207" s="951"/>
      <c r="DS207" s="951"/>
      <c r="DT207" s="951"/>
      <c r="DU207" s="951"/>
      <c r="DV207" s="951"/>
      <c r="DW207" s="951"/>
      <c r="DX207" s="951"/>
      <c r="DY207" s="951"/>
    </row>
    <row r="208" spans="1:129" ht="12" customHeight="1">
      <c r="A208" s="1167" t="s">
        <v>762</v>
      </c>
      <c r="B208" s="951"/>
      <c r="C208" s="951"/>
      <c r="D208" s="951"/>
      <c r="E208" s="951"/>
      <c r="F208" s="951"/>
      <c r="G208" s="951"/>
      <c r="H208" s="951"/>
      <c r="I208" s="951"/>
      <c r="J208" s="951"/>
      <c r="K208" s="951"/>
      <c r="L208" s="951"/>
      <c r="M208" s="951"/>
      <c r="N208" s="951"/>
      <c r="O208" s="951"/>
      <c r="P208" s="951"/>
      <c r="Q208" s="951"/>
      <c r="R208" s="951"/>
      <c r="S208" s="951"/>
      <c r="T208" s="951"/>
      <c r="U208" s="951"/>
      <c r="V208" s="951"/>
      <c r="W208" s="951"/>
      <c r="X208" s="951"/>
      <c r="Y208" s="951"/>
      <c r="Z208" s="951"/>
      <c r="AA208" s="951"/>
      <c r="AB208" s="951"/>
      <c r="AC208" s="951"/>
      <c r="AD208" s="951"/>
      <c r="AE208" s="951"/>
      <c r="AF208" s="951"/>
      <c r="AG208" s="951"/>
      <c r="AH208" s="951"/>
      <c r="AI208" s="951"/>
      <c r="AJ208" s="951"/>
      <c r="AK208" s="951"/>
      <c r="AL208" s="951"/>
      <c r="AM208" s="951"/>
      <c r="AN208" s="1466">
        <f>+(AN204+AN205+AN206+AN207)</f>
        <v>0.04</v>
      </c>
      <c r="AO208" s="1303"/>
      <c r="AP208" s="951"/>
      <c r="AQ208" s="951"/>
      <c r="AR208" s="1466">
        <f>+(AR204+AR205+AR206+AR207)</f>
        <v>0.18333333333333332</v>
      </c>
      <c r="AS208" s="1303">
        <f>+AR208/AN208-1</f>
        <v>3.583333333333333</v>
      </c>
      <c r="AT208" s="951"/>
      <c r="AU208" s="951"/>
      <c r="AV208" s="1467">
        <f>+(AV204+AV205+AV206+AV207)</f>
        <v>0.27500000000000002</v>
      </c>
      <c r="AW208" s="1229">
        <f>+AV208/AR208-1</f>
        <v>0.50000000000000022</v>
      </c>
      <c r="AX208" s="1158"/>
      <c r="AY208" s="951"/>
      <c r="AZ208" s="1467">
        <f>+(AZ204+AZ205+AZ206+AZ207)</f>
        <v>0.375</v>
      </c>
      <c r="BA208" s="1229">
        <f>+AZ208/AV208-1</f>
        <v>0.36363636363636354</v>
      </c>
      <c r="BB208" s="1158"/>
      <c r="BC208" s="951"/>
      <c r="BD208" s="1467">
        <f>+(BD204+BD205+BD206+BD207)</f>
        <v>0.4</v>
      </c>
      <c r="BE208" s="1229">
        <f>+BD208/AZ208-1</f>
        <v>6.6666666666666652E-2</v>
      </c>
      <c r="BF208" s="1158"/>
      <c r="BG208" s="1158"/>
      <c r="BH208" s="1467">
        <f>+(BH204+BH205+BH206+BH207)</f>
        <v>0.4</v>
      </c>
      <c r="BI208" s="1229">
        <f>+BH208/BD208-1</f>
        <v>0</v>
      </c>
      <c r="BJ208" s="1158"/>
      <c r="BK208" s="1158"/>
      <c r="BL208" s="1467">
        <f>+(BL204+BL205+BL206+BL207)</f>
        <v>0.43</v>
      </c>
      <c r="BM208" s="1229">
        <f>+BL208/BH208-1</f>
        <v>7.4999999999999956E-2</v>
      </c>
      <c r="BN208" s="1158"/>
      <c r="BO208" s="1158"/>
      <c r="BP208" s="1467">
        <f>+(BP204+BP205+BP206+BP207)</f>
        <v>0.44</v>
      </c>
      <c r="BQ208" s="1229">
        <f>+BP208/BL208-1</f>
        <v>2.3255813953488413E-2</v>
      </c>
      <c r="BR208" s="1158"/>
      <c r="BS208" s="1158"/>
      <c r="BT208" s="1467">
        <f>+(BT204+BT205+BT206+BT207)</f>
        <v>2.0500000000000003</v>
      </c>
      <c r="BU208" s="1229">
        <f>+BT208/BP208-1</f>
        <v>3.6590909090909101</v>
      </c>
      <c r="BV208" s="1158"/>
      <c r="BW208" s="1158"/>
      <c r="BX208" s="1467">
        <f>SUM(BX204:BX207)</f>
        <v>0.375</v>
      </c>
      <c r="BY208" s="1229">
        <f>+BX208/BT208-1</f>
        <v>-0.81707317073170738</v>
      </c>
      <c r="BZ208" s="1158"/>
      <c r="CA208" s="1158"/>
      <c r="CB208" s="1320">
        <f>SUM(CB204:CB207)</f>
        <v>0.5</v>
      </c>
      <c r="CC208" s="1229">
        <f>+CB208/BX208-1</f>
        <v>0.33333333333333326</v>
      </c>
      <c r="CD208" s="1158"/>
      <c r="CE208" s="1158"/>
      <c r="CF208" s="1320">
        <f>SUM(CF204:CF207)</f>
        <v>0.5</v>
      </c>
      <c r="CG208" s="1229">
        <f>+CF208/CB208-1</f>
        <v>0</v>
      </c>
      <c r="CH208" s="1158"/>
      <c r="CI208" s="1158"/>
      <c r="CJ208" s="1320">
        <f>SUM(CJ204:CJ207)</f>
        <v>0.5</v>
      </c>
      <c r="CK208" s="1229">
        <f>+CJ208/CF208-1</f>
        <v>0</v>
      </c>
      <c r="CL208" s="1158"/>
      <c r="CM208" s="1158"/>
      <c r="CN208" s="1320">
        <f>SUM(CN204:CN207)</f>
        <v>0.5</v>
      </c>
      <c r="CO208" s="1229">
        <f>+CN208/CJ208-1</f>
        <v>0</v>
      </c>
      <c r="CP208" s="1158"/>
      <c r="CQ208" s="1158"/>
      <c r="CR208" s="1320">
        <f>SUM(CR204:CR207)</f>
        <v>0.55000000000000004</v>
      </c>
      <c r="CS208" s="1229">
        <f>+CR208/CN208-1</f>
        <v>0.10000000000000009</v>
      </c>
      <c r="CT208" s="1158"/>
      <c r="CU208" s="1158"/>
      <c r="CV208" s="1158"/>
      <c r="CW208" s="1158"/>
      <c r="CX208" s="1158"/>
      <c r="CY208" s="1158"/>
      <c r="CZ208" s="1158"/>
      <c r="DA208" s="1158"/>
      <c r="DB208" s="951"/>
      <c r="DC208" s="951"/>
      <c r="DD208" s="951"/>
      <c r="DE208" s="951"/>
      <c r="DF208" s="951"/>
      <c r="DG208" s="951"/>
      <c r="DH208" s="951"/>
      <c r="DI208" s="951"/>
      <c r="DJ208" s="951"/>
      <c r="DK208" s="951"/>
      <c r="DL208" s="951"/>
      <c r="DM208" s="951"/>
      <c r="DN208" s="951"/>
      <c r="DO208" s="951"/>
      <c r="DP208" s="951"/>
      <c r="DQ208" s="951"/>
      <c r="DR208" s="951"/>
      <c r="DS208" s="951"/>
      <c r="DT208" s="951"/>
      <c r="DU208" s="951"/>
      <c r="DV208" s="951"/>
      <c r="DW208" s="951"/>
      <c r="DX208" s="951"/>
      <c r="DY208" s="951"/>
    </row>
    <row r="209" spans="1:129" ht="12.75" hidden="1" outlineLevel="1">
      <c r="A209" s="1167" t="s">
        <v>769</v>
      </c>
      <c r="B209" s="951"/>
      <c r="C209" s="951"/>
      <c r="D209" s="951"/>
      <c r="E209" s="951"/>
      <c r="F209" s="951"/>
      <c r="G209" s="951"/>
      <c r="H209" s="951"/>
      <c r="I209" s="951"/>
      <c r="J209" s="951"/>
      <c r="K209" s="951"/>
      <c r="L209" s="951"/>
      <c r="M209" s="951"/>
      <c r="N209" s="951"/>
      <c r="O209" s="951"/>
      <c r="P209" s="951"/>
      <c r="Q209" s="951"/>
      <c r="R209" s="951"/>
      <c r="S209" s="951"/>
      <c r="T209" s="951"/>
      <c r="U209" s="951"/>
      <c r="V209" s="951"/>
      <c r="W209" s="951"/>
      <c r="X209" s="951"/>
      <c r="Y209" s="951"/>
      <c r="Z209" s="951"/>
      <c r="AA209" s="951"/>
      <c r="AB209" s="951"/>
      <c r="AC209" s="951"/>
      <c r="AD209" s="951"/>
      <c r="AE209" s="951"/>
      <c r="AF209" s="951"/>
      <c r="AG209" s="951"/>
      <c r="AH209" s="951"/>
      <c r="AI209" s="951"/>
      <c r="AJ209" s="951"/>
      <c r="AK209" s="951"/>
      <c r="AL209" s="951"/>
      <c r="AM209" s="951"/>
      <c r="AN209" s="1468"/>
      <c r="AO209" s="1303"/>
      <c r="AP209" s="951"/>
      <c r="AQ209" s="951"/>
      <c r="AR209" s="951"/>
      <c r="AS209" s="951"/>
      <c r="AT209" s="951"/>
      <c r="AU209" s="951"/>
      <c r="AV209" s="951"/>
      <c r="AW209" s="951"/>
      <c r="AX209" s="951"/>
      <c r="AY209" s="951"/>
      <c r="AZ209" s="1158"/>
      <c r="BA209" s="1158"/>
      <c r="BB209" s="1158"/>
      <c r="BC209" s="951"/>
      <c r="BD209" s="1158"/>
      <c r="BE209" s="1158"/>
      <c r="BF209" s="1158"/>
      <c r="BG209" s="1158"/>
      <c r="BH209" s="1158"/>
      <c r="BI209" s="1158"/>
      <c r="BJ209" s="1158"/>
      <c r="BK209" s="1158"/>
      <c r="BL209" s="1158"/>
      <c r="BM209" s="1158"/>
      <c r="BN209" s="1158"/>
      <c r="BO209" s="1158"/>
      <c r="BP209" s="1158"/>
      <c r="BQ209" s="1158"/>
      <c r="BR209" s="1158"/>
      <c r="BS209" s="1158"/>
      <c r="BT209" s="1158"/>
      <c r="BU209" s="1158"/>
      <c r="BV209" s="1158"/>
      <c r="BW209" s="1158"/>
      <c r="BX209" s="1158"/>
      <c r="BY209" s="1158"/>
      <c r="BZ209" s="1158"/>
      <c r="CA209" s="1158"/>
      <c r="CB209" s="1158"/>
      <c r="CC209" s="1158"/>
      <c r="CD209" s="1158"/>
      <c r="CE209" s="1158"/>
      <c r="CF209" s="1158"/>
      <c r="CG209" s="1158"/>
      <c r="CH209" s="1158"/>
      <c r="CI209" s="1158"/>
      <c r="CJ209" s="1158"/>
      <c r="CK209" s="1158"/>
      <c r="CL209" s="1158"/>
      <c r="CM209" s="1158"/>
      <c r="CN209" s="1158"/>
      <c r="CO209" s="1158"/>
      <c r="CP209" s="1158"/>
      <c r="CQ209" s="1158"/>
      <c r="CR209" s="1158"/>
      <c r="CS209" s="1158"/>
      <c r="CT209" s="1158"/>
      <c r="CU209" s="1158"/>
      <c r="CV209" s="1158"/>
      <c r="CW209" s="1158"/>
      <c r="CX209" s="1158"/>
      <c r="CY209" s="1158"/>
      <c r="CZ209" s="1158"/>
      <c r="DA209" s="1158"/>
      <c r="DB209" s="951"/>
      <c r="DC209" s="951"/>
      <c r="DD209" s="951"/>
      <c r="DE209" s="951"/>
      <c r="DF209" s="951"/>
      <c r="DG209" s="951"/>
      <c r="DH209" s="951"/>
      <c r="DI209" s="951"/>
      <c r="DJ209" s="951"/>
      <c r="DK209" s="951"/>
      <c r="DL209" s="951"/>
      <c r="DM209" s="951"/>
      <c r="DN209" s="951"/>
      <c r="DO209" s="951"/>
      <c r="DP209" s="951"/>
      <c r="DQ209" s="951"/>
      <c r="DR209" s="951"/>
      <c r="DS209" s="951"/>
      <c r="DT209" s="951"/>
      <c r="DU209" s="951"/>
      <c r="DV209" s="951"/>
      <c r="DW209" s="951"/>
      <c r="DX209" s="951"/>
      <c r="DY209" s="951"/>
    </row>
    <row r="210" spans="1:129" ht="12.75" hidden="1" outlineLevel="1">
      <c r="A210" s="1167" t="s">
        <v>770</v>
      </c>
      <c r="B210" s="951"/>
      <c r="C210" s="951"/>
      <c r="D210" s="951"/>
      <c r="E210" s="951"/>
      <c r="F210" s="951"/>
      <c r="G210" s="951"/>
      <c r="H210" s="951"/>
      <c r="I210" s="951"/>
      <c r="J210" s="951"/>
      <c r="K210" s="951"/>
      <c r="L210" s="951"/>
      <c r="M210" s="951"/>
      <c r="N210" s="951"/>
      <c r="O210" s="951"/>
      <c r="P210" s="951"/>
      <c r="Q210" s="951"/>
      <c r="R210" s="951"/>
      <c r="S210" s="951"/>
      <c r="T210" s="951"/>
      <c r="U210" s="951"/>
      <c r="V210" s="951"/>
      <c r="W210" s="951"/>
      <c r="X210" s="951"/>
      <c r="Y210" s="951"/>
      <c r="Z210" s="951"/>
      <c r="AA210" s="951"/>
      <c r="AB210" s="951"/>
      <c r="AC210" s="951"/>
      <c r="AD210" s="951"/>
      <c r="AE210" s="951"/>
      <c r="AF210" s="951"/>
      <c r="AG210" s="951"/>
      <c r="AH210" s="951"/>
      <c r="AI210" s="951"/>
      <c r="AJ210" s="951"/>
      <c r="AK210" s="951"/>
      <c r="AL210" s="951"/>
      <c r="AM210" s="951"/>
      <c r="AN210" s="1468"/>
      <c r="AO210" s="1303"/>
      <c r="AP210" s="951"/>
      <c r="AQ210" s="951"/>
      <c r="AR210" s="951"/>
      <c r="AS210" s="951"/>
      <c r="AT210" s="951"/>
      <c r="AU210" s="951"/>
      <c r="AV210" s="951"/>
      <c r="AW210" s="951"/>
      <c r="AX210" s="951"/>
      <c r="AY210" s="951"/>
      <c r="AZ210" s="1158"/>
      <c r="BA210" s="1158"/>
      <c r="BB210" s="1158"/>
      <c r="BC210" s="951"/>
      <c r="BD210" s="1158"/>
      <c r="BE210" s="1158"/>
      <c r="BF210" s="1158"/>
      <c r="BG210" s="1158"/>
      <c r="BH210" s="1158"/>
      <c r="BI210" s="1158"/>
      <c r="BJ210" s="1158"/>
      <c r="BK210" s="1158"/>
      <c r="BL210" s="1158"/>
      <c r="BM210" s="1158"/>
      <c r="BN210" s="1158"/>
      <c r="BO210" s="1158"/>
      <c r="BP210" s="1158"/>
      <c r="BQ210" s="1158"/>
      <c r="BR210" s="1158"/>
      <c r="BS210" s="1158"/>
      <c r="BT210" s="1158"/>
      <c r="BU210" s="1158"/>
      <c r="BV210" s="1158"/>
      <c r="BW210" s="1158"/>
      <c r="BX210" s="1158"/>
      <c r="BY210" s="1158"/>
      <c r="BZ210" s="1158"/>
      <c r="CA210" s="1158"/>
      <c r="CB210" s="1158"/>
      <c r="CC210" s="1158"/>
      <c r="CD210" s="1158"/>
      <c r="CE210" s="1158"/>
      <c r="CF210" s="1158"/>
      <c r="CG210" s="1158"/>
      <c r="CH210" s="1158"/>
      <c r="CI210" s="1158"/>
      <c r="CJ210" s="1158"/>
      <c r="CK210" s="1158"/>
      <c r="CL210" s="1158"/>
      <c r="CM210" s="1158"/>
      <c r="CN210" s="1158"/>
      <c r="CO210" s="1158"/>
      <c r="CP210" s="1158"/>
      <c r="CQ210" s="1158"/>
      <c r="CR210" s="1158"/>
      <c r="CS210" s="1158"/>
      <c r="CT210" s="1158"/>
      <c r="CU210" s="1158"/>
      <c r="CV210" s="1158"/>
      <c r="CW210" s="1158"/>
      <c r="CX210" s="1158"/>
      <c r="CY210" s="1158"/>
      <c r="CZ210" s="1158"/>
      <c r="DA210" s="1158"/>
      <c r="DB210" s="951"/>
      <c r="DC210" s="951"/>
      <c r="DD210" s="951"/>
      <c r="DE210" s="951"/>
      <c r="DF210" s="951"/>
      <c r="DG210" s="951"/>
      <c r="DH210" s="951"/>
      <c r="DI210" s="951"/>
      <c r="DJ210" s="951"/>
      <c r="DK210" s="951"/>
      <c r="DL210" s="951"/>
      <c r="DM210" s="951"/>
      <c r="DN210" s="951"/>
      <c r="DO210" s="951"/>
      <c r="DP210" s="951"/>
      <c r="DQ210" s="951"/>
      <c r="DR210" s="951"/>
      <c r="DS210" s="951"/>
      <c r="DT210" s="951"/>
      <c r="DU210" s="951"/>
      <c r="DV210" s="951"/>
      <c r="DW210" s="951"/>
      <c r="DX210" s="951"/>
      <c r="DY210" s="951"/>
    </row>
    <row r="211" spans="1:129" ht="12.75" collapsed="1">
      <c r="A211" s="1167"/>
      <c r="B211" s="951"/>
      <c r="C211" s="951"/>
      <c r="D211" s="951"/>
      <c r="E211" s="951"/>
      <c r="F211" s="951"/>
      <c r="G211" s="951"/>
      <c r="H211" s="951"/>
      <c r="I211" s="951"/>
      <c r="J211" s="951"/>
      <c r="K211" s="951"/>
      <c r="L211" s="951"/>
      <c r="M211" s="951"/>
      <c r="N211" s="951"/>
      <c r="O211" s="951"/>
      <c r="P211" s="951"/>
      <c r="Q211" s="951"/>
      <c r="R211" s="951"/>
      <c r="S211" s="951"/>
      <c r="T211" s="951"/>
      <c r="U211" s="951"/>
      <c r="V211" s="951"/>
      <c r="W211" s="951"/>
      <c r="X211" s="951"/>
      <c r="Y211" s="951"/>
      <c r="Z211" s="951"/>
      <c r="AA211" s="951"/>
      <c r="AB211" s="951"/>
      <c r="AC211" s="951"/>
      <c r="AD211" s="951"/>
      <c r="AE211" s="951"/>
      <c r="AF211" s="951"/>
      <c r="AG211" s="951"/>
      <c r="AH211" s="951"/>
      <c r="AI211" s="951"/>
      <c r="AJ211" s="951"/>
      <c r="AK211" s="951"/>
      <c r="AL211" s="951"/>
      <c r="AM211" s="951"/>
      <c r="AN211" s="951"/>
      <c r="AO211" s="951"/>
      <c r="AP211" s="951"/>
      <c r="AQ211" s="951"/>
      <c r="AR211" s="951"/>
      <c r="AS211" s="951"/>
      <c r="AT211" s="951"/>
      <c r="AU211" s="951"/>
      <c r="AV211" s="951"/>
      <c r="AW211" s="951"/>
      <c r="AX211" s="951"/>
      <c r="AY211" s="951"/>
      <c r="AZ211" s="1159"/>
      <c r="BA211" s="1158"/>
      <c r="BB211" s="1158"/>
      <c r="BC211" s="951"/>
      <c r="BD211" s="1159"/>
      <c r="BE211" s="1158"/>
      <c r="BF211" s="1158"/>
      <c r="BG211" s="1158"/>
      <c r="BH211" s="1159"/>
      <c r="BI211" s="1158"/>
      <c r="BJ211" s="1158"/>
      <c r="BK211" s="1158"/>
      <c r="BL211" s="1159"/>
      <c r="BM211" s="1158"/>
      <c r="BN211" s="1158"/>
      <c r="BO211" s="1158"/>
      <c r="BP211" s="1159"/>
      <c r="BQ211" s="1158"/>
      <c r="BR211" s="1158"/>
      <c r="BS211" s="1158"/>
      <c r="BT211" s="1159"/>
      <c r="BU211" s="1158"/>
      <c r="BV211" s="1158"/>
      <c r="BW211" s="1158"/>
      <c r="BX211" s="1158"/>
      <c r="BY211" s="1158"/>
      <c r="BZ211" s="1158"/>
      <c r="CA211" s="1158"/>
      <c r="CB211" s="1158"/>
      <c r="CC211" s="1158"/>
      <c r="CD211" s="1158"/>
      <c r="CE211" s="1158"/>
      <c r="CF211" s="1158"/>
      <c r="CG211" s="1158"/>
      <c r="CH211" s="1158"/>
      <c r="CI211" s="1158"/>
      <c r="CJ211" s="1158"/>
      <c r="CK211" s="1158"/>
      <c r="CL211" s="1158"/>
      <c r="CM211" s="1158"/>
      <c r="CN211" s="1158"/>
      <c r="CO211" s="1158"/>
      <c r="CP211" s="1158"/>
      <c r="CQ211" s="1158"/>
      <c r="CR211" s="1158"/>
      <c r="CS211" s="1158"/>
      <c r="CT211" s="1158"/>
      <c r="CU211" s="1158"/>
      <c r="CV211" s="1158"/>
      <c r="CW211" s="1158"/>
      <c r="CX211" s="1158"/>
      <c r="CY211" s="1158"/>
      <c r="CZ211" s="1158"/>
      <c r="DA211" s="1158"/>
      <c r="DB211" s="951"/>
      <c r="DC211" s="951"/>
      <c r="DD211" s="951"/>
      <c r="DE211" s="951"/>
      <c r="DF211" s="951"/>
      <c r="DG211" s="951"/>
      <c r="DH211" s="951"/>
      <c r="DI211" s="951"/>
      <c r="DJ211" s="951"/>
      <c r="DK211" s="951"/>
      <c r="DL211" s="951"/>
      <c r="DM211" s="951"/>
      <c r="DN211" s="951"/>
      <c r="DO211" s="951"/>
      <c r="DP211" s="951"/>
      <c r="DQ211" s="951"/>
      <c r="DR211" s="951"/>
      <c r="DS211" s="951"/>
      <c r="DT211" s="951"/>
      <c r="DU211" s="951"/>
      <c r="DV211" s="951"/>
      <c r="DW211" s="951"/>
      <c r="DX211" s="951"/>
      <c r="DY211" s="951"/>
    </row>
    <row r="212" spans="1:129" ht="12.75">
      <c r="A212" s="107" t="s">
        <v>667</v>
      </c>
      <c r="B212" s="951"/>
      <c r="C212" s="951"/>
      <c r="D212" s="951"/>
      <c r="E212" s="951"/>
      <c r="F212" s="951"/>
      <c r="G212" s="951"/>
      <c r="H212" s="951"/>
      <c r="I212" s="951"/>
      <c r="J212" s="951"/>
      <c r="K212" s="951"/>
      <c r="L212" s="951"/>
      <c r="M212" s="951"/>
      <c r="N212" s="951"/>
      <c r="O212" s="951"/>
      <c r="P212" s="951"/>
      <c r="Q212" s="951"/>
      <c r="R212" s="951"/>
      <c r="S212" s="951"/>
      <c r="T212" s="951"/>
      <c r="U212" s="951"/>
      <c r="V212" s="951"/>
      <c r="W212" s="951"/>
      <c r="X212" s="951"/>
      <c r="Y212" s="951"/>
      <c r="Z212" s="951"/>
      <c r="AA212" s="951"/>
      <c r="AB212" s="951"/>
      <c r="AC212" s="951"/>
      <c r="AD212" s="951"/>
      <c r="AE212" s="951"/>
      <c r="AF212" s="951"/>
      <c r="AG212" s="951"/>
      <c r="AH212" s="951"/>
      <c r="AI212" s="951"/>
      <c r="AJ212" s="951"/>
      <c r="AK212" s="951"/>
      <c r="AL212" s="951"/>
      <c r="AM212" s="951"/>
      <c r="AN212" s="951"/>
      <c r="AO212" s="951"/>
      <c r="AP212" s="951"/>
      <c r="AQ212" s="951"/>
      <c r="AR212" s="951"/>
      <c r="AS212" s="951"/>
      <c r="AT212" s="951"/>
      <c r="AU212" s="951"/>
      <c r="AV212" s="1290"/>
      <c r="AW212" s="951"/>
      <c r="AX212" s="951"/>
      <c r="AY212" s="951"/>
      <c r="AZ212" s="1245"/>
      <c r="BA212" s="1158"/>
      <c r="BB212" s="1158"/>
      <c r="BC212" s="951"/>
      <c r="BD212" s="1245"/>
      <c r="BE212" s="1158"/>
      <c r="BF212" s="1158"/>
      <c r="BG212" s="1158"/>
      <c r="BH212" s="1245"/>
      <c r="BI212" s="1158"/>
      <c r="BJ212" s="1158"/>
      <c r="BK212" s="1158"/>
      <c r="BL212" s="1245"/>
      <c r="BM212" s="1158"/>
      <c r="BN212" s="1158"/>
      <c r="BO212" s="1158"/>
      <c r="BP212" s="1245"/>
      <c r="BQ212" s="1158"/>
      <c r="BR212" s="1158"/>
      <c r="BS212" s="1158"/>
      <c r="BT212" s="1245"/>
      <c r="BU212" s="1158"/>
      <c r="BV212" s="1158"/>
      <c r="BW212" s="1158"/>
      <c r="BX212" s="1158"/>
      <c r="BY212" s="1158"/>
      <c r="BZ212" s="1158"/>
      <c r="CA212" s="1158"/>
      <c r="CB212" s="1158"/>
      <c r="CC212" s="1158"/>
      <c r="CD212" s="1158"/>
      <c r="CE212" s="1158"/>
      <c r="CF212" s="1158"/>
      <c r="CG212" s="1158"/>
      <c r="CH212" s="1158"/>
      <c r="CI212" s="1158"/>
      <c r="CJ212" s="1158"/>
      <c r="CK212" s="1158"/>
      <c r="CL212" s="1158"/>
      <c r="CM212" s="1158"/>
      <c r="CN212" s="1158"/>
      <c r="CO212" s="1158"/>
      <c r="CP212" s="1158"/>
      <c r="CQ212" s="1158"/>
      <c r="CR212" s="1158"/>
      <c r="CS212" s="1158"/>
      <c r="CT212" s="1158"/>
      <c r="CU212" s="1158"/>
      <c r="CV212" s="1158"/>
      <c r="CW212" s="1158"/>
      <c r="CX212" s="1158"/>
      <c r="CY212" s="1158"/>
      <c r="CZ212" s="1158"/>
      <c r="DA212" s="1158"/>
      <c r="DB212" s="951"/>
      <c r="DC212" s="951"/>
      <c r="DD212" s="951"/>
      <c r="DE212" s="951"/>
      <c r="DF212" s="951"/>
      <c r="DG212" s="951"/>
      <c r="DH212" s="951"/>
      <c r="DI212" s="951"/>
      <c r="DJ212" s="951"/>
      <c r="DK212" s="951"/>
      <c r="DL212" s="951"/>
      <c r="DM212" s="951"/>
      <c r="DN212" s="951"/>
      <c r="DO212" s="951"/>
      <c r="DP212" s="951"/>
      <c r="DQ212" s="951"/>
      <c r="DR212" s="951"/>
      <c r="DS212" s="951"/>
      <c r="DT212" s="951"/>
      <c r="DU212" s="951"/>
      <c r="DV212" s="951"/>
      <c r="DW212" s="951"/>
      <c r="DX212" s="951"/>
      <c r="DY212" s="951"/>
    </row>
    <row r="213" spans="1:129" ht="12.75">
      <c r="A213" s="1165" t="s">
        <v>501</v>
      </c>
      <c r="B213" s="951"/>
      <c r="C213" s="951"/>
      <c r="D213" s="951"/>
      <c r="E213" s="951"/>
      <c r="F213" s="951"/>
      <c r="G213" s="951"/>
      <c r="H213" s="951"/>
      <c r="I213" s="951"/>
      <c r="J213" s="951"/>
      <c r="K213" s="951"/>
      <c r="L213" s="951"/>
      <c r="M213" s="951"/>
      <c r="N213" s="951"/>
      <c r="O213" s="951"/>
      <c r="P213" s="951"/>
      <c r="Q213" s="951"/>
      <c r="R213" s="951"/>
      <c r="S213" s="951"/>
      <c r="T213" s="951"/>
      <c r="U213" s="951"/>
      <c r="V213" s="951"/>
      <c r="W213" s="951"/>
      <c r="X213" s="951"/>
      <c r="Y213" s="951"/>
      <c r="Z213" s="951"/>
      <c r="AA213" s="951"/>
      <c r="AB213" s="951"/>
      <c r="AC213" s="951"/>
      <c r="AD213" s="951"/>
      <c r="AE213" s="951"/>
      <c r="AF213" s="951"/>
      <c r="AG213" s="951"/>
      <c r="AH213" s="951"/>
      <c r="AI213" s="951"/>
      <c r="AJ213" s="951"/>
      <c r="AK213" s="951"/>
      <c r="AL213" s="951"/>
      <c r="AM213" s="951"/>
      <c r="AN213" s="951"/>
      <c r="AO213" s="951"/>
      <c r="AP213" s="951"/>
      <c r="AQ213" s="951"/>
      <c r="AR213" s="951"/>
      <c r="AS213" s="951"/>
      <c r="AT213" s="951"/>
      <c r="AU213" s="951"/>
      <c r="AV213" s="951"/>
      <c r="AW213" s="951"/>
      <c r="AX213" s="951"/>
      <c r="AY213" s="951"/>
      <c r="AZ213" s="1158"/>
      <c r="BA213" s="1158"/>
      <c r="BB213" s="1158"/>
      <c r="BC213" s="951"/>
      <c r="BD213" s="1158"/>
      <c r="BE213" s="1158"/>
      <c r="BF213" s="1158"/>
      <c r="BG213" s="1158"/>
      <c r="BH213" s="1158"/>
      <c r="BI213" s="1158"/>
      <c r="BJ213" s="1158"/>
      <c r="BK213" s="1158"/>
      <c r="BL213" s="1158"/>
      <c r="BM213" s="1158"/>
      <c r="BN213" s="1158"/>
      <c r="BO213" s="1158"/>
      <c r="BP213" s="1158"/>
      <c r="BQ213" s="1158"/>
      <c r="BR213" s="1158"/>
      <c r="BS213" s="1158"/>
      <c r="BT213" s="1158"/>
      <c r="BU213" s="1158"/>
      <c r="BV213" s="1158"/>
      <c r="BW213" s="1158"/>
      <c r="BX213" s="1158"/>
      <c r="BY213" s="1158"/>
      <c r="BZ213" s="1158"/>
      <c r="CA213" s="1158"/>
      <c r="CB213" s="1158"/>
      <c r="CC213" s="1158"/>
      <c r="CD213" s="1158"/>
      <c r="CE213" s="1158"/>
      <c r="CF213" s="1158"/>
      <c r="CG213" s="1158"/>
      <c r="CH213" s="1158"/>
      <c r="CI213" s="1158"/>
      <c r="CJ213" s="1158"/>
      <c r="CK213" s="1158"/>
      <c r="CL213" s="1158"/>
      <c r="CM213" s="1158"/>
      <c r="CN213" s="1158"/>
      <c r="CO213" s="1158"/>
      <c r="CP213" s="1158"/>
      <c r="CQ213" s="1158"/>
      <c r="CR213" s="1158"/>
      <c r="CS213" s="1158"/>
      <c r="CT213" s="1158"/>
      <c r="CU213" s="1158"/>
      <c r="CV213" s="1158"/>
      <c r="CW213" s="1158"/>
      <c r="CX213" s="1158"/>
      <c r="CY213" s="1158"/>
      <c r="CZ213" s="1158"/>
      <c r="DA213" s="1158"/>
      <c r="DB213" s="951"/>
      <c r="DC213" s="951"/>
      <c r="DD213" s="951"/>
      <c r="DE213" s="951"/>
      <c r="DF213" s="951"/>
      <c r="DG213" s="951"/>
      <c r="DH213" s="951"/>
      <c r="DI213" s="951"/>
      <c r="DJ213" s="951"/>
      <c r="DK213" s="951"/>
      <c r="DL213" s="951"/>
      <c r="DM213" s="951"/>
      <c r="DN213" s="951"/>
      <c r="DO213" s="951"/>
      <c r="DP213" s="951"/>
      <c r="DQ213" s="951"/>
      <c r="DR213" s="951"/>
      <c r="DS213" s="951"/>
      <c r="DT213" s="951"/>
      <c r="DU213" s="951"/>
      <c r="DV213" s="951"/>
      <c r="DW213" s="951"/>
      <c r="DX213" s="951"/>
      <c r="DY213" s="951"/>
    </row>
    <row r="214" spans="1:129" ht="12.75">
      <c r="A214" s="951"/>
      <c r="B214" s="951"/>
      <c r="C214" s="951"/>
      <c r="D214" s="951"/>
      <c r="E214" s="951"/>
      <c r="F214" s="951"/>
      <c r="G214" s="951"/>
      <c r="H214" s="951"/>
      <c r="I214" s="951"/>
      <c r="J214" s="951"/>
      <c r="K214" s="951"/>
      <c r="L214" s="951"/>
      <c r="M214" s="951"/>
      <c r="N214" s="951"/>
      <c r="O214" s="951"/>
      <c r="P214" s="951"/>
      <c r="Q214" s="951"/>
      <c r="R214" s="951"/>
      <c r="S214" s="951"/>
      <c r="T214" s="951"/>
      <c r="U214" s="951"/>
      <c r="V214" s="951"/>
      <c r="W214" s="951"/>
      <c r="X214" s="951"/>
      <c r="Y214" s="951"/>
      <c r="Z214" s="951"/>
      <c r="AA214" s="951"/>
      <c r="AB214" s="951"/>
      <c r="AC214" s="951"/>
      <c r="AD214" s="951"/>
      <c r="AE214" s="951"/>
      <c r="AF214" s="951"/>
      <c r="AG214" s="951"/>
      <c r="AH214" s="951"/>
      <c r="AI214" s="951"/>
      <c r="AJ214" s="951"/>
      <c r="AK214" s="951"/>
      <c r="AL214" s="951"/>
      <c r="AM214" s="951"/>
      <c r="AN214" s="951"/>
      <c r="AO214" s="951"/>
      <c r="AP214" s="951"/>
      <c r="AQ214" s="951"/>
      <c r="AR214" s="951"/>
      <c r="AS214" s="951"/>
      <c r="AT214" s="951"/>
      <c r="AU214" s="951"/>
      <c r="AV214" s="951"/>
      <c r="AW214" s="951"/>
      <c r="AX214" s="951"/>
      <c r="AY214" s="951"/>
      <c r="AZ214" s="1158"/>
      <c r="BA214" s="1158"/>
      <c r="BB214" s="1158"/>
      <c r="BC214" s="951"/>
      <c r="BD214" s="1158"/>
      <c r="BE214" s="1158"/>
      <c r="BF214" s="1158"/>
      <c r="BG214" s="1158"/>
      <c r="BH214" s="1158"/>
      <c r="BI214" s="1158"/>
      <c r="BJ214" s="1158"/>
      <c r="BK214" s="1158"/>
      <c r="BL214" s="1158"/>
      <c r="BM214" s="1158"/>
      <c r="BN214" s="1158"/>
      <c r="BO214" s="1158"/>
      <c r="BP214" s="1158"/>
      <c r="BQ214" s="1158"/>
      <c r="BR214" s="1158"/>
      <c r="BS214" s="1158"/>
      <c r="BT214" s="1158"/>
      <c r="BU214" s="1158"/>
      <c r="BV214" s="1158"/>
      <c r="BW214" s="1158"/>
      <c r="BX214" s="1158"/>
      <c r="BY214" s="1158"/>
      <c r="BZ214" s="1158"/>
      <c r="CA214" s="1158"/>
      <c r="CB214" s="1158"/>
      <c r="CC214" s="1158"/>
      <c r="CD214" s="1158"/>
      <c r="CE214" s="1158"/>
      <c r="CF214" s="1158"/>
      <c r="CG214" s="1158"/>
      <c r="CH214" s="1158"/>
      <c r="CI214" s="1158"/>
      <c r="CJ214" s="1158"/>
      <c r="CK214" s="1158"/>
      <c r="CL214" s="1158"/>
      <c r="CM214" s="1158"/>
      <c r="CN214" s="1158"/>
      <c r="CO214" s="1158"/>
      <c r="CP214" s="1158"/>
      <c r="CQ214" s="1158"/>
      <c r="CR214" s="1158"/>
      <c r="CS214" s="1158"/>
      <c r="CT214" s="1158"/>
      <c r="CU214" s="1158"/>
      <c r="CV214" s="1158"/>
      <c r="CW214" s="1158"/>
      <c r="CX214" s="1158"/>
      <c r="CY214" s="1158"/>
      <c r="CZ214" s="1158"/>
      <c r="DA214" s="1158"/>
      <c r="DB214" s="951"/>
      <c r="DC214" s="951"/>
      <c r="DD214" s="951"/>
      <c r="DE214" s="951"/>
      <c r="DF214" s="951"/>
      <c r="DG214" s="951"/>
      <c r="DH214" s="951"/>
      <c r="DI214" s="951"/>
      <c r="DJ214" s="951"/>
      <c r="DK214" s="951"/>
      <c r="DL214" s="951"/>
      <c r="DM214" s="951"/>
      <c r="DN214" s="951"/>
      <c r="DO214" s="951"/>
      <c r="DP214" s="951"/>
      <c r="DQ214" s="951"/>
      <c r="DR214" s="951"/>
      <c r="DS214" s="951"/>
      <c r="DT214" s="951"/>
      <c r="DU214" s="951"/>
      <c r="DV214" s="951"/>
      <c r="DW214" s="951"/>
      <c r="DX214" s="951"/>
      <c r="DY214" s="951"/>
    </row>
    <row r="215" spans="1:129" ht="12.75">
      <c r="A215" s="1469" t="s">
        <v>572</v>
      </c>
      <c r="B215" s="951"/>
      <c r="C215" s="951"/>
      <c r="D215" s="951"/>
      <c r="E215" s="951"/>
      <c r="F215" s="951"/>
      <c r="G215" s="951"/>
      <c r="H215" s="951"/>
      <c r="I215" s="951"/>
      <c r="J215" s="951"/>
      <c r="K215" s="951"/>
      <c r="L215" s="951"/>
      <c r="M215" s="951"/>
      <c r="N215" s="951"/>
      <c r="O215" s="951"/>
      <c r="P215" s="951"/>
      <c r="Q215" s="951"/>
      <c r="R215" s="951"/>
      <c r="S215" s="951"/>
      <c r="T215" s="951"/>
      <c r="U215" s="951"/>
      <c r="V215" s="951"/>
      <c r="W215" s="951"/>
      <c r="X215" s="951"/>
      <c r="Y215" s="951"/>
      <c r="Z215" s="951"/>
      <c r="AA215" s="951"/>
      <c r="AB215" s="951"/>
      <c r="AC215" s="951"/>
      <c r="AD215" s="951"/>
      <c r="AE215" s="951"/>
      <c r="AF215" s="951"/>
      <c r="AG215" s="951"/>
      <c r="AH215" s="951"/>
      <c r="AI215" s="951"/>
      <c r="AJ215" s="951"/>
      <c r="AK215" s="951"/>
      <c r="AL215" s="951"/>
      <c r="AM215" s="951"/>
      <c r="AN215" s="951"/>
      <c r="AO215" s="951"/>
      <c r="AP215" s="951"/>
      <c r="AQ215" s="951"/>
      <c r="AR215" s="951"/>
      <c r="AS215" s="951"/>
      <c r="AT215" s="951"/>
      <c r="AU215" s="951"/>
      <c r="AV215" s="951"/>
      <c r="AW215" s="951"/>
      <c r="AX215" s="951"/>
      <c r="AY215" s="951"/>
      <c r="AZ215" s="1158"/>
      <c r="BA215" s="1158"/>
      <c r="BB215" s="1158"/>
      <c r="BC215" s="951"/>
      <c r="BD215" s="1158"/>
      <c r="BE215" s="1158"/>
      <c r="BF215" s="1158"/>
      <c r="BG215" s="1158"/>
      <c r="BH215" s="1158"/>
      <c r="BI215" s="1158"/>
      <c r="BJ215" s="1158"/>
      <c r="BK215" s="1158"/>
      <c r="BL215" s="1158"/>
      <c r="BM215" s="1158"/>
      <c r="BN215" s="1158"/>
      <c r="BO215" s="1158"/>
      <c r="BP215" s="1158"/>
      <c r="BQ215" s="1158"/>
      <c r="BR215" s="1158"/>
      <c r="BS215" s="1158"/>
      <c r="BT215" s="1158"/>
      <c r="BU215" s="1158"/>
      <c r="BV215" s="1158"/>
      <c r="BW215" s="1158"/>
      <c r="BX215" s="1158"/>
      <c r="BY215" s="1158"/>
      <c r="BZ215" s="1158"/>
      <c r="CA215" s="1158"/>
      <c r="CB215" s="1158"/>
      <c r="CC215" s="1158"/>
      <c r="CD215" s="1158"/>
      <c r="CE215" s="1158"/>
      <c r="CF215" s="1158"/>
      <c r="CG215" s="1158"/>
      <c r="CH215" s="1158"/>
      <c r="CI215" s="1158"/>
      <c r="CJ215" s="1158"/>
      <c r="CK215" s="1158"/>
      <c r="CL215" s="1158"/>
      <c r="CM215" s="1158"/>
      <c r="CN215" s="1158"/>
      <c r="CO215" s="1158"/>
      <c r="CP215" s="1158"/>
      <c r="CQ215" s="1158"/>
      <c r="CR215" s="1158"/>
      <c r="CS215" s="1158"/>
      <c r="CT215" s="1158"/>
      <c r="CY215" s="1158"/>
      <c r="CZ215" s="1158"/>
      <c r="DA215" s="1158"/>
      <c r="DB215" s="951"/>
      <c r="DC215" s="951"/>
      <c r="DD215" s="951"/>
      <c r="DE215" s="951"/>
      <c r="DF215" s="951"/>
      <c r="DG215" s="951"/>
      <c r="DH215" s="951"/>
      <c r="DI215" s="951"/>
      <c r="DJ215" s="951"/>
      <c r="DK215" s="951"/>
      <c r="DL215" s="951"/>
      <c r="DM215" s="951"/>
      <c r="DN215" s="951"/>
      <c r="DO215" s="951"/>
      <c r="DP215" s="951"/>
      <c r="DQ215" s="951"/>
      <c r="DR215" s="951"/>
      <c r="DS215" s="951"/>
      <c r="DT215" s="951"/>
      <c r="DU215" s="951"/>
      <c r="DV215" s="951"/>
      <c r="DW215" s="951"/>
      <c r="DX215" s="951"/>
      <c r="DY215" s="951"/>
    </row>
  </sheetData>
  <mergeCells count="10">
    <mergeCell ref="CR6:CT6"/>
    <mergeCell ref="BH6:BJ6"/>
    <mergeCell ref="BL6:BN6"/>
    <mergeCell ref="BP6:BR6"/>
    <mergeCell ref="BT6:BV6"/>
    <mergeCell ref="CN6:CP6"/>
    <mergeCell ref="CJ6:CL6"/>
    <mergeCell ref="CF6:CH6"/>
    <mergeCell ref="CB6:CD6"/>
    <mergeCell ref="BX6:BZ6"/>
  </mergeCells>
  <phoneticPr fontId="0" type="noConversion"/>
  <dataValidations count="1">
    <dataValidation type="custom" allowBlank="1" showInputMessage="1" showErrorMessage="1" sqref="DH37:DI37 CM154:CM180 BT163 BU7:BW27 BV171:BZ180 BY55:BY57 CN58:CN130 AG29:AU37 BL48:BL56 BP199:BP202 BP192 BP193:BQ194 BQ200:BQ202 BU29:BZ37 BP162:BP163 BP165:BP187 BP203:BQ203 BP209:BQ65536 BP58:BP86 BM1:BN5 BN38:BO180 BV58:BZ169 BN182:BO65536 CC50:CC53 CV182:CV65536 BT165:BT187 CY38:CY152 BP88:BP156 BV38:BZ49 BK48:BK180 BL199:BL202 BL192 BL193:BM194 BM200:BM202 BL162:BL187 BL203:BM203 BL209:BM65536 BM38:BM187 BH48:BH56 BL58:BL86 BP48:BP56 BL88:BL156 BJ182:BK65536 AW200:AW203 BI1:BJ5 BO1:BP27 AV9:AV17 AV29:AV46 AV19:AV27 BP28 AV1:AV7 AW1:BH27 AG1:AU27 BX55:BX56 DE19:DE147 BH88:BH156 DB1:DB37 EH58:IZ65536 BH199:BH202 BH192 BH193:BI194 BI200:BI202 BH162:BH187 CF171:CH180 CZ25:DA27 BH203:BI203 BH209:BI65536 BI7:BJ27 BF182:BG65536 BI38:BI187 DF1:DG147 DB181 DH67:DI166 DJ58:DY166 DZ58:DZ65536 BM7:BN27 AR87:AZ87 EF154:EG65536 X38:AQ137 BF38:BG180 DD25:DD148 CX15:CX26 BC48:BD86 DC1:DC148 BD199:BD202 BD192 BD193:BE194 BE200:BE202 BD162:BD187 BE38:BE187 BD155:BD156 BD203:BE203 BD209:BE65536 DH167:DY65536 BB155:BC65536 ED58:ED146 EA58:EC147 EE58:EE148 DF157:DG65536 DC154:DD156 EA148:EB148 EE165:EE65536 AX155:AY65536 W156:W174 W204:W65536 W176:W202 AC138:AM65536 W139:W146 W69:W77 W9:W17 AS147:AS154 AZ209:BA65536 AZ199:AZ202 AZ192 AZ193:BA194 BA200:BA202 AZ162:AZ187 BA155:BA187 AZ155:AZ156 AZ203:BA203 AW155:AW187 AB138:AB164 AP138:AR154 AN138:AO187 DC162:DE65536 DH38:IZ57 AR203:AS203 AP155:AQ65536 DH1:DI35 AN211:AO65536 AR209:AS65536 AR199:AR202 AR192 AN193:AO194 AR193:AS194 AN199:AN201 AN192 DH58:DI65 AN202:AO203 AS200:AS202 EB5:EB37 AV192:AV193 AW193:AW194 BU186:BU187 BU38:BU184 BS182:BS65536 BR182:BR184 BR186:BR65536 AV209:AW65536 AV199:AV202 BR29:BS180 AV162:AV174 AV176:AV187 AT88:AU65536 AW88:BD154 W29:W37 AR155:AS187 BX8:BZ27 AV109:AV117 AV129:AV137 AV148:AV156 AV139:AV146 BT88:BT156 AV119:AV127 BY7:BZ7 AV89:AV107 BX6:BX7 DJ1:DY37 DZ22:EA37 EA6:EA16 EA18 DZ11:DZ18 EC1:IZ37 DZ1:EB3 X138:AA65536 S188:S193 S195:S65536 S1:S186 T1:V1048576 A1:R1048576 W148:W154 W39:W47 W1:W7 W59:W67 W49:W57 W79:W87 W19:W27 W109:W117 W129:W137 W119:W127 AS88:AS145 W89:W107 AB166:AB65536 AR88:AR137 EA154:ED65536 EE154:EE163 X1:AF37 EF58:EG147 BH58:BH86 DA38:DB154 CV1:CV4 AW29:BG37 BH29:BH46 BJ38:BJ180 BK38:BL46 BP38:BP46 AZ48:AZ86 AV79:AV86 AV49:AV77 BV54:BW56 AZ38:AZ46 AR38:AU86 AW38:AY86 BA38:BB86 BC38:BD46 BQ7:BR27 BX54:BY54 BQ1:BR5 BZ50:BZ56 BT199:BT203 BT192 BT193:BU194 BU200:BU203 BY50:BY53 CA34:CA180 BT209:BU65536 BT58:BT86 BS1:BT27 BK1:BL27 BT48:BT56 CC55:CC57 BT29:BT46 BI29:BP37 BQ29:BQ187 CB132:CB169 CA7:CA27 CB171:CD180 CC7:CD7 CA29 CA31:CC31 CB55:CB56 CB54:CC54 CB6:CB7 CD29:CD56 CB32:CC49 CB29:CC30 CB8:CD27 CB58:CB130 CF58:CF130 CG58:CH169 CE34:CE180 CG55:CG57 CF132:CF169 CH29:CH56 CE29 CF55:CF56 CF54:CG54 CR6 CZ13:CZ19 CG28 CG50:CG53 CC58:CD169 CW1:CX8 CJ171:CL180 CE31 CE7:CE27 CF6:CF27 CO7:CT27 CJ32:CK49 CN171:CT180 CK50:CK53 CI34:CI180 CK55:CK57 CJ132:CJ169 CF29:CG49 CL29:CL56 CI29 CJ55:CJ56 CJ54:CK54 CK7:CM27 CO58:CQ169 CW13:CX13 CV6:CV13 CV17:CV22 CV14:CX14 CJ58:CJ130 CZ38:CZ151 CU181:CU65536 CI31:CK31 CW181:CX65536 CY182:DB65536 CY155:DB180 BV182:CT65536 CY153:CZ154 CW28:CX179 CY29:DA37 CU153:CU179 CJ29:CK30 CM29:CM151 CK58:CL169 CN6:CN27 CP29:CQ56 DD1:DE18 CO55:CO57 CN132:CN169 CN29:CO49 CN55:CN56 CN54:CO54 CS50:CS51 CO50:CO53 BU1:CT5 CJ6:CJ27 CR29:CS49 CR58:CR130 CT29:CT56 CS55:CS57 CR132:CR169 CS58:CT169 CR55:CR56 CR54:CS54 CU1:CU150 DA1:DA18 CZ1:CZ8 CY1:CY27 CG7:CI27 CW17:CW26 CV15:CW16 CV24:CV180">
      <formula1>-1</formula1>
    </dataValidation>
  </dataValidations>
  <printOptions horizontalCentered="1"/>
  <pageMargins left="0" right="0" top="0" bottom="0" header="0.5" footer="0.5"/>
  <pageSetup scale="75" fitToHeight="0" orientation="landscape" r:id="rId1"/>
  <headerFooter alignWithMargins="0"/>
  <rowBreaks count="2" manualBreakCount="2">
    <brk id="77" max="73" man="1"/>
    <brk id="145" max="73" man="1"/>
  </rowBreaks>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syncVertical="1" syncRef="A1" transitionEvaluation="1" codeName="Sheet8"/>
  <dimension ref="A1:AI154"/>
  <sheetViews>
    <sheetView showGridLines="0" zoomScaleNormal="100" zoomScaleSheetLayoutView="85" workbookViewId="0">
      <selection activeCell="AE43" sqref="AE43"/>
    </sheetView>
  </sheetViews>
  <sheetFormatPr defaultColWidth="9.75" defaultRowHeight="12" outlineLevelRow="2" outlineLevelCol="1"/>
  <cols>
    <col min="1" max="1" width="23" customWidth="1"/>
    <col min="2" max="2" width="7.125" hidden="1" customWidth="1" outlineLevel="1"/>
    <col min="3" max="3" width="7" hidden="1" customWidth="1" outlineLevel="1"/>
    <col min="4" max="4" width="8" hidden="1" customWidth="1" outlineLevel="1" collapsed="1"/>
    <col min="5" max="5" width="6.125" hidden="1" customWidth="1" outlineLevel="1" collapsed="1"/>
    <col min="6" max="6" width="6.125" hidden="1" customWidth="1" outlineLevel="1"/>
    <col min="7" max="17" width="8.625" hidden="1" customWidth="1" outlineLevel="1"/>
    <col min="18" max="18" width="8.625" customWidth="1" collapsed="1"/>
    <col min="19" max="28" width="8.625" customWidth="1"/>
    <col min="29" max="30" width="8.625" hidden="1" customWidth="1" outlineLevel="1"/>
    <col min="31" max="31" width="0.75" customWidth="1" collapsed="1"/>
    <col min="32" max="32" width="5.875" customWidth="1"/>
    <col min="33" max="33" width="2" customWidth="1"/>
    <col min="34" max="34" width="5" customWidth="1"/>
    <col min="35" max="35" width="2.375" customWidth="1"/>
  </cols>
  <sheetData>
    <row r="1" spans="1:35" ht="12.75">
      <c r="A1" s="399" t="s">
        <v>559</v>
      </c>
      <c r="B1" s="400"/>
      <c r="C1" s="400"/>
      <c r="D1" s="400"/>
      <c r="E1" s="400"/>
      <c r="F1" s="400"/>
      <c r="G1" s="400"/>
      <c r="H1" s="400"/>
      <c r="I1" s="400"/>
      <c r="J1" s="400"/>
      <c r="K1" s="400"/>
      <c r="L1" s="203"/>
      <c r="M1" s="629"/>
      <c r="N1" s="203"/>
      <c r="O1" s="628"/>
      <c r="P1" s="203"/>
      <c r="Q1" s="203"/>
      <c r="R1" s="203"/>
      <c r="S1" s="458"/>
      <c r="T1" s="458"/>
      <c r="U1" s="458"/>
      <c r="V1" s="458"/>
      <c r="W1" s="458"/>
      <c r="X1" s="458"/>
      <c r="Y1" s="458"/>
      <c r="Z1" s="458"/>
      <c r="AA1" s="458"/>
      <c r="AB1" s="458"/>
      <c r="AC1" s="458"/>
      <c r="AD1" s="458"/>
      <c r="AE1" s="400"/>
      <c r="AF1" s="400"/>
      <c r="AG1" s="400"/>
      <c r="AH1" s="400"/>
      <c r="AI1" s="400"/>
    </row>
    <row r="2" spans="1:35" ht="12.75">
      <c r="A2" s="401" t="s">
        <v>228</v>
      </c>
      <c r="B2" s="402"/>
      <c r="C2" s="402"/>
      <c r="D2" s="402"/>
      <c r="E2" s="402"/>
      <c r="F2" s="402"/>
      <c r="G2" s="402"/>
      <c r="H2" s="402"/>
      <c r="I2" s="402"/>
      <c r="J2" s="402"/>
      <c r="K2" s="402"/>
      <c r="L2" s="402"/>
      <c r="M2" s="402"/>
      <c r="N2" s="402"/>
      <c r="O2" s="402"/>
      <c r="P2" s="402"/>
      <c r="Q2" s="402"/>
      <c r="R2" s="668"/>
      <c r="S2" s="668"/>
      <c r="T2" s="668"/>
      <c r="U2" s="668"/>
      <c r="V2" s="668"/>
      <c r="W2" s="668"/>
      <c r="X2" s="668"/>
      <c r="Y2" s="668"/>
      <c r="Z2" s="668"/>
      <c r="AA2" s="668"/>
      <c r="AB2" s="668"/>
      <c r="AC2" s="668"/>
      <c r="AD2" s="668"/>
      <c r="AE2" s="402"/>
      <c r="AF2" s="402"/>
      <c r="AG2" s="402"/>
      <c r="AH2" s="402"/>
      <c r="AI2" s="402"/>
    </row>
    <row r="3" spans="1:35" ht="12.75">
      <c r="A3" s="403"/>
      <c r="B3" s="404"/>
      <c r="C3" s="404"/>
      <c r="D3" s="404"/>
      <c r="E3" s="404"/>
      <c r="F3" s="404"/>
      <c r="G3" s="404"/>
      <c r="H3" s="404"/>
      <c r="I3" s="404"/>
      <c r="J3" s="404"/>
      <c r="K3" s="404"/>
      <c r="L3" s="404"/>
      <c r="M3" s="404"/>
      <c r="N3" s="404"/>
      <c r="O3" s="404"/>
      <c r="P3" s="404"/>
      <c r="Q3" s="404"/>
      <c r="R3" s="404"/>
      <c r="S3" s="404"/>
      <c r="T3" s="404"/>
      <c r="U3" s="404"/>
      <c r="V3" s="404"/>
      <c r="W3" s="404"/>
      <c r="X3" s="404"/>
      <c r="Y3" s="404"/>
      <c r="Z3" s="404"/>
      <c r="AA3" s="404"/>
      <c r="AB3" s="404"/>
      <c r="AC3" s="404"/>
      <c r="AD3" s="404"/>
      <c r="AE3" s="404"/>
      <c r="AF3" s="404"/>
      <c r="AG3" s="404"/>
      <c r="AH3" s="404"/>
      <c r="AI3" s="404"/>
    </row>
    <row r="4" spans="1:35" ht="12.75">
      <c r="A4" s="405"/>
      <c r="B4" s="400" t="s">
        <v>146</v>
      </c>
      <c r="C4" s="400" t="s">
        <v>146</v>
      </c>
      <c r="D4" s="400"/>
      <c r="E4" s="400"/>
      <c r="F4" s="400"/>
      <c r="G4" s="400"/>
      <c r="H4" s="400"/>
      <c r="I4" s="400"/>
      <c r="J4" s="406"/>
      <c r="K4" s="406"/>
      <c r="L4" s="400"/>
      <c r="M4" s="400"/>
      <c r="N4" s="400"/>
      <c r="O4" s="400"/>
      <c r="P4" s="400"/>
      <c r="Q4" s="400"/>
      <c r="R4" s="458"/>
      <c r="S4" s="458"/>
      <c r="T4" s="400"/>
      <c r="U4" s="400"/>
      <c r="V4" s="400"/>
      <c r="W4" s="400"/>
      <c r="X4" s="400"/>
      <c r="Y4" s="400"/>
      <c r="Z4" s="400"/>
      <c r="AA4" s="400"/>
      <c r="AB4" s="400"/>
      <c r="AC4" s="400"/>
      <c r="AD4" s="400"/>
      <c r="AE4" s="407"/>
      <c r="AF4" s="408"/>
      <c r="AG4" s="409" t="s">
        <v>715</v>
      </c>
      <c r="AH4" s="408"/>
      <c r="AI4" s="410"/>
    </row>
    <row r="5" spans="1:35" ht="12.75">
      <c r="A5" s="411"/>
      <c r="B5" s="412" t="s">
        <v>86</v>
      </c>
      <c r="C5" s="412" t="s">
        <v>87</v>
      </c>
      <c r="D5" s="413" t="s">
        <v>152</v>
      </c>
      <c r="E5" s="414" t="s">
        <v>153</v>
      </c>
      <c r="F5" s="414" t="s">
        <v>154</v>
      </c>
      <c r="G5" s="414" t="s">
        <v>155</v>
      </c>
      <c r="H5" s="414" t="s">
        <v>436</v>
      </c>
      <c r="I5" s="414" t="s">
        <v>520</v>
      </c>
      <c r="J5" s="414" t="s">
        <v>568</v>
      </c>
      <c r="K5" s="414" t="s">
        <v>585</v>
      </c>
      <c r="L5" s="414" t="s">
        <v>691</v>
      </c>
      <c r="M5" s="625">
        <v>2005</v>
      </c>
      <c r="N5" s="625">
        <f t="shared" ref="N5:S5" si="0">+M5+1</f>
        <v>2006</v>
      </c>
      <c r="O5" s="625">
        <f t="shared" si="0"/>
        <v>2007</v>
      </c>
      <c r="P5" s="625">
        <f t="shared" si="0"/>
        <v>2008</v>
      </c>
      <c r="Q5" s="625">
        <f t="shared" si="0"/>
        <v>2009</v>
      </c>
      <c r="R5" s="625">
        <f t="shared" si="0"/>
        <v>2010</v>
      </c>
      <c r="S5" s="625">
        <f t="shared" si="0"/>
        <v>2011</v>
      </c>
      <c r="T5" s="625">
        <f t="shared" ref="T5:Y5" si="1">+S5+1</f>
        <v>2012</v>
      </c>
      <c r="U5" s="625">
        <f t="shared" si="1"/>
        <v>2013</v>
      </c>
      <c r="V5" s="625">
        <f t="shared" si="1"/>
        <v>2014</v>
      </c>
      <c r="W5" s="625">
        <f t="shared" si="1"/>
        <v>2015</v>
      </c>
      <c r="X5" s="625">
        <f t="shared" si="1"/>
        <v>2016</v>
      </c>
      <c r="Y5" s="625">
        <f t="shared" si="1"/>
        <v>2017</v>
      </c>
      <c r="Z5" s="415">
        <f>+Y5+1</f>
        <v>2018</v>
      </c>
      <c r="AA5" s="415">
        <f>+Z5+1</f>
        <v>2019</v>
      </c>
      <c r="AB5" s="1793">
        <f>+AA5+1</f>
        <v>2020</v>
      </c>
      <c r="AC5" s="1793">
        <f>+AB5+1</f>
        <v>2021</v>
      </c>
      <c r="AD5" s="1793">
        <f>+AC5+1</f>
        <v>2022</v>
      </c>
      <c r="AE5" s="416"/>
      <c r="AF5" s="409" t="s">
        <v>807</v>
      </c>
      <c r="AG5" s="404"/>
      <c r="AH5" s="417" t="s">
        <v>861</v>
      </c>
      <c r="AI5" s="418"/>
    </row>
    <row r="6" spans="1:35" ht="12.75">
      <c r="A6" s="411"/>
      <c r="B6" s="411"/>
      <c r="C6" s="411"/>
      <c r="D6" s="411"/>
      <c r="E6" s="400"/>
      <c r="F6" s="400"/>
      <c r="G6" s="400"/>
      <c r="H6" s="400"/>
      <c r="I6" s="400"/>
      <c r="J6" s="400"/>
      <c r="K6" s="400"/>
      <c r="L6" s="203"/>
      <c r="M6" s="203"/>
      <c r="N6" s="203"/>
      <c r="O6" s="203"/>
      <c r="P6" s="203"/>
      <c r="Q6" s="656"/>
      <c r="R6" s="656"/>
      <c r="S6" s="656"/>
      <c r="T6" s="203"/>
      <c r="U6" s="203"/>
      <c r="V6" s="458"/>
      <c r="W6" s="203"/>
      <c r="X6" s="203"/>
      <c r="Y6" s="203"/>
      <c r="Z6" s="203"/>
      <c r="AA6" s="203"/>
      <c r="AB6" s="203"/>
      <c r="AC6" s="203"/>
      <c r="AD6" s="203"/>
      <c r="AE6" s="419"/>
      <c r="AF6" s="404"/>
      <c r="AG6" s="404"/>
      <c r="AH6" s="404"/>
      <c r="AI6" s="418"/>
    </row>
    <row r="7" spans="1:35" ht="12.75" hidden="1" outlineLevel="1">
      <c r="A7" s="411" t="s">
        <v>502</v>
      </c>
      <c r="B7" s="420">
        <v>199</v>
      </c>
      <c r="C7" s="420">
        <f>'qtrP&amp;L'!C14-21.5</f>
        <v>318.82299999999998</v>
      </c>
      <c r="D7" s="421">
        <f>+'qtrP&amp;L'!G14</f>
        <v>326.404</v>
      </c>
      <c r="E7" s="421">
        <f>+'qtrP&amp;L'!K14</f>
        <v>405.71299999999997</v>
      </c>
      <c r="F7" s="421">
        <f>+'qtrP&amp;L'!O14</f>
        <v>587.6</v>
      </c>
      <c r="G7" s="421">
        <f>+'qtrP&amp;L'!S14</f>
        <v>832.10400000000004</v>
      </c>
      <c r="H7" s="421">
        <f>+qtrSales!R90</f>
        <v>1047.077</v>
      </c>
      <c r="I7" s="422">
        <f>+qtrSales!R97</f>
        <v>1239.1990000000001</v>
      </c>
      <c r="J7" s="421">
        <f>+qtrSales!R104</f>
        <v>1417.2909999999999</v>
      </c>
      <c r="K7" s="421">
        <f>+qtrSales!R111</f>
        <v>1441.893</v>
      </c>
      <c r="L7" s="421">
        <f>+qtrSales!R118</f>
        <v>1817.241</v>
      </c>
      <c r="M7" s="421">
        <f>+'qtrP&amp;L'!AR14-M8</f>
        <v>2216.962</v>
      </c>
      <c r="N7" s="421">
        <f>qtrSales!R132</f>
        <v>2639.009</v>
      </c>
      <c r="O7" s="421">
        <f>+qtrSales!R139</f>
        <v>2811.9189999999999</v>
      </c>
      <c r="P7" s="421">
        <f>qtrSales!R146</f>
        <v>2681.866</v>
      </c>
      <c r="Q7" s="421">
        <f>qtrSales!$R$153</f>
        <v>2606.2689999999993</v>
      </c>
      <c r="R7" s="421">
        <f>qtrSales!$R$160</f>
        <v>2611.2939999999999</v>
      </c>
      <c r="S7" s="421">
        <f>qtrSales!$R$167</f>
        <v>2734.6588929999998</v>
      </c>
      <c r="T7" s="421">
        <f>+qtrSales!R174</f>
        <v>2998.4920722400002</v>
      </c>
      <c r="U7" s="421">
        <f>qtrSales!AW181-U8</f>
        <v>2764.3481929447998</v>
      </c>
      <c r="V7" s="421">
        <f>qtrSales!AW188-V8</f>
        <v>2706.1634344854801</v>
      </c>
      <c r="W7" s="421">
        <f>qtrSales!AW195-W8</f>
        <v>2858.4453211097734</v>
      </c>
      <c r="X7" s="421">
        <f>qtrSales!AW202-X8</f>
        <v>2808.6468017883763</v>
      </c>
      <c r="Y7" s="421">
        <f>qtrSales!AW209-Y8</f>
        <v>2787.0084330184163</v>
      </c>
      <c r="Z7" s="422">
        <f>qtrSales!AW216-Z8</f>
        <v>2686.5097022016557</v>
      </c>
      <c r="AA7" s="421">
        <f>AA9-AA8</f>
        <v>2660.6163547008127</v>
      </c>
      <c r="AB7" s="421">
        <f>AB9-AB8</f>
        <v>2659.6531575834542</v>
      </c>
      <c r="AC7" s="421">
        <f>AC9-AC8</f>
        <v>2594.1318850636189</v>
      </c>
      <c r="AD7" s="421">
        <f>AD9-AD8</f>
        <v>2524.6115317348613</v>
      </c>
      <c r="AE7" s="419"/>
      <c r="AF7" s="404"/>
      <c r="AG7" s="404"/>
      <c r="AH7" s="404"/>
      <c r="AI7" s="418"/>
    </row>
    <row r="8" spans="1:35" ht="12.75" hidden="1" outlineLevel="2">
      <c r="A8" s="411" t="s">
        <v>503</v>
      </c>
      <c r="B8" s="420">
        <v>0</v>
      </c>
      <c r="C8" s="420">
        <v>0</v>
      </c>
      <c r="D8" s="420">
        <v>0</v>
      </c>
      <c r="E8" s="420">
        <v>0</v>
      </c>
      <c r="F8" s="420">
        <v>0</v>
      </c>
      <c r="G8" s="420">
        <v>0</v>
      </c>
      <c r="H8" s="423">
        <f>+qtrSales!AM90</f>
        <v>10.5</v>
      </c>
      <c r="I8" s="423">
        <f>+qtrSales!AM97</f>
        <v>32</v>
      </c>
      <c r="J8" s="421">
        <f>+qtrSales!AM104</f>
        <v>45.85</v>
      </c>
      <c r="K8" s="421">
        <f>+qtrSales!AM111</f>
        <v>51.4</v>
      </c>
      <c r="L8" s="421">
        <f>+qtrSales!AM118</f>
        <v>64</v>
      </c>
      <c r="M8" s="421">
        <f>+qtrSales!AM125</f>
        <v>105</v>
      </c>
      <c r="N8" s="421">
        <f>qtrSales!AM132</f>
        <v>155.4</v>
      </c>
      <c r="O8" s="421">
        <f>+qtrSales!AM139</f>
        <v>243.5</v>
      </c>
      <c r="P8" s="421">
        <f>qtrSales!AM146</f>
        <v>307</v>
      </c>
      <c r="Q8" s="421">
        <f>qtrSales!$AM$153</f>
        <v>334</v>
      </c>
      <c r="R8" s="421">
        <f>qtrSales!$AM$160</f>
        <v>334</v>
      </c>
      <c r="S8" s="421">
        <f>qtrSales!AM167</f>
        <v>385.40610700000002</v>
      </c>
      <c r="T8" s="421">
        <f>+qtrSales!AM174</f>
        <v>477.30992776000005</v>
      </c>
      <c r="U8" s="421">
        <f>+qtrSales!AM181</f>
        <v>541.45380705520006</v>
      </c>
      <c r="V8" s="421">
        <f>qtrSales!AM188</f>
        <v>576.70356551452005</v>
      </c>
      <c r="W8" s="421">
        <f>qtrSales!AM195</f>
        <v>663.40267889022653</v>
      </c>
      <c r="X8" s="421">
        <f>qtrSales!AM202</f>
        <v>801.21819821162399</v>
      </c>
      <c r="Y8" s="421">
        <f>qtrSales!AM209</f>
        <v>1008.5405669815837</v>
      </c>
      <c r="Z8" s="422">
        <f>qtrSales!AM216</f>
        <v>1159.8216520288211</v>
      </c>
      <c r="AA8" s="421">
        <f>Z8*1.08</f>
        <v>1252.6073841911268</v>
      </c>
      <c r="AB8" s="421">
        <f>AA8*1.05</f>
        <v>1315.2377534006832</v>
      </c>
      <c r="AC8" s="421">
        <f>AB8*1.05</f>
        <v>1380.9996410707174</v>
      </c>
      <c r="AD8" s="421">
        <f>AC8*1.05</f>
        <v>1450.0496231242535</v>
      </c>
      <c r="AE8" s="419"/>
      <c r="AF8" s="404"/>
      <c r="AG8" s="404"/>
      <c r="AH8" s="404"/>
      <c r="AI8" s="418"/>
    </row>
    <row r="9" spans="1:35" ht="12.75" collapsed="1">
      <c r="A9" s="424" t="s">
        <v>720</v>
      </c>
      <c r="B9" s="421">
        <f t="shared" ref="B9:U9" si="2">+B7+B8</f>
        <v>199</v>
      </c>
      <c r="C9" s="421">
        <f t="shared" si="2"/>
        <v>318.82299999999998</v>
      </c>
      <c r="D9" s="421">
        <f t="shared" si="2"/>
        <v>326.404</v>
      </c>
      <c r="E9" s="421">
        <f t="shared" si="2"/>
        <v>405.71299999999997</v>
      </c>
      <c r="F9" s="421">
        <f t="shared" si="2"/>
        <v>587.6</v>
      </c>
      <c r="G9" s="421">
        <f t="shared" si="2"/>
        <v>832.10400000000004</v>
      </c>
      <c r="H9" s="421">
        <f t="shared" si="2"/>
        <v>1057.577</v>
      </c>
      <c r="I9" s="421">
        <f t="shared" si="2"/>
        <v>1271.1990000000001</v>
      </c>
      <c r="J9" s="421">
        <f t="shared" si="2"/>
        <v>1463.1409999999998</v>
      </c>
      <c r="K9" s="421">
        <f t="shared" si="2"/>
        <v>1493.2930000000001</v>
      </c>
      <c r="L9" s="421">
        <f t="shared" si="2"/>
        <v>1881.241</v>
      </c>
      <c r="M9" s="421">
        <f t="shared" si="2"/>
        <v>2321.962</v>
      </c>
      <c r="N9" s="421">
        <f>+N7+N8</f>
        <v>2794.4090000000001</v>
      </c>
      <c r="O9" s="421">
        <f t="shared" si="2"/>
        <v>3055.4189999999999</v>
      </c>
      <c r="P9" s="421">
        <f t="shared" si="2"/>
        <v>2988.866</v>
      </c>
      <c r="Q9" s="421">
        <f t="shared" si="2"/>
        <v>2940.2689999999993</v>
      </c>
      <c r="R9" s="421">
        <f t="shared" si="2"/>
        <v>2945.2939999999999</v>
      </c>
      <c r="S9" s="421">
        <f t="shared" si="2"/>
        <v>3120.0649999999996</v>
      </c>
      <c r="T9" s="421">
        <f t="shared" si="2"/>
        <v>3475.8020000000001</v>
      </c>
      <c r="U9" s="421">
        <f t="shared" si="2"/>
        <v>3305.8019999999997</v>
      </c>
      <c r="V9" s="421">
        <f>V7+V8</f>
        <v>3282.8670000000002</v>
      </c>
      <c r="W9" s="421">
        <f>W7+W8</f>
        <v>3521.848</v>
      </c>
      <c r="X9" s="421">
        <f>X7+X8</f>
        <v>3609.8650000000002</v>
      </c>
      <c r="Y9" s="421">
        <f>Y7+Y8</f>
        <v>3795.549</v>
      </c>
      <c r="Z9" s="421">
        <f>Z7+Z8</f>
        <v>3846.3313542304768</v>
      </c>
      <c r="AA9" s="895">
        <f>((Z9+((Z17+Z18)))*(1+AA43))+(AA13*Z28)+(AA15*Z28*30%)</f>
        <v>3913.2237388919393</v>
      </c>
      <c r="AB9" s="1828">
        <f>((AA9+((AA17+AA18)))*(1+AB43))+(AB13*AA28)+(AB15*AA28*30%)</f>
        <v>3974.8909109841375</v>
      </c>
      <c r="AC9" s="1828">
        <f>((AB9+((AB17+AB18)))*(1+AC43))+(AC13*AB28)+(AC15*AB28*30%)</f>
        <v>3975.1315261343361</v>
      </c>
      <c r="AD9" s="1828">
        <f>((AC9+((AC17+AC18)))*(1+AD43))+(AD13*AC28)+(AD15*AC28*30%)</f>
        <v>3974.661154859115</v>
      </c>
      <c r="AE9" s="2137">
        <f>((AB9+((AB17+AB18)))*(1+AE43))+(AE13*AB28)</f>
        <v>3934.8909109841375</v>
      </c>
      <c r="AF9" s="425">
        <f>RATE(5,,-S9,X9)*100</f>
        <v>2.9592721596694984</v>
      </c>
      <c r="AG9" s="426" t="s">
        <v>697</v>
      </c>
      <c r="AH9" s="425">
        <f>RATE(6,,-X9,AD9)*100</f>
        <v>1.6174264014819311</v>
      </c>
      <c r="AI9" s="427" t="s">
        <v>697</v>
      </c>
    </row>
    <row r="10" spans="1:35" ht="12.75">
      <c r="A10" s="424" t="s">
        <v>721</v>
      </c>
      <c r="B10" s="428"/>
      <c r="C10" s="429" t="s">
        <v>714</v>
      </c>
      <c r="D10" s="430">
        <f t="shared" ref="D10:U10" si="3">D9/C9-1</f>
        <v>2.3778083764345759E-2</v>
      </c>
      <c r="E10" s="428">
        <f t="shared" si="3"/>
        <v>0.24297802723005835</v>
      </c>
      <c r="F10" s="428">
        <f t="shared" si="3"/>
        <v>0.44831444888381711</v>
      </c>
      <c r="G10" s="428">
        <f t="shared" si="3"/>
        <v>0.41610619469026555</v>
      </c>
      <c r="H10" s="428">
        <f t="shared" si="3"/>
        <v>0.27096733100670112</v>
      </c>
      <c r="I10" s="428">
        <f t="shared" si="3"/>
        <v>0.2019919117000466</v>
      </c>
      <c r="J10" s="428">
        <f t="shared" si="3"/>
        <v>0.15099288152366364</v>
      </c>
      <c r="K10" s="428">
        <f t="shared" si="3"/>
        <v>2.0607719966838633E-2</v>
      </c>
      <c r="L10" s="428">
        <f t="shared" si="3"/>
        <v>0.25979362389028804</v>
      </c>
      <c r="M10" s="428">
        <f t="shared" si="3"/>
        <v>0.23427141977024735</v>
      </c>
      <c r="N10" s="428">
        <f t="shared" si="3"/>
        <v>0.20346887675164371</v>
      </c>
      <c r="O10" s="428">
        <f t="shared" si="3"/>
        <v>9.3404365645830545E-2</v>
      </c>
      <c r="P10" s="428">
        <f t="shared" si="3"/>
        <v>-2.1781955273564746E-2</v>
      </c>
      <c r="Q10" s="428">
        <f t="shared" si="3"/>
        <v>-1.6259343844789553E-2</v>
      </c>
      <c r="R10" s="428">
        <f t="shared" si="3"/>
        <v>1.7090273032842607E-3</v>
      </c>
      <c r="S10" s="428">
        <f t="shared" si="3"/>
        <v>5.9339067678812363E-2</v>
      </c>
      <c r="T10" s="428">
        <f t="shared" si="3"/>
        <v>0.1140158938996465</v>
      </c>
      <c r="U10" s="428">
        <f t="shared" si="3"/>
        <v>-4.890957540159091E-2</v>
      </c>
      <c r="V10" s="428">
        <f t="shared" ref="V10:AA10" si="4">V9/U9-1</f>
        <v>-6.9378020825202613E-3</v>
      </c>
      <c r="W10" s="428">
        <f t="shared" si="4"/>
        <v>7.2796430680865054E-2</v>
      </c>
      <c r="X10" s="428">
        <f t="shared" si="4"/>
        <v>2.4991708898282949E-2</v>
      </c>
      <c r="Y10" s="428">
        <f t="shared" si="4"/>
        <v>5.1437934659606332E-2</v>
      </c>
      <c r="Z10" s="428">
        <f>Z9/Y9-1</f>
        <v>1.3379448988928067E-2</v>
      </c>
      <c r="AA10" s="428">
        <f t="shared" si="4"/>
        <v>1.7391217370778422E-2</v>
      </c>
      <c r="AB10" s="428">
        <f>AB9/AA9-1</f>
        <v>1.5758662475470864E-2</v>
      </c>
      <c r="AC10" s="428">
        <f>AC9/AB9-1</f>
        <v>6.0533774532967044E-5</v>
      </c>
      <c r="AD10" s="428">
        <f>AD9/AC9-1</f>
        <v>-1.1832848098958237E-4</v>
      </c>
      <c r="AE10" s="419"/>
      <c r="AF10" s="404"/>
      <c r="AG10" s="404"/>
      <c r="AH10" s="425"/>
      <c r="AI10" s="418"/>
    </row>
    <row r="11" spans="1:35" ht="12.75">
      <c r="A11" s="400"/>
      <c r="B11" s="400"/>
      <c r="C11" s="400"/>
      <c r="D11" s="400"/>
      <c r="E11" s="400"/>
      <c r="F11" s="400"/>
      <c r="G11" s="400"/>
      <c r="H11" s="400"/>
      <c r="I11" s="400"/>
      <c r="J11" s="400"/>
      <c r="K11" s="400"/>
      <c r="L11" s="400"/>
      <c r="M11" s="400"/>
      <c r="N11" s="400"/>
      <c r="O11" s="639"/>
      <c r="P11" s="639"/>
      <c r="Q11" s="400"/>
      <c r="R11" s="400"/>
      <c r="S11" s="400"/>
      <c r="T11" s="400"/>
      <c r="U11" s="400"/>
      <c r="V11" s="400"/>
      <c r="W11" s="400"/>
      <c r="X11" s="400"/>
      <c r="Y11" s="400"/>
      <c r="Z11" s="400"/>
      <c r="AA11" s="400"/>
      <c r="AB11" s="400"/>
      <c r="AC11" s="400"/>
      <c r="AD11" s="400"/>
      <c r="AE11" s="419"/>
      <c r="AF11" s="404"/>
      <c r="AG11" s="404"/>
      <c r="AH11" s="425"/>
      <c r="AI11" s="418"/>
    </row>
    <row r="12" spans="1:35" ht="12.75">
      <c r="A12" s="424" t="s">
        <v>722</v>
      </c>
      <c r="B12" s="431">
        <f>147+4</f>
        <v>151</v>
      </c>
      <c r="C12" s="411">
        <f t="shared" ref="C12:J12" si="5">B19</f>
        <v>208</v>
      </c>
      <c r="D12" s="432">
        <f>+C19</f>
        <v>277</v>
      </c>
      <c r="E12" s="411">
        <f t="shared" si="5"/>
        <v>303</v>
      </c>
      <c r="F12" s="411">
        <f t="shared" si="5"/>
        <v>332</v>
      </c>
      <c r="G12" s="411">
        <f t="shared" si="5"/>
        <v>386</v>
      </c>
      <c r="H12" s="411">
        <f t="shared" si="5"/>
        <v>466</v>
      </c>
      <c r="I12" s="411">
        <f t="shared" si="5"/>
        <v>554</v>
      </c>
      <c r="J12" s="411">
        <f t="shared" si="5"/>
        <v>678</v>
      </c>
      <c r="K12" s="411">
        <f t="shared" ref="K12:V12" si="6">J19</f>
        <v>753</v>
      </c>
      <c r="L12" s="411">
        <f t="shared" si="6"/>
        <v>805</v>
      </c>
      <c r="M12" s="411">
        <f t="shared" si="6"/>
        <v>846</v>
      </c>
      <c r="N12" s="411">
        <f t="shared" si="6"/>
        <v>869</v>
      </c>
      <c r="O12" s="411">
        <f t="shared" si="6"/>
        <v>911</v>
      </c>
      <c r="P12" s="411">
        <f t="shared" si="6"/>
        <v>987</v>
      </c>
      <c r="Q12" s="411">
        <f t="shared" si="6"/>
        <v>1098</v>
      </c>
      <c r="R12" s="411">
        <f t="shared" si="6"/>
        <v>1103</v>
      </c>
      <c r="S12" s="411">
        <f t="shared" si="6"/>
        <v>1077</v>
      </c>
      <c r="T12" s="411">
        <f t="shared" si="6"/>
        <v>1069</v>
      </c>
      <c r="U12" s="411">
        <f t="shared" si="6"/>
        <v>1044</v>
      </c>
      <c r="V12" s="411">
        <f t="shared" si="6"/>
        <v>1066</v>
      </c>
      <c r="W12" s="411">
        <f t="shared" ref="W12:AD12" si="7">V19</f>
        <v>1056</v>
      </c>
      <c r="X12" s="411">
        <f t="shared" si="7"/>
        <v>1047</v>
      </c>
      <c r="Y12" s="411">
        <f t="shared" si="7"/>
        <v>1050</v>
      </c>
      <c r="Z12" s="411">
        <f t="shared" si="7"/>
        <v>1047</v>
      </c>
      <c r="AA12" s="411">
        <f t="shared" si="7"/>
        <v>1055</v>
      </c>
      <c r="AB12" s="411">
        <f t="shared" si="7"/>
        <v>1060</v>
      </c>
      <c r="AC12" s="411">
        <f t="shared" si="7"/>
        <v>1055</v>
      </c>
      <c r="AD12" s="1859">
        <f t="shared" si="7"/>
        <v>1045</v>
      </c>
      <c r="AE12" s="419"/>
      <c r="AF12" s="404"/>
      <c r="AG12" s="404"/>
      <c r="AH12" s="425"/>
      <c r="AI12" s="418"/>
    </row>
    <row r="13" spans="1:35" ht="12.75">
      <c r="A13" s="435" t="s">
        <v>401</v>
      </c>
      <c r="B13" s="431">
        <f>47+12</f>
        <v>59</v>
      </c>
      <c r="C13" s="431">
        <f>81+15</f>
        <v>96</v>
      </c>
      <c r="D13" s="433">
        <v>36</v>
      </c>
      <c r="E13" s="431">
        <v>36</v>
      </c>
      <c r="F13" s="431">
        <v>56</v>
      </c>
      <c r="G13" s="431">
        <v>80</v>
      </c>
      <c r="H13" s="431">
        <v>90</v>
      </c>
      <c r="I13" s="431">
        <f>81+46</f>
        <v>127</v>
      </c>
      <c r="J13" s="434">
        <v>79</v>
      </c>
      <c r="K13" s="431">
        <v>59</v>
      </c>
      <c r="L13" s="434">
        <v>50</v>
      </c>
      <c r="M13" s="431">
        <v>36</v>
      </c>
      <c r="N13" s="431">
        <v>42</v>
      </c>
      <c r="O13" s="431">
        <v>30</v>
      </c>
      <c r="P13" s="431">
        <v>35</v>
      </c>
      <c r="Q13" s="431">
        <v>8</v>
      </c>
      <c r="R13" s="431">
        <v>14</v>
      </c>
      <c r="S13" s="431">
        <v>11</v>
      </c>
      <c r="T13" s="431">
        <v>16</v>
      </c>
      <c r="U13" s="431">
        <v>64</v>
      </c>
      <c r="V13" s="431">
        <v>60</v>
      </c>
      <c r="W13" s="431">
        <v>22</v>
      </c>
      <c r="X13" s="431">
        <f>12+3+1</f>
        <v>16</v>
      </c>
      <c r="Y13" s="431">
        <v>16</v>
      </c>
      <c r="Z13" s="431">
        <v>18</v>
      </c>
      <c r="AA13" s="431">
        <v>15</v>
      </c>
      <c r="AB13" s="431">
        <v>15</v>
      </c>
      <c r="AC13" s="431">
        <v>10</v>
      </c>
      <c r="AD13" s="434">
        <v>10</v>
      </c>
      <c r="AE13" s="419"/>
      <c r="AF13" s="404"/>
      <c r="AG13" s="404"/>
      <c r="AH13" s="425"/>
      <c r="AI13" s="418"/>
    </row>
    <row r="14" spans="1:35" ht="12.75">
      <c r="A14" s="435" t="s">
        <v>402</v>
      </c>
      <c r="B14" s="431"/>
      <c r="C14" s="431"/>
      <c r="D14" s="433"/>
      <c r="E14" s="431"/>
      <c r="F14" s="431"/>
      <c r="G14" s="431"/>
      <c r="H14" s="431"/>
      <c r="I14" s="431"/>
      <c r="J14" s="434"/>
      <c r="K14" s="431"/>
      <c r="L14" s="434"/>
      <c r="M14" s="431"/>
      <c r="N14" s="431">
        <v>5</v>
      </c>
      <c r="O14" s="434">
        <v>14</v>
      </c>
      <c r="P14" s="434">
        <v>10</v>
      </c>
      <c r="Q14" s="434">
        <v>0</v>
      </c>
      <c r="R14" s="436">
        <v>0</v>
      </c>
      <c r="S14" s="434">
        <v>0</v>
      </c>
      <c r="T14" s="434">
        <v>0</v>
      </c>
      <c r="U14" s="434">
        <v>0</v>
      </c>
      <c r="V14" s="434">
        <v>0</v>
      </c>
      <c r="W14" s="434">
        <v>0</v>
      </c>
      <c r="X14" s="434">
        <v>0</v>
      </c>
      <c r="Y14" s="434">
        <v>0</v>
      </c>
      <c r="Z14" s="434">
        <v>0</v>
      </c>
      <c r="AA14" s="434">
        <v>0</v>
      </c>
      <c r="AB14" s="434">
        <v>0</v>
      </c>
      <c r="AC14" s="434">
        <v>0</v>
      </c>
      <c r="AD14" s="434">
        <v>0</v>
      </c>
      <c r="AE14" s="419"/>
      <c r="AF14" s="404"/>
      <c r="AG14" s="404"/>
      <c r="AH14" s="425"/>
      <c r="AI14" s="418"/>
    </row>
    <row r="15" spans="1:35" ht="12.75">
      <c r="A15" s="435" t="s">
        <v>163</v>
      </c>
      <c r="B15" s="431"/>
      <c r="C15" s="431"/>
      <c r="D15" s="433"/>
      <c r="E15" s="431"/>
      <c r="F15" s="431"/>
      <c r="G15" s="431"/>
      <c r="H15" s="431"/>
      <c r="I15" s="431"/>
      <c r="J15" s="434"/>
      <c r="K15" s="431"/>
      <c r="L15" s="434"/>
      <c r="M15" s="431"/>
      <c r="N15" s="431">
        <v>3</v>
      </c>
      <c r="O15" s="431">
        <v>36</v>
      </c>
      <c r="P15" s="431">
        <v>77</v>
      </c>
      <c r="Q15" s="434">
        <v>21</v>
      </c>
      <c r="R15" s="434">
        <v>11</v>
      </c>
      <c r="S15" s="434">
        <v>10</v>
      </c>
      <c r="T15" s="434">
        <v>0</v>
      </c>
      <c r="U15" s="434">
        <v>0</v>
      </c>
      <c r="V15" s="434">
        <v>0</v>
      </c>
      <c r="W15" s="434">
        <v>1</v>
      </c>
      <c r="X15" s="434">
        <v>13</v>
      </c>
      <c r="Y15" s="434">
        <v>15</v>
      </c>
      <c r="Z15" s="434">
        <v>15</v>
      </c>
      <c r="AA15" s="434">
        <v>20</v>
      </c>
      <c r="AB15" s="434">
        <v>20</v>
      </c>
      <c r="AC15" s="434">
        <v>20</v>
      </c>
      <c r="AD15" s="434">
        <v>20</v>
      </c>
      <c r="AE15" s="419"/>
      <c r="AF15" s="404"/>
      <c r="AG15" s="404"/>
      <c r="AH15" s="425"/>
      <c r="AI15" s="418"/>
    </row>
    <row r="16" spans="1:35" ht="12.75">
      <c r="A16" s="435" t="s">
        <v>666</v>
      </c>
      <c r="B16" s="431"/>
      <c r="C16" s="431"/>
      <c r="D16" s="433"/>
      <c r="E16" s="431"/>
      <c r="F16" s="431"/>
      <c r="G16" s="431"/>
      <c r="H16" s="431"/>
      <c r="I16" s="431"/>
      <c r="J16" s="434"/>
      <c r="K16" s="431"/>
      <c r="L16" s="434"/>
      <c r="M16" s="431"/>
      <c r="N16" s="431"/>
      <c r="O16" s="431"/>
      <c r="P16" s="431"/>
      <c r="Q16" s="434"/>
      <c r="R16" s="434">
        <v>9</v>
      </c>
      <c r="S16" s="434">
        <v>12</v>
      </c>
      <c r="T16" s="434">
        <v>1</v>
      </c>
      <c r="U16" s="434">
        <v>0</v>
      </c>
      <c r="V16" s="434">
        <v>0</v>
      </c>
      <c r="W16" s="434">
        <v>0</v>
      </c>
      <c r="X16" s="434">
        <v>0</v>
      </c>
      <c r="Y16" s="434">
        <v>0</v>
      </c>
      <c r="Z16" s="434">
        <v>0</v>
      </c>
      <c r="AA16" s="434">
        <v>0</v>
      </c>
      <c r="AB16" s="434">
        <v>0</v>
      </c>
      <c r="AC16" s="434">
        <v>0</v>
      </c>
      <c r="AD16" s="434">
        <v>0</v>
      </c>
      <c r="AE16" s="419"/>
      <c r="AF16" s="404"/>
      <c r="AG16" s="404"/>
      <c r="AH16" s="425"/>
      <c r="AI16" s="418"/>
    </row>
    <row r="17" spans="1:35" ht="12.75">
      <c r="A17" s="435" t="s">
        <v>295</v>
      </c>
      <c r="B17" s="436">
        <v>-2</v>
      </c>
      <c r="C17" s="436">
        <v>-7</v>
      </c>
      <c r="D17" s="437">
        <v>-10</v>
      </c>
      <c r="E17" s="436">
        <v>-7</v>
      </c>
      <c r="F17" s="436">
        <v>-2</v>
      </c>
      <c r="G17" s="436">
        <v>0</v>
      </c>
      <c r="H17" s="436">
        <v>-2</v>
      </c>
      <c r="I17" s="436">
        <v>-3</v>
      </c>
      <c r="J17" s="438">
        <v>-4</v>
      </c>
      <c r="K17" s="436">
        <v>-7</v>
      </c>
      <c r="L17" s="438">
        <v>-9</v>
      </c>
      <c r="M17" s="436">
        <v>-13</v>
      </c>
      <c r="N17" s="438">
        <v>-8</v>
      </c>
      <c r="O17" s="436">
        <v>-4</v>
      </c>
      <c r="P17" s="436">
        <v>-11</v>
      </c>
      <c r="Q17" s="436">
        <f>-9+-15</f>
        <v>-24</v>
      </c>
      <c r="R17" s="436">
        <f>-23-28</f>
        <v>-51</v>
      </c>
      <c r="S17" s="436">
        <f>-18-11</f>
        <v>-29</v>
      </c>
      <c r="T17" s="438">
        <v>-34</v>
      </c>
      <c r="U17" s="438">
        <v>-13</v>
      </c>
      <c r="V17" s="436">
        <v>-49</v>
      </c>
      <c r="W17" s="436">
        <v>-27</v>
      </c>
      <c r="X17" s="436">
        <v>-18</v>
      </c>
      <c r="Y17" s="436">
        <v>-26</v>
      </c>
      <c r="Z17" s="436">
        <v>-15</v>
      </c>
      <c r="AA17" s="436">
        <v>-20</v>
      </c>
      <c r="AB17" s="436">
        <v>-20</v>
      </c>
      <c r="AC17" s="436">
        <v>-20</v>
      </c>
      <c r="AD17" s="438">
        <v>-20</v>
      </c>
      <c r="AE17" s="419"/>
      <c r="AF17" s="404"/>
      <c r="AG17" s="404"/>
      <c r="AH17" s="425"/>
      <c r="AI17" s="418"/>
    </row>
    <row r="18" spans="1:35" ht="12.75">
      <c r="A18" s="435" t="s">
        <v>296</v>
      </c>
      <c r="B18" s="436"/>
      <c r="C18" s="436"/>
      <c r="D18" s="437"/>
      <c r="E18" s="436"/>
      <c r="F18" s="436"/>
      <c r="G18" s="436"/>
      <c r="H18" s="436"/>
      <c r="I18" s="436"/>
      <c r="J18" s="438"/>
      <c r="K18" s="436"/>
      <c r="L18" s="438"/>
      <c r="M18" s="436">
        <v>0</v>
      </c>
      <c r="N18" s="436">
        <v>0</v>
      </c>
      <c r="O18" s="436">
        <v>0</v>
      </c>
      <c r="P18" s="436">
        <v>0</v>
      </c>
      <c r="Q18" s="436">
        <v>0</v>
      </c>
      <c r="R18" s="436">
        <v>0</v>
      </c>
      <c r="S18" s="436">
        <v>0</v>
      </c>
      <c r="T18" s="438">
        <v>-7</v>
      </c>
      <c r="U18" s="438">
        <v>-29</v>
      </c>
      <c r="V18" s="436">
        <v>-21</v>
      </c>
      <c r="W18" s="436">
        <v>-5</v>
      </c>
      <c r="X18" s="436">
        <v>-8</v>
      </c>
      <c r="Y18" s="436">
        <v>-8</v>
      </c>
      <c r="Z18" s="436">
        <v>-10</v>
      </c>
      <c r="AA18" s="436">
        <v>-10</v>
      </c>
      <c r="AB18" s="436">
        <v>-20</v>
      </c>
      <c r="AC18" s="436">
        <v>-20</v>
      </c>
      <c r="AD18" s="438">
        <v>-20</v>
      </c>
      <c r="AE18" s="419"/>
      <c r="AF18" s="404"/>
      <c r="AG18" s="404"/>
      <c r="AH18" s="425"/>
      <c r="AI18" s="418"/>
    </row>
    <row r="19" spans="1:35" ht="12.75">
      <c r="A19" s="424" t="s">
        <v>724</v>
      </c>
      <c r="B19" s="411">
        <f>B12+B13+B17</f>
        <v>208</v>
      </c>
      <c r="C19" s="431">
        <v>277</v>
      </c>
      <c r="D19" s="411">
        <f t="shared" ref="D19:K19" si="8">D12+D13+D17</f>
        <v>303</v>
      </c>
      <c r="E19" s="411">
        <f t="shared" si="8"/>
        <v>332</v>
      </c>
      <c r="F19" s="411">
        <f t="shared" si="8"/>
        <v>386</v>
      </c>
      <c r="G19" s="411">
        <f t="shared" si="8"/>
        <v>466</v>
      </c>
      <c r="H19" s="411">
        <f t="shared" si="8"/>
        <v>554</v>
      </c>
      <c r="I19" s="411">
        <f t="shared" si="8"/>
        <v>678</v>
      </c>
      <c r="J19" s="411">
        <f t="shared" si="8"/>
        <v>753</v>
      </c>
      <c r="K19" s="411">
        <f t="shared" si="8"/>
        <v>805</v>
      </c>
      <c r="L19" s="411">
        <f>L12+L13+L17</f>
        <v>846</v>
      </c>
      <c r="M19" s="411">
        <f t="shared" ref="M19:R19" si="9">M12+M13+M17+M14+M15+M18</f>
        <v>869</v>
      </c>
      <c r="N19" s="411">
        <f t="shared" si="9"/>
        <v>911</v>
      </c>
      <c r="O19" s="411">
        <f t="shared" si="9"/>
        <v>987</v>
      </c>
      <c r="P19" s="411">
        <f t="shared" si="9"/>
        <v>1098</v>
      </c>
      <c r="Q19" s="411">
        <f t="shared" si="9"/>
        <v>1103</v>
      </c>
      <c r="R19" s="411">
        <f t="shared" si="9"/>
        <v>1077</v>
      </c>
      <c r="S19" s="411">
        <f t="shared" ref="S19:Z19" si="10">S12+S13+S17+S14+S15+S18</f>
        <v>1069</v>
      </c>
      <c r="T19" s="411">
        <f t="shared" si="10"/>
        <v>1044</v>
      </c>
      <c r="U19" s="411">
        <f t="shared" si="10"/>
        <v>1066</v>
      </c>
      <c r="V19" s="411">
        <f t="shared" si="10"/>
        <v>1056</v>
      </c>
      <c r="W19" s="411">
        <f>W12+W13+W17+W14+W15+W18</f>
        <v>1047</v>
      </c>
      <c r="X19" s="1859">
        <f>X12+X13+X17+X14+X15+X18</f>
        <v>1050</v>
      </c>
      <c r="Y19" s="411">
        <f t="shared" si="10"/>
        <v>1047</v>
      </c>
      <c r="Z19" s="411">
        <f t="shared" si="10"/>
        <v>1055</v>
      </c>
      <c r="AA19" s="411">
        <f>AA12+AA13+AA17+AA14+AA15+AA18</f>
        <v>1060</v>
      </c>
      <c r="AB19" s="411">
        <f>AB12+AB13+AB17+AB14+AB15+AB18</f>
        <v>1055</v>
      </c>
      <c r="AC19" s="411">
        <f>AC12+AC13+AC17+AC14+AC15+AC18</f>
        <v>1045</v>
      </c>
      <c r="AD19" s="411">
        <f>AD12+AD13+AD17+AD14+AD15+AD18</f>
        <v>1035</v>
      </c>
      <c r="AE19" s="419"/>
      <c r="AF19" s="425">
        <f>RATE(5,,-S19,X19)*100</f>
        <v>-0.35802690724976827</v>
      </c>
      <c r="AG19" s="426" t="s">
        <v>697</v>
      </c>
      <c r="AH19" s="425">
        <f>RATE(6,,-X19,AD19)*100</f>
        <v>-0.23952497091480887</v>
      </c>
      <c r="AI19" s="427" t="s">
        <v>697</v>
      </c>
    </row>
    <row r="20" spans="1:35" ht="12.75">
      <c r="A20" s="424" t="s">
        <v>725</v>
      </c>
      <c r="B20" s="439">
        <f>(+B19+B12)/2</f>
        <v>179.5</v>
      </c>
      <c r="C20" s="439">
        <f>(+C19+C12)/2</f>
        <v>242.5</v>
      </c>
      <c r="D20" s="439">
        <f>(+D19+D12)/2</f>
        <v>290</v>
      </c>
      <c r="E20" s="439">
        <f>(+E19+E12)/2</f>
        <v>317.5</v>
      </c>
      <c r="F20" s="439">
        <f>(+F19+F12)/2</f>
        <v>359</v>
      </c>
      <c r="G20" s="439">
        <f t="shared" ref="G20:T20" si="11">(+G19+G12)/2</f>
        <v>426</v>
      </c>
      <c r="H20" s="439">
        <f t="shared" si="11"/>
        <v>510</v>
      </c>
      <c r="I20" s="439">
        <f t="shared" si="11"/>
        <v>616</v>
      </c>
      <c r="J20" s="439">
        <f t="shared" si="11"/>
        <v>715.5</v>
      </c>
      <c r="K20" s="439">
        <f t="shared" si="11"/>
        <v>779</v>
      </c>
      <c r="L20" s="439">
        <f t="shared" si="11"/>
        <v>825.5</v>
      </c>
      <c r="M20" s="439">
        <f t="shared" si="11"/>
        <v>857.5</v>
      </c>
      <c r="N20" s="439">
        <f>(+N19+N12)/2</f>
        <v>890</v>
      </c>
      <c r="O20" s="439">
        <f>(+O19+O12)/2</f>
        <v>949</v>
      </c>
      <c r="P20" s="439">
        <f t="shared" si="11"/>
        <v>1042.5</v>
      </c>
      <c r="Q20" s="439">
        <f t="shared" si="11"/>
        <v>1100.5</v>
      </c>
      <c r="R20" s="439">
        <f t="shared" si="11"/>
        <v>1090</v>
      </c>
      <c r="S20" s="439">
        <f t="shared" si="11"/>
        <v>1073</v>
      </c>
      <c r="T20" s="439">
        <f t="shared" si="11"/>
        <v>1056.5</v>
      </c>
      <c r="U20" s="439">
        <f t="shared" ref="U20:Z20" si="12">(+U19+U12)/2</f>
        <v>1055</v>
      </c>
      <c r="V20" s="439">
        <f t="shared" si="12"/>
        <v>1061</v>
      </c>
      <c r="W20" s="439">
        <f>(+W19+W12)/2</f>
        <v>1051.5</v>
      </c>
      <c r="X20" s="439">
        <f t="shared" si="12"/>
        <v>1048.5</v>
      </c>
      <c r="Y20" s="439">
        <f t="shared" si="12"/>
        <v>1048.5</v>
      </c>
      <c r="Z20" s="439">
        <f t="shared" si="12"/>
        <v>1051</v>
      </c>
      <c r="AA20" s="439">
        <f>(+AA19+AA12)/2</f>
        <v>1057.5</v>
      </c>
      <c r="AB20" s="439">
        <f>(+AB19+AB12)/2</f>
        <v>1057.5</v>
      </c>
      <c r="AC20" s="439">
        <f>(+AC19+AC12)/2</f>
        <v>1050</v>
      </c>
      <c r="AD20" s="439">
        <f>(+AD19+AD12)/2</f>
        <v>1040</v>
      </c>
      <c r="AE20" s="440"/>
      <c r="AF20" s="441"/>
      <c r="AG20" s="441"/>
      <c r="AH20" s="441"/>
      <c r="AI20" s="442"/>
    </row>
    <row r="21" spans="1:35" ht="12.75">
      <c r="A21" s="424" t="s">
        <v>726</v>
      </c>
      <c r="B21" s="428"/>
      <c r="C21" s="428">
        <f>(C20/B20-1)</f>
        <v>0.35097493036211702</v>
      </c>
      <c r="D21" s="428">
        <f>(D20/C20-1)</f>
        <v>0.19587628865979378</v>
      </c>
      <c r="E21" s="428">
        <f>(E20/D20-1)</f>
        <v>9.4827586206896575E-2</v>
      </c>
      <c r="F21" s="428">
        <f>(F20/E20-1)</f>
        <v>0.13070866141732274</v>
      </c>
      <c r="G21" s="428">
        <f t="shared" ref="G21:W21" si="13">(G20/F20-1)</f>
        <v>0.18662952646239561</v>
      </c>
      <c r="H21" s="428">
        <f t="shared" si="13"/>
        <v>0.19718309859154926</v>
      </c>
      <c r="I21" s="428">
        <f t="shared" si="13"/>
        <v>0.20784313725490189</v>
      </c>
      <c r="J21" s="428">
        <f t="shared" si="13"/>
        <v>0.16152597402597402</v>
      </c>
      <c r="K21" s="428">
        <f t="shared" si="13"/>
        <v>8.8749126484975571E-2</v>
      </c>
      <c r="L21" s="428">
        <f t="shared" si="13"/>
        <v>5.9691912708600858E-2</v>
      </c>
      <c r="M21" s="428">
        <f t="shared" si="13"/>
        <v>3.8764385221078168E-2</v>
      </c>
      <c r="N21" s="428">
        <f t="shared" si="13"/>
        <v>3.790087463556846E-2</v>
      </c>
      <c r="O21" s="428">
        <f t="shared" si="13"/>
        <v>6.6292134831460681E-2</v>
      </c>
      <c r="P21" s="428">
        <f t="shared" si="13"/>
        <v>9.852476290832457E-2</v>
      </c>
      <c r="Q21" s="428">
        <f t="shared" si="13"/>
        <v>5.5635491606714549E-2</v>
      </c>
      <c r="R21" s="428">
        <f t="shared" si="13"/>
        <v>-9.5411176737846271E-3</v>
      </c>
      <c r="S21" s="428">
        <f t="shared" si="13"/>
        <v>-1.5596330275229331E-2</v>
      </c>
      <c r="T21" s="428">
        <f t="shared" si="13"/>
        <v>-1.5377446411929174E-2</v>
      </c>
      <c r="U21" s="428">
        <f t="shared" si="13"/>
        <v>-1.4197823000473564E-3</v>
      </c>
      <c r="V21" s="428">
        <f t="shared" si="13"/>
        <v>5.687203791469253E-3</v>
      </c>
      <c r="W21" s="428">
        <f t="shared" si="13"/>
        <v>-8.9538171536286404E-3</v>
      </c>
      <c r="X21" s="428">
        <f t="shared" ref="X21:AD21" si="14">(X20/W20-1)</f>
        <v>-2.8530670470755526E-3</v>
      </c>
      <c r="Y21" s="428">
        <f t="shared" si="14"/>
        <v>0</v>
      </c>
      <c r="Z21" s="428">
        <f t="shared" si="14"/>
        <v>2.384358607534498E-3</v>
      </c>
      <c r="AA21" s="428">
        <f t="shared" si="14"/>
        <v>6.1845861084681708E-3</v>
      </c>
      <c r="AB21" s="428">
        <f t="shared" si="14"/>
        <v>0</v>
      </c>
      <c r="AC21" s="428">
        <f t="shared" si="14"/>
        <v>-7.0921985815602939E-3</v>
      </c>
      <c r="AD21" s="428">
        <f t="shared" si="14"/>
        <v>-9.52380952380949E-3</v>
      </c>
      <c r="AE21" s="419"/>
      <c r="AF21" s="404"/>
      <c r="AG21" s="404"/>
      <c r="AH21" s="425"/>
      <c r="AI21" s="418"/>
    </row>
    <row r="22" spans="1:35" ht="12.75">
      <c r="A22" s="424"/>
      <c r="B22" s="428"/>
      <c r="C22" s="428"/>
      <c r="D22" s="428"/>
      <c r="E22" s="428"/>
      <c r="F22" s="428"/>
      <c r="G22" s="428"/>
      <c r="H22" s="428"/>
      <c r="I22" s="428"/>
      <c r="J22" s="428"/>
      <c r="K22" s="428"/>
      <c r="L22" s="428"/>
      <c r="M22" s="428"/>
      <c r="N22" s="428"/>
      <c r="O22" s="428"/>
      <c r="P22" s="411"/>
      <c r="Q22" s="434"/>
      <c r="R22" s="434"/>
      <c r="S22" s="434"/>
      <c r="T22" s="434"/>
      <c r="U22" s="434"/>
      <c r="V22" s="434"/>
      <c r="W22" s="434"/>
      <c r="X22" s="428"/>
      <c r="Y22" s="428"/>
      <c r="Z22" s="428"/>
      <c r="AA22" s="428"/>
      <c r="AB22" s="428"/>
      <c r="AC22" s="428"/>
      <c r="AD22" s="428"/>
      <c r="AE22" s="419"/>
      <c r="AF22" s="404"/>
      <c r="AG22" s="404"/>
      <c r="AH22" s="425"/>
      <c r="AI22" s="418"/>
    </row>
    <row r="23" spans="1:35" ht="12.75">
      <c r="A23" s="568" t="s">
        <v>161</v>
      </c>
      <c r="B23" s="569"/>
      <c r="C23" s="569"/>
      <c r="D23" s="569"/>
      <c r="E23" s="569"/>
      <c r="F23" s="569"/>
      <c r="G23" s="569"/>
      <c r="H23" s="569"/>
      <c r="I23" s="569"/>
      <c r="J23" s="569"/>
      <c r="K23" s="569"/>
      <c r="L23" s="569"/>
      <c r="M23" s="569"/>
      <c r="N23" s="569">
        <f>+N12+N13+N17</f>
        <v>903</v>
      </c>
      <c r="O23" s="569">
        <f>+N23+O13+O17</f>
        <v>929</v>
      </c>
      <c r="P23" s="569">
        <f>+O23+P13+P17+1</f>
        <v>954</v>
      </c>
      <c r="Q23" s="569">
        <f>+P23+Q13+Q17</f>
        <v>938</v>
      </c>
      <c r="R23" s="569">
        <f>+Q23+R13+R17+28</f>
        <v>929</v>
      </c>
      <c r="S23" s="569">
        <f>+R23+S13+S17</f>
        <v>911</v>
      </c>
      <c r="T23" s="569">
        <f t="shared" ref="T23:AD23" si="15">+S23+T13+T17</f>
        <v>893</v>
      </c>
      <c r="U23" s="569">
        <f t="shared" si="15"/>
        <v>944</v>
      </c>
      <c r="V23" s="569">
        <f t="shared" si="15"/>
        <v>955</v>
      </c>
      <c r="W23" s="569">
        <f t="shared" si="15"/>
        <v>950</v>
      </c>
      <c r="X23" s="569">
        <f t="shared" si="15"/>
        <v>948</v>
      </c>
      <c r="Y23" s="569">
        <f>+X23+Y13+Y17</f>
        <v>938</v>
      </c>
      <c r="Z23" s="569">
        <f t="shared" si="15"/>
        <v>941</v>
      </c>
      <c r="AA23" s="569">
        <f t="shared" si="15"/>
        <v>936</v>
      </c>
      <c r="AB23" s="569">
        <f t="shared" si="15"/>
        <v>931</v>
      </c>
      <c r="AC23" s="569">
        <f t="shared" si="15"/>
        <v>921</v>
      </c>
      <c r="AD23" s="569">
        <f t="shared" si="15"/>
        <v>911</v>
      </c>
      <c r="AE23" s="570"/>
      <c r="AF23" s="571"/>
      <c r="AG23" s="571"/>
      <c r="AH23" s="572"/>
      <c r="AI23" s="573"/>
    </row>
    <row r="24" spans="1:35" ht="12.75">
      <c r="A24" s="568" t="s">
        <v>162</v>
      </c>
      <c r="B24" s="569"/>
      <c r="C24" s="569"/>
      <c r="D24" s="569"/>
      <c r="E24" s="569"/>
      <c r="F24" s="569"/>
      <c r="G24" s="569"/>
      <c r="H24" s="569"/>
      <c r="I24" s="569"/>
      <c r="J24" s="569"/>
      <c r="K24" s="569"/>
      <c r="L24" s="569"/>
      <c r="M24" s="569"/>
      <c r="N24" s="569">
        <f>+N14</f>
        <v>5</v>
      </c>
      <c r="O24" s="569">
        <f>+N24+O14</f>
        <v>19</v>
      </c>
      <c r="P24" s="569">
        <f>+O24+P14-1</f>
        <v>28</v>
      </c>
      <c r="Q24" s="569">
        <f>+P24+Q14</f>
        <v>28</v>
      </c>
      <c r="R24" s="569">
        <f>+Q24+R14-28</f>
        <v>0</v>
      </c>
      <c r="S24" s="569">
        <f t="shared" ref="S24:AD24" si="16">+R24+S14</f>
        <v>0</v>
      </c>
      <c r="T24" s="569">
        <f t="shared" si="16"/>
        <v>0</v>
      </c>
      <c r="U24" s="569">
        <f t="shared" si="16"/>
        <v>0</v>
      </c>
      <c r="V24" s="569">
        <f t="shared" si="16"/>
        <v>0</v>
      </c>
      <c r="W24" s="569">
        <f t="shared" si="16"/>
        <v>0</v>
      </c>
      <c r="X24" s="569">
        <f t="shared" si="16"/>
        <v>0</v>
      </c>
      <c r="Y24" s="569">
        <f t="shared" si="16"/>
        <v>0</v>
      </c>
      <c r="Z24" s="569">
        <f t="shared" si="16"/>
        <v>0</v>
      </c>
      <c r="AA24" s="569">
        <f t="shared" si="16"/>
        <v>0</v>
      </c>
      <c r="AB24" s="569">
        <f t="shared" si="16"/>
        <v>0</v>
      </c>
      <c r="AC24" s="569">
        <f t="shared" si="16"/>
        <v>0</v>
      </c>
      <c r="AD24" s="569">
        <f t="shared" si="16"/>
        <v>0</v>
      </c>
      <c r="AE24" s="570"/>
      <c r="AF24" s="571"/>
      <c r="AG24" s="571"/>
      <c r="AH24" s="572"/>
      <c r="AI24" s="573"/>
    </row>
    <row r="25" spans="1:35" ht="12.75">
      <c r="A25" s="568" t="s">
        <v>164</v>
      </c>
      <c r="B25" s="569"/>
      <c r="C25" s="569"/>
      <c r="D25" s="569"/>
      <c r="E25" s="569"/>
      <c r="F25" s="569"/>
      <c r="G25" s="569"/>
      <c r="H25" s="569"/>
      <c r="I25" s="569"/>
      <c r="J25" s="569"/>
      <c r="K25" s="569"/>
      <c r="L25" s="569"/>
      <c r="M25" s="569"/>
      <c r="N25" s="569">
        <f>+N15</f>
        <v>3</v>
      </c>
      <c r="O25" s="569">
        <f>+N25+O15+O18</f>
        <v>39</v>
      </c>
      <c r="P25" s="569">
        <f t="shared" ref="P25:AD25" si="17">+O25+P15+P18</f>
        <v>116</v>
      </c>
      <c r="Q25" s="569">
        <f t="shared" si="17"/>
        <v>137</v>
      </c>
      <c r="R25" s="569">
        <f t="shared" si="17"/>
        <v>148</v>
      </c>
      <c r="S25" s="569">
        <f t="shared" si="17"/>
        <v>158</v>
      </c>
      <c r="T25" s="569">
        <f t="shared" si="17"/>
        <v>151</v>
      </c>
      <c r="U25" s="569">
        <f>+T25+U15+U18</f>
        <v>122</v>
      </c>
      <c r="V25" s="569">
        <f>+U25+V15+V18</f>
        <v>101</v>
      </c>
      <c r="W25" s="569">
        <f>+V25+W15+W18</f>
        <v>97</v>
      </c>
      <c r="X25" s="569">
        <f t="shared" si="17"/>
        <v>102</v>
      </c>
      <c r="Y25" s="569">
        <f t="shared" si="17"/>
        <v>109</v>
      </c>
      <c r="Z25" s="569">
        <f t="shared" si="17"/>
        <v>114</v>
      </c>
      <c r="AA25" s="569">
        <f t="shared" si="17"/>
        <v>124</v>
      </c>
      <c r="AB25" s="569">
        <f t="shared" si="17"/>
        <v>124</v>
      </c>
      <c r="AC25" s="569">
        <f t="shared" si="17"/>
        <v>124</v>
      </c>
      <c r="AD25" s="569">
        <f t="shared" si="17"/>
        <v>124</v>
      </c>
      <c r="AE25" s="570"/>
      <c r="AF25" s="571"/>
      <c r="AG25" s="571"/>
      <c r="AH25" s="572"/>
      <c r="AI25" s="573"/>
    </row>
    <row r="26" spans="1:35" ht="12.75">
      <c r="A26" s="568" t="s">
        <v>523</v>
      </c>
      <c r="B26" s="569"/>
      <c r="C26" s="569"/>
      <c r="D26" s="569"/>
      <c r="E26" s="569"/>
      <c r="F26" s="569"/>
      <c r="G26" s="569"/>
      <c r="H26" s="569"/>
      <c r="I26" s="569"/>
      <c r="J26" s="569"/>
      <c r="K26" s="569"/>
      <c r="L26" s="569"/>
      <c r="M26" s="569"/>
      <c r="N26" s="569"/>
      <c r="O26" s="569"/>
      <c r="P26" s="569"/>
      <c r="Q26" s="569"/>
      <c r="R26" s="569">
        <f t="shared" ref="R26:Y26" si="18">Q26+R16</f>
        <v>9</v>
      </c>
      <c r="S26" s="569">
        <f t="shared" si="18"/>
        <v>21</v>
      </c>
      <c r="T26" s="569">
        <f>S26+T16-22</f>
        <v>0</v>
      </c>
      <c r="U26" s="569">
        <f t="shared" si="18"/>
        <v>0</v>
      </c>
      <c r="V26" s="569">
        <f t="shared" si="18"/>
        <v>0</v>
      </c>
      <c r="W26" s="569">
        <f>V26+W16</f>
        <v>0</v>
      </c>
      <c r="X26" s="569">
        <f>W26+X16</f>
        <v>0</v>
      </c>
      <c r="Y26" s="569">
        <f t="shared" si="18"/>
        <v>0</v>
      </c>
      <c r="Z26" s="569">
        <f>Y26+Z16</f>
        <v>0</v>
      </c>
      <c r="AA26" s="569">
        <f>Z26+AA16</f>
        <v>0</v>
      </c>
      <c r="AB26" s="569">
        <f>AA26+AB16</f>
        <v>0</v>
      </c>
      <c r="AC26" s="569">
        <f>AB26+AC16</f>
        <v>0</v>
      </c>
      <c r="AD26" s="569">
        <f>AC26+AD16</f>
        <v>0</v>
      </c>
      <c r="AE26" s="570"/>
      <c r="AF26" s="571"/>
      <c r="AG26" s="571"/>
      <c r="AH26" s="572"/>
      <c r="AI26" s="573"/>
    </row>
    <row r="27" spans="1:35" ht="12.75">
      <c r="A27" s="645" t="s">
        <v>89</v>
      </c>
      <c r="B27" s="645"/>
      <c r="C27" s="645"/>
      <c r="D27" s="646"/>
      <c r="E27" s="646"/>
      <c r="F27" s="645"/>
      <c r="G27" s="645"/>
      <c r="H27" s="645"/>
      <c r="I27" s="645"/>
      <c r="J27" s="645"/>
      <c r="K27" s="645"/>
      <c r="L27" s="645"/>
      <c r="M27" s="645"/>
      <c r="N27" s="645"/>
      <c r="O27" s="645">
        <v>53</v>
      </c>
      <c r="P27" s="669">
        <v>31</v>
      </c>
      <c r="Q27" s="639">
        <v>22</v>
      </c>
      <c r="R27" s="639">
        <v>29</v>
      </c>
      <c r="S27" s="639">
        <v>106</v>
      </c>
      <c r="T27" s="639">
        <v>48</v>
      </c>
      <c r="U27" s="639">
        <v>50</v>
      </c>
      <c r="V27" s="639">
        <v>44</v>
      </c>
      <c r="W27" s="639">
        <v>28</v>
      </c>
      <c r="X27" s="639">
        <v>63</v>
      </c>
      <c r="Y27" s="639">
        <v>48</v>
      </c>
      <c r="Z27" s="639">
        <v>65</v>
      </c>
      <c r="AA27" s="639">
        <v>0</v>
      </c>
      <c r="AB27" s="639">
        <v>0</v>
      </c>
      <c r="AC27" s="639">
        <v>0</v>
      </c>
      <c r="AD27" s="639">
        <v>0</v>
      </c>
      <c r="AE27" s="419"/>
      <c r="AF27" s="404"/>
      <c r="AG27" s="404"/>
      <c r="AH27" s="425"/>
      <c r="AI27" s="418"/>
    </row>
    <row r="28" spans="1:35" ht="12.75">
      <c r="A28" s="424" t="s">
        <v>727</v>
      </c>
      <c r="B28" s="443">
        <f t="shared" ref="B28:G28" si="19">B9/B20</f>
        <v>1.1086350974930361</v>
      </c>
      <c r="C28" s="443">
        <f t="shared" si="19"/>
        <v>1.3147340206185567</v>
      </c>
      <c r="D28" s="443">
        <f t="shared" si="19"/>
        <v>1.1255310344827587</v>
      </c>
      <c r="E28" s="443">
        <f t="shared" si="19"/>
        <v>1.2778362204724409</v>
      </c>
      <c r="F28" s="443">
        <f t="shared" si="19"/>
        <v>1.6367688022284124</v>
      </c>
      <c r="G28" s="443">
        <f t="shared" si="19"/>
        <v>1.9532957746478874</v>
      </c>
      <c r="H28" s="443">
        <f t="shared" ref="H28:M28" si="20">(H9-H8)/H20</f>
        <v>2.0530921568627449</v>
      </c>
      <c r="I28" s="443">
        <f>(I9-I8)/I20</f>
        <v>2.0116866883116886</v>
      </c>
      <c r="J28" s="443">
        <f t="shared" si="20"/>
        <v>1.9808399720475192</v>
      </c>
      <c r="K28" s="443">
        <f t="shared" si="20"/>
        <v>1.8509537869062902</v>
      </c>
      <c r="L28" s="443">
        <f t="shared" si="20"/>
        <v>2.2013821926105392</v>
      </c>
      <c r="M28" s="443">
        <f t="shared" si="20"/>
        <v>2.5853784256559766</v>
      </c>
      <c r="N28" s="443">
        <f t="shared" ref="N28:S28" si="21">(N9-N8)/N20</f>
        <v>2.9651786516853931</v>
      </c>
      <c r="O28" s="443">
        <f t="shared" si="21"/>
        <v>2.9630337197049523</v>
      </c>
      <c r="P28" s="443">
        <f t="shared" si="21"/>
        <v>2.5725333333333333</v>
      </c>
      <c r="Q28" s="443">
        <f t="shared" si="21"/>
        <v>2.3682589731940022</v>
      </c>
      <c r="R28" s="443">
        <f t="shared" si="21"/>
        <v>2.3956825688073393</v>
      </c>
      <c r="S28" s="443">
        <f t="shared" si="21"/>
        <v>2.548610338303821</v>
      </c>
      <c r="T28" s="443">
        <f t="shared" ref="T28:Y28" si="22">(T9-T8)/T20</f>
        <v>2.8381373139990536</v>
      </c>
      <c r="U28" s="443">
        <f t="shared" si="22"/>
        <v>2.6202352539761136</v>
      </c>
      <c r="V28" s="443">
        <f>(V9-V8)/V20</f>
        <v>2.5505781663388127</v>
      </c>
      <c r="W28" s="443">
        <f>(W9-W8)/W20</f>
        <v>2.7184453838419147</v>
      </c>
      <c r="X28" s="443">
        <f>(X9-X8)/X20</f>
        <v>2.6787284709474259</v>
      </c>
      <c r="Y28" s="443">
        <f t="shared" si="22"/>
        <v>2.6580910186155617</v>
      </c>
      <c r="Z28" s="443">
        <f>(Z9-Z8)/Z20</f>
        <v>2.5561462437694153</v>
      </c>
      <c r="AA28" s="443">
        <f>(AA9-AA8)/AA20</f>
        <v>2.5159492715846929</v>
      </c>
      <c r="AB28" s="443">
        <f>(AB9-AB8)/AB20</f>
        <v>2.5150384468874272</v>
      </c>
      <c r="AC28" s="443">
        <f>(AC9-AC8)/AC20</f>
        <v>2.4706017952986845</v>
      </c>
      <c r="AD28" s="443">
        <f>(AD9-AD8)/AD20</f>
        <v>2.4275110882065976</v>
      </c>
      <c r="AE28" s="419"/>
      <c r="AF28" s="404"/>
      <c r="AG28" s="404"/>
      <c r="AH28" s="425"/>
      <c r="AI28" s="418"/>
    </row>
    <row r="29" spans="1:35" ht="12.75">
      <c r="A29" s="424" t="s">
        <v>721</v>
      </c>
      <c r="B29" s="444"/>
      <c r="C29" s="444">
        <f>C28/B28-1</f>
        <v>0.18590330000518063</v>
      </c>
      <c r="D29" s="445" t="s">
        <v>714</v>
      </c>
      <c r="E29" s="444">
        <f>E28/D28-1</f>
        <v>0.13531851306052567</v>
      </c>
      <c r="F29" s="444">
        <f>F28/E28-1</f>
        <v>0.28089091231368224</v>
      </c>
      <c r="G29" s="444">
        <f t="shared" ref="G29:W29" si="23">G28/F28-1</f>
        <v>0.19338526735635053</v>
      </c>
      <c r="H29" s="444">
        <f t="shared" si="23"/>
        <v>5.1091280445147769E-2</v>
      </c>
      <c r="I29" s="444">
        <f t="shared" si="23"/>
        <v>-2.0167369697776549E-2</v>
      </c>
      <c r="J29" s="444">
        <f t="shared" si="23"/>
        <v>-1.5333757708591134E-2</v>
      </c>
      <c r="K29" s="444">
        <f t="shared" si="23"/>
        <v>-6.5571266217417157E-2</v>
      </c>
      <c r="L29" s="444">
        <f t="shared" si="23"/>
        <v>0.18932315230298635</v>
      </c>
      <c r="M29" s="444">
        <f t="shared" si="23"/>
        <v>0.17443415065971357</v>
      </c>
      <c r="N29" s="444">
        <f t="shared" si="23"/>
        <v>0.14690314665755411</v>
      </c>
      <c r="O29" s="444">
        <f t="shared" si="23"/>
        <v>-7.2337360827201547E-4</v>
      </c>
      <c r="P29" s="444">
        <f t="shared" si="23"/>
        <v>-0.13179073318494117</v>
      </c>
      <c r="Q29" s="444">
        <f t="shared" si="23"/>
        <v>-7.940591380973272E-2</v>
      </c>
      <c r="R29" s="444">
        <f t="shared" si="23"/>
        <v>1.1579643917215554E-2</v>
      </c>
      <c r="S29" s="444">
        <f t="shared" si="23"/>
        <v>6.3834738160913673E-2</v>
      </c>
      <c r="T29" s="444">
        <f t="shared" si="23"/>
        <v>0.11360189957006983</v>
      </c>
      <c r="U29" s="444">
        <f t="shared" si="23"/>
        <v>-7.6776433243079034E-2</v>
      </c>
      <c r="V29" s="444">
        <f t="shared" si="23"/>
        <v>-2.6584287625165959E-2</v>
      </c>
      <c r="W29" s="444">
        <f t="shared" si="23"/>
        <v>6.5815358932545198E-2</v>
      </c>
      <c r="X29" s="444">
        <f t="shared" ref="X29:AD29" si="24">X28/W28-1</f>
        <v>-1.4610156647089867E-2</v>
      </c>
      <c r="Y29" s="444">
        <f t="shared" si="24"/>
        <v>-7.704197180002037E-3</v>
      </c>
      <c r="Z29" s="444">
        <f t="shared" si="24"/>
        <v>-3.8352627555712226E-2</v>
      </c>
      <c r="AA29" s="444">
        <f t="shared" si="24"/>
        <v>-1.5725615184460695E-2</v>
      </c>
      <c r="AB29" s="444">
        <f t="shared" si="24"/>
        <v>-3.6202029490528531E-4</v>
      </c>
      <c r="AC29" s="444">
        <f t="shared" si="24"/>
        <v>-1.7668378645955385E-2</v>
      </c>
      <c r="AD29" s="444">
        <f t="shared" si="24"/>
        <v>-1.7441380951833008E-2</v>
      </c>
      <c r="AE29" s="419"/>
      <c r="AF29" s="404"/>
      <c r="AG29" s="404"/>
      <c r="AH29" s="425"/>
      <c r="AI29" s="418"/>
    </row>
    <row r="30" spans="1:35" ht="12.75">
      <c r="A30" s="400"/>
      <c r="B30" s="400"/>
      <c r="C30" s="400"/>
      <c r="D30" s="400"/>
      <c r="E30" s="400"/>
      <c r="F30" s="400"/>
      <c r="G30" s="400"/>
      <c r="H30" s="400"/>
      <c r="I30" s="400"/>
      <c r="J30" s="400"/>
      <c r="K30" s="400"/>
      <c r="L30" s="400"/>
      <c r="M30" s="400"/>
      <c r="N30" s="400"/>
      <c r="O30" s="400"/>
      <c r="P30" s="400"/>
      <c r="Q30" s="400"/>
      <c r="R30" s="400"/>
      <c r="S30" s="400"/>
      <c r="T30" s="400"/>
      <c r="U30" s="400"/>
      <c r="V30" s="400"/>
      <c r="W30" s="400"/>
      <c r="X30" s="400"/>
      <c r="Y30" s="400"/>
      <c r="Z30" s="400"/>
      <c r="AA30" s="400"/>
      <c r="AB30" s="400"/>
      <c r="AC30" s="400"/>
      <c r="AD30" s="400"/>
      <c r="AE30" s="419"/>
      <c r="AF30" s="404"/>
      <c r="AG30" s="404"/>
      <c r="AH30" s="425"/>
      <c r="AI30" s="418"/>
    </row>
    <row r="31" spans="1:35" ht="12.75">
      <c r="A31" s="424" t="s">
        <v>454</v>
      </c>
      <c r="B31" s="446"/>
      <c r="C31" s="447">
        <f>+C9/C40</f>
        <v>1.1070243055555555</v>
      </c>
      <c r="D31" s="447">
        <f>+D9/D40</f>
        <v>1.2505900383141761</v>
      </c>
      <c r="E31" s="447">
        <f>+(D34+E34)/2</f>
        <v>1.3394794999999999</v>
      </c>
      <c r="F31" s="447">
        <f>+(E34+F34)/2</f>
        <v>1.509147</v>
      </c>
      <c r="G31" s="447">
        <f>+(F34+G34)/2</f>
        <v>1.8321565</v>
      </c>
      <c r="H31" s="447">
        <f>+(G34+H34)/2</f>
        <v>2.3181215000000002</v>
      </c>
      <c r="I31" s="447">
        <f t="shared" ref="I31:V31" si="25">+(H34+I34)/2</f>
        <v>2.9657784999999999</v>
      </c>
      <c r="J31" s="447">
        <f t="shared" si="25"/>
        <v>3.5760679999999998</v>
      </c>
      <c r="K31" s="447">
        <f t="shared" si="25"/>
        <v>4.0284694999999999</v>
      </c>
      <c r="L31" s="447">
        <f t="shared" si="25"/>
        <v>4.3897960000000005</v>
      </c>
      <c r="M31" s="447">
        <f t="shared" si="25"/>
        <v>4.6562909999999995</v>
      </c>
      <c r="N31" s="447">
        <f>+(M34+N34)/2</f>
        <v>4.9727759999999996</v>
      </c>
      <c r="O31" s="447">
        <f t="shared" si="25"/>
        <v>5.4414984999999998</v>
      </c>
      <c r="P31" s="447">
        <f t="shared" si="25"/>
        <v>6.0190494999999995</v>
      </c>
      <c r="Q31" s="447">
        <f t="shared" si="25"/>
        <v>6.2717609999999997</v>
      </c>
      <c r="R31" s="447">
        <f t="shared" si="25"/>
        <v>6.2518899999999995</v>
      </c>
      <c r="S31" s="447">
        <f t="shared" si="25"/>
        <v>6.2893545</v>
      </c>
      <c r="T31" s="447">
        <f t="shared" si="25"/>
        <v>6.2467810000000004</v>
      </c>
      <c r="U31" s="447">
        <f t="shared" si="25"/>
        <v>6.3533819999999999</v>
      </c>
      <c r="V31" s="447">
        <f t="shared" si="25"/>
        <v>6.5582979999999997</v>
      </c>
      <c r="W31" s="447">
        <f t="shared" ref="W31:AD31" si="26">+(V34+W34)/2</f>
        <v>6.6071109999999997</v>
      </c>
      <c r="X31" s="447">
        <f t="shared" si="26"/>
        <v>6.6101894999999997</v>
      </c>
      <c r="Y31" s="447">
        <f t="shared" si="26"/>
        <v>6.6000394999999994</v>
      </c>
      <c r="Z31" s="447">
        <f t="shared" si="26"/>
        <v>6.6212619999999998</v>
      </c>
      <c r="AA31" s="447">
        <f t="shared" si="26"/>
        <v>6.6614620000000002</v>
      </c>
      <c r="AB31" s="447">
        <f t="shared" si="26"/>
        <v>6.6609619999999996</v>
      </c>
      <c r="AC31" s="447">
        <f t="shared" si="26"/>
        <v>6.6472119999999997</v>
      </c>
      <c r="AD31" s="447">
        <f t="shared" si="26"/>
        <v>6.6202120000000004</v>
      </c>
      <c r="AE31" s="419"/>
      <c r="AF31" s="425">
        <f>RATE(5,,-S31,X31)*100</f>
        <v>1.0000449578541371</v>
      </c>
      <c r="AG31" s="426" t="s">
        <v>697</v>
      </c>
      <c r="AH31" s="425">
        <f>RATE(6,,-X31,AD31)*100</f>
        <v>2.5254379530261471E-2</v>
      </c>
      <c r="AI31" s="427" t="s">
        <v>697</v>
      </c>
    </row>
    <row r="32" spans="1:35" ht="12.75">
      <c r="A32" s="424" t="s">
        <v>633</v>
      </c>
      <c r="B32" s="428"/>
      <c r="C32" s="428" t="e">
        <f t="shared" ref="C32:V32" si="27">C31/B31-1</f>
        <v>#DIV/0!</v>
      </c>
      <c r="D32" s="428">
        <f t="shared" si="27"/>
        <v>0.12968616139514011</v>
      </c>
      <c r="E32" s="428">
        <f t="shared" si="27"/>
        <v>7.1078018345363425E-2</v>
      </c>
      <c r="F32" s="428">
        <f t="shared" si="27"/>
        <v>0.12666673883400237</v>
      </c>
      <c r="G32" s="428">
        <f t="shared" si="27"/>
        <v>0.21403448438091188</v>
      </c>
      <c r="H32" s="428">
        <f t="shared" si="27"/>
        <v>0.26524207948393075</v>
      </c>
      <c r="I32" s="428">
        <f t="shared" si="27"/>
        <v>0.27938872056533692</v>
      </c>
      <c r="J32" s="428">
        <f t="shared" si="27"/>
        <v>0.20577716778242205</v>
      </c>
      <c r="K32" s="428">
        <f t="shared" si="27"/>
        <v>0.12650808094253252</v>
      </c>
      <c r="L32" s="428">
        <f t="shared" si="27"/>
        <v>8.969324454361649E-2</v>
      </c>
      <c r="M32" s="428">
        <f t="shared" si="27"/>
        <v>6.0707832436860176E-2</v>
      </c>
      <c r="N32" s="428">
        <f t="shared" si="27"/>
        <v>6.7969334390827418E-2</v>
      </c>
      <c r="O32" s="428">
        <f t="shared" si="27"/>
        <v>9.4257714403383597E-2</v>
      </c>
      <c r="P32" s="428">
        <f t="shared" si="27"/>
        <v>0.10613822644626292</v>
      </c>
      <c r="Q32" s="428">
        <f t="shared" si="27"/>
        <v>4.198528355681419E-2</v>
      </c>
      <c r="R32" s="428">
        <f t="shared" si="27"/>
        <v>-3.1683286400742139E-3</v>
      </c>
      <c r="S32" s="428">
        <f t="shared" si="27"/>
        <v>5.9925078656215547E-3</v>
      </c>
      <c r="T32" s="428">
        <f t="shared" si="27"/>
        <v>-6.7691366419240229E-3</v>
      </c>
      <c r="U32" s="428">
        <f t="shared" si="27"/>
        <v>1.7064949131400553E-2</v>
      </c>
      <c r="V32" s="428">
        <f t="shared" si="27"/>
        <v>3.2253058292418091E-2</v>
      </c>
      <c r="W32" s="428">
        <f t="shared" ref="W32:AD32" si="28">W31/V31-1</f>
        <v>7.4429371766882024E-3</v>
      </c>
      <c r="X32" s="428">
        <f t="shared" si="28"/>
        <v>4.6593738170885857E-4</v>
      </c>
      <c r="Y32" s="428">
        <f t="shared" si="28"/>
        <v>-1.5355081726476927E-3</v>
      </c>
      <c r="Z32" s="428">
        <f t="shared" si="28"/>
        <v>3.2155110586837843E-3</v>
      </c>
      <c r="AA32" s="428">
        <f t="shared" si="28"/>
        <v>6.0713501444287221E-3</v>
      </c>
      <c r="AB32" s="428">
        <f t="shared" si="28"/>
        <v>-7.5058598247745856E-5</v>
      </c>
      <c r="AC32" s="428">
        <f t="shared" si="28"/>
        <v>-2.0642663927522564E-3</v>
      </c>
      <c r="AD32" s="428">
        <f t="shared" si="28"/>
        <v>-4.0618533003008439E-3</v>
      </c>
      <c r="AE32" s="419"/>
      <c r="AF32" s="404"/>
      <c r="AG32" s="404"/>
      <c r="AH32" s="425"/>
      <c r="AI32" s="418"/>
    </row>
    <row r="33" spans="1:35" ht="12.75">
      <c r="A33" s="400"/>
      <c r="B33" s="400"/>
      <c r="C33" s="400"/>
      <c r="D33" s="400"/>
      <c r="E33" s="400"/>
      <c r="F33" s="400"/>
      <c r="G33" s="400"/>
      <c r="H33" s="400"/>
      <c r="I33" s="400"/>
      <c r="J33" s="400"/>
      <c r="K33" s="400"/>
      <c r="L33" s="400"/>
      <c r="M33" s="400"/>
      <c r="N33" s="400"/>
      <c r="O33" s="400"/>
      <c r="P33" s="400"/>
      <c r="Q33" s="400"/>
      <c r="R33" s="400"/>
      <c r="S33" s="400"/>
      <c r="T33" s="400"/>
      <c r="U33" s="400"/>
      <c r="V33" s="400"/>
      <c r="W33" s="400"/>
      <c r="X33" s="400"/>
      <c r="Y33" s="400"/>
      <c r="Z33" s="400"/>
      <c r="AA33" s="400"/>
      <c r="AB33" s="400"/>
      <c r="AC33" s="400"/>
      <c r="AD33" s="400"/>
      <c r="AE33" s="419"/>
      <c r="AF33" s="404"/>
      <c r="AG33" s="404"/>
      <c r="AH33" s="425"/>
      <c r="AI33" s="418"/>
    </row>
    <row r="34" spans="1:35" ht="12.75">
      <c r="A34" s="424" t="s">
        <v>177</v>
      </c>
      <c r="B34" s="446">
        <v>0.84340000000000004</v>
      </c>
      <c r="C34" s="446">
        <v>1.2008160000000001</v>
      </c>
      <c r="D34" s="448">
        <v>1.285598</v>
      </c>
      <c r="E34" s="448">
        <v>1.3933610000000001</v>
      </c>
      <c r="F34" s="446">
        <v>1.624933</v>
      </c>
      <c r="G34" s="449">
        <v>2.03938</v>
      </c>
      <c r="H34" s="446">
        <f>2.596863</f>
        <v>2.5968629999999999</v>
      </c>
      <c r="I34" s="446">
        <v>3.3346939999999998</v>
      </c>
      <c r="J34" s="449">
        <v>3.8174419999999998</v>
      </c>
      <c r="K34" s="450">
        <v>4.2394970000000001</v>
      </c>
      <c r="L34" s="449">
        <v>4.540095</v>
      </c>
      <c r="M34" s="446">
        <v>4.7724869999999999</v>
      </c>
      <c r="N34" s="446">
        <v>5.1730650000000002</v>
      </c>
      <c r="O34" s="449">
        <v>5.7099320000000002</v>
      </c>
      <c r="P34" s="449">
        <v>6.3281669999999997</v>
      </c>
      <c r="Q34" s="449">
        <v>6.2153549999999997</v>
      </c>
      <c r="R34" s="449">
        <v>6.2884250000000002</v>
      </c>
      <c r="S34" s="446">
        <v>6.2902839999999998</v>
      </c>
      <c r="T34" s="446">
        <v>6.2032780000000001</v>
      </c>
      <c r="U34" s="446">
        <v>6.5034859999999997</v>
      </c>
      <c r="V34" s="446">
        <v>6.6131099999999998</v>
      </c>
      <c r="W34" s="446">
        <v>6.6011119999999996</v>
      </c>
      <c r="X34" s="446">
        <v>6.6192669999999998</v>
      </c>
      <c r="Y34" s="446">
        <v>6.5808119999999999</v>
      </c>
      <c r="Z34" s="447">
        <f t="shared" ref="Y34:AD34" si="29">Y34+((Z13)*Z45/1000000)+Z14*(Z46/1000000)+Z15*(Z47/1000000)+Z27*(Z49/1000000)+Z17*(Z50/1000000)+Z16*(Z48/1000000)</f>
        <v>6.6617119999999996</v>
      </c>
      <c r="AA34" s="447">
        <f t="shared" si="29"/>
        <v>6.6612119999999999</v>
      </c>
      <c r="AB34" s="447">
        <f t="shared" si="29"/>
        <v>6.6607120000000002</v>
      </c>
      <c r="AC34" s="447">
        <f t="shared" si="29"/>
        <v>6.6337120000000001</v>
      </c>
      <c r="AD34" s="447">
        <f t="shared" si="29"/>
        <v>6.6067119999999999</v>
      </c>
      <c r="AE34" s="419"/>
      <c r="AF34" s="425">
        <f>RATE(5,,-S34,X34)*100</f>
        <v>1.0247836680086704</v>
      </c>
      <c r="AG34" s="426" t="s">
        <v>697</v>
      </c>
      <c r="AH34" s="425">
        <f>RATE(6,,-X34,AD34)*100</f>
        <v>-3.1637273973157048E-2</v>
      </c>
      <c r="AI34" s="427" t="s">
        <v>697</v>
      </c>
    </row>
    <row r="35" spans="1:35" ht="12.75">
      <c r="A35" s="424" t="s">
        <v>721</v>
      </c>
      <c r="B35" s="428"/>
      <c r="C35" s="428">
        <f t="shared" ref="C35:W35" si="30">C34/B34-1</f>
        <v>0.42377993834479488</v>
      </c>
      <c r="D35" s="428">
        <f t="shared" si="30"/>
        <v>7.0603656180463936E-2</v>
      </c>
      <c r="E35" s="428">
        <f t="shared" si="30"/>
        <v>8.3823248013764839E-2</v>
      </c>
      <c r="F35" s="428">
        <f t="shared" si="30"/>
        <v>0.16619669992198705</v>
      </c>
      <c r="G35" s="428">
        <f t="shared" si="30"/>
        <v>0.255054823798889</v>
      </c>
      <c r="H35" s="428">
        <f t="shared" si="30"/>
        <v>0.27335906010650302</v>
      </c>
      <c r="I35" s="428">
        <f t="shared" si="30"/>
        <v>0.28412396033213927</v>
      </c>
      <c r="J35" s="428">
        <f t="shared" si="30"/>
        <v>0.14476530680176358</v>
      </c>
      <c r="K35" s="428">
        <f t="shared" si="30"/>
        <v>0.11055963653147849</v>
      </c>
      <c r="L35" s="428">
        <f t="shared" si="30"/>
        <v>7.0904166225379983E-2</v>
      </c>
      <c r="M35" s="428">
        <f>M34/L34-1</f>
        <v>5.1186594113118655E-2</v>
      </c>
      <c r="N35" s="428">
        <f t="shared" si="30"/>
        <v>8.3934854091797462E-2</v>
      </c>
      <c r="O35" s="428">
        <f t="shared" si="30"/>
        <v>0.10378122061099182</v>
      </c>
      <c r="P35" s="428">
        <f t="shared" si="30"/>
        <v>0.10827361867006458</v>
      </c>
      <c r="Q35" s="428">
        <f t="shared" si="30"/>
        <v>-1.7826963163266707E-2</v>
      </c>
      <c r="R35" s="428">
        <f t="shared" si="30"/>
        <v>1.1756367898535292E-2</v>
      </c>
      <c r="S35" s="480">
        <f t="shared" si="30"/>
        <v>2.9562251279124929E-4</v>
      </c>
      <c r="T35" s="480">
        <f t="shared" si="30"/>
        <v>-1.3831807912011551E-2</v>
      </c>
      <c r="U35" s="428">
        <f t="shared" si="30"/>
        <v>4.8395058225667142E-2</v>
      </c>
      <c r="V35" s="428">
        <f t="shared" si="30"/>
        <v>1.6856190664514381E-2</v>
      </c>
      <c r="W35" s="428">
        <f t="shared" si="30"/>
        <v>-1.8142749780361012E-3</v>
      </c>
      <c r="X35" s="428">
        <f t="shared" ref="X35:AD35" si="31">X34/W34-1</f>
        <v>2.7502941928572167E-3</v>
      </c>
      <c r="Y35" s="428">
        <f t="shared" si="31"/>
        <v>-5.8095556501951418E-3</v>
      </c>
      <c r="Z35" s="428">
        <f t="shared" si="31"/>
        <v>1.2293315779268621E-2</v>
      </c>
      <c r="AA35" s="428">
        <f t="shared" si="31"/>
        <v>-7.5055781456723203E-5</v>
      </c>
      <c r="AB35" s="428">
        <f t="shared" si="31"/>
        <v>-7.5061415249932928E-5</v>
      </c>
      <c r="AC35" s="428">
        <f t="shared" si="31"/>
        <v>-4.0536206940039454E-3</v>
      </c>
      <c r="AD35" s="428">
        <f t="shared" si="31"/>
        <v>-4.0701194142886976E-3</v>
      </c>
      <c r="AE35" s="419"/>
      <c r="AF35" s="404"/>
      <c r="AG35" s="404"/>
      <c r="AH35" s="425"/>
      <c r="AI35" s="418"/>
    </row>
    <row r="36" spans="1:35" ht="12.75">
      <c r="A36" s="400"/>
      <c r="B36" s="400"/>
      <c r="C36" s="400"/>
      <c r="D36" s="400"/>
      <c r="E36" s="400"/>
      <c r="F36" s="400"/>
      <c r="G36" s="400"/>
      <c r="H36" s="400"/>
      <c r="I36" s="400"/>
      <c r="J36" s="400"/>
      <c r="K36" s="400"/>
      <c r="L36" s="400"/>
      <c r="M36" s="400"/>
      <c r="N36" s="400"/>
      <c r="O36" s="400"/>
      <c r="P36" s="400"/>
      <c r="Q36" s="400"/>
      <c r="R36" s="400"/>
      <c r="S36" s="400"/>
      <c r="T36" s="400"/>
      <c r="U36" s="400"/>
      <c r="V36" s="400"/>
      <c r="W36" s="400"/>
      <c r="X36" s="400"/>
      <c r="Y36" s="400"/>
      <c r="Z36" s="400"/>
      <c r="AA36" s="400"/>
      <c r="AB36" s="400"/>
      <c r="AC36" s="400"/>
      <c r="AD36" s="400"/>
      <c r="AE36" s="419"/>
      <c r="AF36" s="404"/>
      <c r="AG36" s="404"/>
      <c r="AH36" s="425"/>
      <c r="AI36" s="418"/>
    </row>
    <row r="37" spans="1:35" ht="12.75">
      <c r="A37" s="424" t="s">
        <v>120</v>
      </c>
      <c r="B37" s="439">
        <f>B34/B19*1000000</f>
        <v>4054.8076923076928</v>
      </c>
      <c r="C37" s="439">
        <f>C34/C19*1000000</f>
        <v>4335.0758122743682</v>
      </c>
      <c r="D37" s="439">
        <f>D34/D19*1000000</f>
        <v>4242.8976897689772</v>
      </c>
      <c r="E37" s="439">
        <f>E34/E19*1000000</f>
        <v>4196.8704819277118</v>
      </c>
      <c r="F37" s="439">
        <f>F34/F19*1000000</f>
        <v>4209.6709844559582</v>
      </c>
      <c r="G37" s="439">
        <f t="shared" ref="G37:M37" si="32">G34/G19*1000000</f>
        <v>4376.3519313304714</v>
      </c>
      <c r="H37" s="439">
        <f t="shared" si="32"/>
        <v>4687.4783393501802</v>
      </c>
      <c r="I37" s="439">
        <f t="shared" si="32"/>
        <v>4918.4277286135693</v>
      </c>
      <c r="J37" s="439">
        <f t="shared" si="32"/>
        <v>5069.6440903054445</v>
      </c>
      <c r="K37" s="439">
        <f t="shared" si="32"/>
        <v>5266.4559006211184</v>
      </c>
      <c r="L37" s="439">
        <f>L34/L19*1000000</f>
        <v>5366.5425531914889</v>
      </c>
      <c r="M37" s="439">
        <f t="shared" si="32"/>
        <v>5491.9298043728422</v>
      </c>
      <c r="N37" s="439">
        <f t="shared" ref="N37:S37" si="33">N34/N19*1000000</f>
        <v>5678.4467618002191</v>
      </c>
      <c r="O37" s="439">
        <f t="shared" si="33"/>
        <v>5785.1388044579535</v>
      </c>
      <c r="P37" s="439">
        <f t="shared" si="33"/>
        <v>5763.3579234972676</v>
      </c>
      <c r="Q37" s="439">
        <f t="shared" si="33"/>
        <v>5634.9546690843154</v>
      </c>
      <c r="R37" s="439">
        <f t="shared" si="33"/>
        <v>5838.8347260909941</v>
      </c>
      <c r="S37" s="439">
        <f t="shared" si="33"/>
        <v>5884.269410664172</v>
      </c>
      <c r="T37" s="439">
        <f t="shared" ref="T37:Y37" si="34">T34/T19*1000000</f>
        <v>5941.8371647509575</v>
      </c>
      <c r="U37" s="439">
        <f t="shared" si="34"/>
        <v>6100.8311444652909</v>
      </c>
      <c r="V37" s="439">
        <f t="shared" si="34"/>
        <v>6262.414772727273</v>
      </c>
      <c r="W37" s="439">
        <f t="shared" si="34"/>
        <v>6304.7870105062084</v>
      </c>
      <c r="X37" s="439">
        <f t="shared" si="34"/>
        <v>6304.0638095238091</v>
      </c>
      <c r="Y37" s="439">
        <f t="shared" si="34"/>
        <v>6285.398280802292</v>
      </c>
      <c r="Z37" s="439">
        <f>Z34/Z19*1000000</f>
        <v>6314.4189573459707</v>
      </c>
      <c r="AA37" s="439">
        <f>AA34/AA19*1000000</f>
        <v>6284.1622641509439</v>
      </c>
      <c r="AB37" s="439">
        <f>AB34/AB19*1000000</f>
        <v>6313.4710900473938</v>
      </c>
      <c r="AC37" s="439">
        <f>AC34/AC19*1000000</f>
        <v>6348.0497607655498</v>
      </c>
      <c r="AD37" s="439">
        <f>AD34/AD19*1000000</f>
        <v>6383.2966183574881</v>
      </c>
      <c r="AE37" s="440"/>
      <c r="AF37" s="441"/>
      <c r="AG37" s="441"/>
      <c r="AH37" s="425"/>
      <c r="AI37" s="442"/>
    </row>
    <row r="38" spans="1:35" ht="12.75">
      <c r="A38" s="424" t="s">
        <v>721</v>
      </c>
      <c r="B38" s="444"/>
      <c r="C38" s="444">
        <f t="shared" ref="C38:W38" si="35">C37/B37-1</f>
        <v>6.9119953702950543E-2</v>
      </c>
      <c r="D38" s="444">
        <f t="shared" si="35"/>
        <v>-2.1263324217859592E-2</v>
      </c>
      <c r="E38" s="444">
        <f t="shared" si="35"/>
        <v>-1.0848059794666298E-2</v>
      </c>
      <c r="F38" s="444">
        <f t="shared" si="35"/>
        <v>3.0500113318643329E-3</v>
      </c>
      <c r="G38" s="444">
        <f t="shared" si="35"/>
        <v>3.9594768211096865E-2</v>
      </c>
      <c r="H38" s="444">
        <f t="shared" si="35"/>
        <v>7.109263900655316E-2</v>
      </c>
      <c r="I38" s="444">
        <f t="shared" si="35"/>
        <v>4.9269430713871909E-2</v>
      </c>
      <c r="J38" s="444">
        <f t="shared" si="35"/>
        <v>3.0744857917125668E-2</v>
      </c>
      <c r="K38" s="444">
        <f t="shared" si="35"/>
        <v>3.882162274310974E-2</v>
      </c>
      <c r="L38" s="444">
        <f t="shared" si="35"/>
        <v>1.9004555332660544E-2</v>
      </c>
      <c r="M38" s="444">
        <f t="shared" si="35"/>
        <v>2.336462441852527E-2</v>
      </c>
      <c r="N38" s="444">
        <f t="shared" si="35"/>
        <v>3.3962006812043866E-2</v>
      </c>
      <c r="O38" s="444">
        <f t="shared" si="35"/>
        <v>1.8788948304573116E-2</v>
      </c>
      <c r="P38" s="444">
        <f t="shared" si="35"/>
        <v>-3.7649711954883536E-3</v>
      </c>
      <c r="Q38" s="444">
        <f t="shared" si="35"/>
        <v>-2.2279243475309962E-2</v>
      </c>
      <c r="R38" s="444">
        <f t="shared" si="35"/>
        <v>3.6181312713170266E-2</v>
      </c>
      <c r="S38" s="444">
        <f t="shared" si="35"/>
        <v>7.7814644025033797E-3</v>
      </c>
      <c r="T38" s="444">
        <f t="shared" si="35"/>
        <v>9.7833307874133357E-3</v>
      </c>
      <c r="U38" s="444">
        <f t="shared" si="35"/>
        <v>2.6758387230390701E-2</v>
      </c>
      <c r="V38" s="444">
        <f t="shared" si="35"/>
        <v>2.6485510651867772E-2</v>
      </c>
      <c r="W38" s="444">
        <f t="shared" si="35"/>
        <v>6.766118073728622E-3</v>
      </c>
      <c r="X38" s="444">
        <f t="shared" ref="X38:AD38" si="36">X37/W37-1</f>
        <v>-1.1470664769386296E-4</v>
      </c>
      <c r="Y38" s="444">
        <f t="shared" si="36"/>
        <v>-2.9608724285623556E-3</v>
      </c>
      <c r="Z38" s="444">
        <f t="shared" si="36"/>
        <v>4.6171579344966851E-3</v>
      </c>
      <c r="AA38" s="444">
        <f t="shared" si="36"/>
        <v>-4.7916828768270747E-3</v>
      </c>
      <c r="AB38" s="444">
        <f t="shared" si="36"/>
        <v>4.663919336336475E-3</v>
      </c>
      <c r="AC38" s="444">
        <f t="shared" si="36"/>
        <v>5.4769666677758622E-3</v>
      </c>
      <c r="AD38" s="444">
        <f t="shared" si="36"/>
        <v>5.5523915092448028E-3</v>
      </c>
      <c r="AE38" s="419"/>
      <c r="AF38" s="404"/>
      <c r="AG38" s="404"/>
      <c r="AH38" s="425"/>
      <c r="AI38" s="418"/>
    </row>
    <row r="39" spans="1:35" ht="12.75">
      <c r="A39" s="400"/>
      <c r="B39" s="400"/>
      <c r="C39" s="400"/>
      <c r="D39" s="400"/>
      <c r="E39" s="400"/>
      <c r="F39" s="400"/>
      <c r="G39" s="400"/>
      <c r="H39" s="400"/>
      <c r="I39" s="400"/>
      <c r="J39" s="400"/>
      <c r="K39" s="400"/>
      <c r="L39" s="400"/>
      <c r="M39" s="400"/>
      <c r="N39" s="400"/>
      <c r="O39" s="400"/>
      <c r="P39" s="400"/>
      <c r="Q39" s="400"/>
      <c r="R39" s="400"/>
      <c r="S39" s="400"/>
      <c r="T39" s="400"/>
      <c r="U39" s="400"/>
      <c r="V39" s="400"/>
      <c r="W39" s="400"/>
      <c r="X39" s="400"/>
      <c r="Y39" s="400"/>
      <c r="Z39" s="400"/>
      <c r="AA39" s="400"/>
      <c r="AB39" s="400"/>
      <c r="AC39" s="400"/>
      <c r="AD39" s="400"/>
      <c r="AE39" s="419"/>
      <c r="AF39" s="404"/>
      <c r="AG39" s="404"/>
      <c r="AH39" s="425"/>
      <c r="AI39" s="418"/>
    </row>
    <row r="40" spans="1:35" ht="12.75">
      <c r="A40" s="424" t="s">
        <v>803</v>
      </c>
      <c r="B40" s="421">
        <f>B9/(B20*B37)*1000000</f>
        <v>273.41249736607961</v>
      </c>
      <c r="C40" s="420">
        <v>288</v>
      </c>
      <c r="D40" s="420">
        <v>261</v>
      </c>
      <c r="E40" s="420">
        <v>303</v>
      </c>
      <c r="F40" s="420">
        <v>388</v>
      </c>
      <c r="G40" s="421">
        <f>G7/G31</f>
        <v>454.16644265923793</v>
      </c>
      <c r="H40" s="420">
        <v>448</v>
      </c>
      <c r="I40" s="420">
        <v>417</v>
      </c>
      <c r="J40" s="421">
        <f>J7/J31</f>
        <v>396.32663584696934</v>
      </c>
      <c r="K40" s="420">
        <v>343</v>
      </c>
      <c r="L40" s="420">
        <v>412</v>
      </c>
      <c r="M40" s="421">
        <f t="shared" ref="M40:R40" si="37">(M9-M8)/M31</f>
        <v>476.12187468523774</v>
      </c>
      <c r="N40" s="421">
        <f t="shared" si="37"/>
        <v>530.69130803398343</v>
      </c>
      <c r="O40" s="421">
        <f t="shared" si="37"/>
        <v>516.75453002513916</v>
      </c>
      <c r="P40" s="421">
        <f t="shared" si="37"/>
        <v>445.56304114129654</v>
      </c>
      <c r="Q40" s="421">
        <f t="shared" si="37"/>
        <v>415.55617313861279</v>
      </c>
      <c r="R40" s="421">
        <f t="shared" si="37"/>
        <v>417.68073334623614</v>
      </c>
      <c r="S40" s="421">
        <f t="shared" ref="S40:AB40" si="38">(S9-S8)/S31</f>
        <v>434.80756141190642</v>
      </c>
      <c r="T40" s="421">
        <f t="shared" si="38"/>
        <v>480.00595382485795</v>
      </c>
      <c r="U40" s="421">
        <f>(U9-U8)/U31</f>
        <v>435.09869120805263</v>
      </c>
      <c r="V40" s="421">
        <f>(V9-V8)/V31</f>
        <v>412.63197166177571</v>
      </c>
      <c r="W40" s="421">
        <f>(W9-W8)/W31</f>
        <v>432.63164810002036</v>
      </c>
      <c r="X40" s="421">
        <f t="shared" si="38"/>
        <v>424.8965633721055</v>
      </c>
      <c r="Y40" s="421">
        <f t="shared" si="38"/>
        <v>422.27147777197644</v>
      </c>
      <c r="Z40" s="421">
        <f t="shared" si="38"/>
        <v>405.73982757390598</v>
      </c>
      <c r="AA40" s="421">
        <f t="shared" si="38"/>
        <v>399.40426811724103</v>
      </c>
      <c r="AB40" s="421">
        <f t="shared" si="38"/>
        <v>399.28964578741846</v>
      </c>
      <c r="AC40" s="421">
        <f>(AC9-AC8)/AC31</f>
        <v>390.25863550968722</v>
      </c>
      <c r="AD40" s="421">
        <f>(AD9-AD8)/AD31</f>
        <v>381.34904618384746</v>
      </c>
      <c r="AE40" s="419"/>
      <c r="AF40" s="425">
        <f>RATE(5,,-S40,X40)*100</f>
        <v>-0.4600940425104611</v>
      </c>
      <c r="AG40" s="426" t="s">
        <v>697</v>
      </c>
      <c r="AH40" s="425">
        <f>RATE(6,,-X40,AD40)*100</f>
        <v>-1.7860357492858647</v>
      </c>
      <c r="AI40" s="427" t="s">
        <v>697</v>
      </c>
    </row>
    <row r="41" spans="1:35" ht="12.75">
      <c r="A41" s="424" t="s">
        <v>721</v>
      </c>
      <c r="B41" s="444"/>
      <c r="C41" s="444">
        <f t="shared" ref="C41:W41" si="39">C40/B40-1</f>
        <v>5.3353459605720799E-2</v>
      </c>
      <c r="D41" s="444">
        <f t="shared" si="39"/>
        <v>-9.375E-2</v>
      </c>
      <c r="E41" s="444">
        <f t="shared" si="39"/>
        <v>0.16091954022988508</v>
      </c>
      <c r="F41" s="444">
        <f t="shared" si="39"/>
        <v>0.28052805280528048</v>
      </c>
      <c r="G41" s="444">
        <f t="shared" si="39"/>
        <v>0.17053206870937609</v>
      </c>
      <c r="H41" s="444">
        <f t="shared" si="39"/>
        <v>-1.3577495120802308E-2</v>
      </c>
      <c r="I41" s="444">
        <f t="shared" si="39"/>
        <v>-6.9196428571428603E-2</v>
      </c>
      <c r="J41" s="444">
        <f t="shared" si="39"/>
        <v>-4.957641283700398E-2</v>
      </c>
      <c r="K41" s="444">
        <f t="shared" si="39"/>
        <v>-0.13455223803721317</v>
      </c>
      <c r="L41" s="444">
        <f>L40/K40-1</f>
        <v>0.2011661807580174</v>
      </c>
      <c r="M41" s="444">
        <f t="shared" si="39"/>
        <v>0.15563561816805271</v>
      </c>
      <c r="N41" s="444">
        <f t="shared" si="39"/>
        <v>0.11461232144568312</v>
      </c>
      <c r="O41" s="444">
        <f t="shared" si="39"/>
        <v>-2.6261553181405772E-2</v>
      </c>
      <c r="P41" s="444">
        <f t="shared" si="39"/>
        <v>-0.13776655016527728</v>
      </c>
      <c r="Q41" s="444">
        <f t="shared" si="39"/>
        <v>-6.7345953842630313E-2</v>
      </c>
      <c r="R41" s="444">
        <f t="shared" si="39"/>
        <v>5.1125704416252749E-3</v>
      </c>
      <c r="S41" s="444">
        <f t="shared" si="39"/>
        <v>4.1004592020463138E-2</v>
      </c>
      <c r="T41" s="444">
        <f t="shared" si="39"/>
        <v>0.10395033671029874</v>
      </c>
      <c r="U41" s="444">
        <f t="shared" si="39"/>
        <v>-9.3555636672771003E-2</v>
      </c>
      <c r="V41" s="444">
        <f t="shared" si="39"/>
        <v>-5.1635916173174423E-2</v>
      </c>
      <c r="W41" s="444">
        <f t="shared" si="39"/>
        <v>4.8468557484047547E-2</v>
      </c>
      <c r="X41" s="444">
        <f t="shared" ref="X41:AD41" si="40">X40/W40-1</f>
        <v>-1.787914675656499E-2</v>
      </c>
      <c r="Y41" s="444">
        <f t="shared" si="40"/>
        <v>-6.1781756465517645E-3</v>
      </c>
      <c r="Z41" s="444">
        <f t="shared" si="40"/>
        <v>-3.9149341284654415E-2</v>
      </c>
      <c r="AA41" s="444">
        <f t="shared" si="40"/>
        <v>-1.561483252592677E-2</v>
      </c>
      <c r="AB41" s="444">
        <f t="shared" si="40"/>
        <v>-2.8698323721698671E-4</v>
      </c>
      <c r="AC41" s="444">
        <f t="shared" si="40"/>
        <v>-2.2617692126530531E-2</v>
      </c>
      <c r="AD41" s="444">
        <f t="shared" si="40"/>
        <v>-2.2829960736688415E-2</v>
      </c>
      <c r="AE41" s="419"/>
      <c r="AF41" s="404"/>
      <c r="AG41" s="404"/>
      <c r="AH41" s="425"/>
      <c r="AI41" s="418"/>
    </row>
    <row r="42" spans="1:35" ht="12.75">
      <c r="A42" s="400"/>
      <c r="B42" s="400"/>
      <c r="C42" s="400"/>
      <c r="D42" s="400"/>
      <c r="E42" s="400"/>
      <c r="F42" s="400"/>
      <c r="G42" s="400"/>
      <c r="H42" s="400"/>
      <c r="I42" s="400"/>
      <c r="J42" s="400"/>
      <c r="K42" s="400"/>
      <c r="L42" s="400"/>
      <c r="M42" s="400"/>
      <c r="N42" s="400"/>
      <c r="O42" s="400"/>
      <c r="P42" s="400"/>
      <c r="Q42" s="400"/>
      <c r="R42" s="670"/>
      <c r="S42" s="670"/>
      <c r="T42" s="670"/>
      <c r="U42" s="670"/>
      <c r="V42" s="670"/>
      <c r="W42" s="670"/>
      <c r="X42" s="670"/>
      <c r="Y42" s="670"/>
      <c r="Z42" s="670"/>
      <c r="AA42" s="670"/>
      <c r="AB42" s="670"/>
      <c r="AC42" s="670"/>
      <c r="AD42" s="670"/>
      <c r="AE42" s="419"/>
      <c r="AF42" s="404"/>
      <c r="AG42" s="404"/>
      <c r="AH42" s="425"/>
      <c r="AI42" s="418"/>
    </row>
    <row r="43" spans="1:35" ht="12.75">
      <c r="A43" s="424" t="s">
        <v>728</v>
      </c>
      <c r="B43" s="444"/>
      <c r="C43" s="444">
        <f>'qtrP&amp;L'!E14/100</f>
        <v>6.6000000000000003E-2</v>
      </c>
      <c r="D43" s="444">
        <f>'qtrP&amp;L'!I14/100</f>
        <v>-1.8000000000000002E-2</v>
      </c>
      <c r="E43" s="444">
        <f>'qtrP&amp;L'!M14/100</f>
        <v>0.151</v>
      </c>
      <c r="F43" s="444">
        <f>'qtrP&amp;L'!Q14/100</f>
        <v>0.32100000000000001</v>
      </c>
      <c r="G43" s="444">
        <f>'qtrP&amp;L'!U14/100</f>
        <v>0.20899565631219172</v>
      </c>
      <c r="H43" s="444">
        <f>+qtrSales!E90/100</f>
        <v>5.7999999999999996E-2</v>
      </c>
      <c r="I43" s="444">
        <f>+qtrSales!E97/100</f>
        <v>2.3E-2</v>
      </c>
      <c r="J43" s="444">
        <f>+qtrSales!E104/100</f>
        <v>-4.3418294478692096E-2</v>
      </c>
      <c r="K43" s="444">
        <f>+qtrSales!E111/100</f>
        <v>-6.6115349058494643E-2</v>
      </c>
      <c r="L43" s="444">
        <f>+qtrSales!E118/100</f>
        <v>0.214</v>
      </c>
      <c r="M43" s="444">
        <f>+qtrSales!E125/100</f>
        <v>0.155</v>
      </c>
      <c r="N43" s="444">
        <f>qtrSales!E132/100</f>
        <v>0.12</v>
      </c>
      <c r="O43" s="444">
        <f>+qtrSales!E139*0.01</f>
        <v>1.5272651879374904E-2</v>
      </c>
      <c r="P43" s="444">
        <f>'qtrP&amp;L'!$BF$14*0.01</f>
        <v>-0.1</v>
      </c>
      <c r="Q43" s="444">
        <f>'qtrP&amp;L'!$BJ$14*0.01</f>
        <v>-0.04</v>
      </c>
      <c r="R43" s="444">
        <f>'qtrP&amp;L'!$BN$14*0.01</f>
        <v>-0.01</v>
      </c>
      <c r="S43" s="444">
        <f>'qtrP&amp;L'!BR14/100</f>
        <v>0.04</v>
      </c>
      <c r="T43" s="444">
        <f>+'qtrP&amp;L'!BV14/100</f>
        <v>0.09</v>
      </c>
      <c r="U43" s="444">
        <f>+'qtrP&amp;L'!BZ14/100</f>
        <v>-0.06</v>
      </c>
      <c r="V43" s="444">
        <f>'qtrP&amp;L'!CD14/100</f>
        <v>-0.05</v>
      </c>
      <c r="W43" s="444">
        <f>'qtrP&amp;L'!CH14/100</f>
        <v>7.0000000000000007E-2</v>
      </c>
      <c r="X43" s="444">
        <f>'qtrP&amp;L'!CL14/100</f>
        <v>0.03</v>
      </c>
      <c r="Y43" s="444">
        <f>'qtrP&amp;L'!CP14/100</f>
        <v>0.04</v>
      </c>
      <c r="Z43" s="2184">
        <f>'qtrP&amp;L'!CT14/100</f>
        <v>2.0712879278911158E-2</v>
      </c>
      <c r="AA43" s="451">
        <v>0.01</v>
      </c>
      <c r="AB43" s="451">
        <v>0.01</v>
      </c>
      <c r="AC43" s="451">
        <v>0</v>
      </c>
      <c r="AD43" s="451">
        <v>0</v>
      </c>
      <c r="AE43" s="452"/>
      <c r="AF43" s="404"/>
      <c r="AG43" s="404"/>
      <c r="AH43" s="425"/>
      <c r="AI43" s="418"/>
    </row>
    <row r="44" spans="1:35" ht="12.75">
      <c r="A44" s="400"/>
      <c r="B44" s="400"/>
      <c r="C44" s="400"/>
      <c r="D44" s="400"/>
      <c r="E44" s="400"/>
      <c r="F44" s="400"/>
      <c r="G44" s="400"/>
      <c r="H44" s="400"/>
      <c r="I44" s="400"/>
      <c r="J44" s="400"/>
      <c r="K44" s="400"/>
      <c r="L44" s="400"/>
      <c r="M44" s="400"/>
      <c r="N44" s="400"/>
      <c r="O44" s="400"/>
      <c r="P44" s="400"/>
      <c r="Q44" s="400"/>
      <c r="R44" s="400"/>
      <c r="S44" s="400"/>
      <c r="T44" s="400"/>
      <c r="U44" s="400"/>
      <c r="V44" s="400"/>
      <c r="W44" s="400"/>
      <c r="X44" s="400"/>
      <c r="Y44" s="400"/>
      <c r="Z44" s="400"/>
      <c r="AA44" s="400"/>
      <c r="AB44" s="400"/>
      <c r="AC44" s="400"/>
      <c r="AD44" s="400"/>
      <c r="AE44" s="419"/>
      <c r="AF44" s="404"/>
      <c r="AG44" s="404"/>
      <c r="AH44" s="425"/>
      <c r="AI44" s="418"/>
    </row>
    <row r="45" spans="1:35" ht="12.75">
      <c r="A45" s="424" t="s">
        <v>119</v>
      </c>
      <c r="B45" s="439">
        <v>4200</v>
      </c>
      <c r="C45" s="439">
        <v>4200</v>
      </c>
      <c r="D45" s="453">
        <v>4000</v>
      </c>
      <c r="E45" s="453">
        <v>4500</v>
      </c>
      <c r="F45" s="453">
        <v>4500</v>
      </c>
      <c r="G45" s="453">
        <v>4800</v>
      </c>
      <c r="H45" s="453">
        <v>5500</v>
      </c>
      <c r="I45" s="453">
        <v>5500</v>
      </c>
      <c r="J45" s="453">
        <v>5500</v>
      </c>
      <c r="K45" s="453">
        <v>5900</v>
      </c>
      <c r="L45" s="453">
        <v>6000</v>
      </c>
      <c r="M45" s="453">
        <v>5900</v>
      </c>
      <c r="N45" s="453">
        <v>5900</v>
      </c>
      <c r="O45" s="574">
        <v>6300</v>
      </c>
      <c r="P45" s="453">
        <v>6000</v>
      </c>
      <c r="Q45" s="453">
        <v>5300</v>
      </c>
      <c r="R45" s="453">
        <f>+Q45</f>
        <v>5300</v>
      </c>
      <c r="S45" s="453">
        <f>+R45</f>
        <v>5300</v>
      </c>
      <c r="T45" s="453">
        <v>5300</v>
      </c>
      <c r="U45" s="453">
        <f t="shared" ref="U45:AD45" si="41">+T45</f>
        <v>5300</v>
      </c>
      <c r="V45" s="453">
        <f t="shared" si="41"/>
        <v>5300</v>
      </c>
      <c r="W45" s="453">
        <f t="shared" si="41"/>
        <v>5300</v>
      </c>
      <c r="X45" s="453">
        <f t="shared" si="41"/>
        <v>5300</v>
      </c>
      <c r="Y45" s="453">
        <f t="shared" si="41"/>
        <v>5300</v>
      </c>
      <c r="Z45" s="453">
        <f t="shared" si="41"/>
        <v>5300</v>
      </c>
      <c r="AA45" s="453">
        <f t="shared" si="41"/>
        <v>5300</v>
      </c>
      <c r="AB45" s="453">
        <f t="shared" si="41"/>
        <v>5300</v>
      </c>
      <c r="AC45" s="453">
        <f t="shared" si="41"/>
        <v>5300</v>
      </c>
      <c r="AD45" s="453">
        <f t="shared" si="41"/>
        <v>5300</v>
      </c>
      <c r="AE45" s="440"/>
      <c r="AF45" s="441"/>
      <c r="AG45" s="441"/>
      <c r="AH45" s="425"/>
      <c r="AI45" s="418"/>
    </row>
    <row r="46" spans="1:35" ht="12.75">
      <c r="A46" s="435" t="s">
        <v>165</v>
      </c>
      <c r="B46" s="439"/>
      <c r="C46" s="439"/>
      <c r="D46" s="453"/>
      <c r="E46" s="453"/>
      <c r="F46" s="453"/>
      <c r="G46" s="453"/>
      <c r="H46" s="453"/>
      <c r="I46" s="453"/>
      <c r="J46" s="453"/>
      <c r="K46" s="453"/>
      <c r="L46" s="453"/>
      <c r="M46" s="453"/>
      <c r="N46" s="574">
        <v>6000</v>
      </c>
      <c r="O46" s="574">
        <v>6000</v>
      </c>
      <c r="P46" s="574">
        <v>6000</v>
      </c>
      <c r="Q46" s="574">
        <v>6000</v>
      </c>
      <c r="R46" s="574">
        <v>6000</v>
      </c>
      <c r="S46" s="574">
        <v>6000</v>
      </c>
      <c r="T46" s="574">
        <v>6000</v>
      </c>
      <c r="U46" s="574">
        <v>6000</v>
      </c>
      <c r="V46" s="574">
        <v>6000</v>
      </c>
      <c r="W46" s="574">
        <v>6000</v>
      </c>
      <c r="X46" s="574">
        <v>6000</v>
      </c>
      <c r="Y46" s="574">
        <v>6000</v>
      </c>
      <c r="Z46" s="574">
        <v>6000</v>
      </c>
      <c r="AA46" s="574">
        <v>6000</v>
      </c>
      <c r="AB46" s="574">
        <v>6000</v>
      </c>
      <c r="AC46" s="574">
        <v>6000</v>
      </c>
      <c r="AD46" s="574">
        <v>6000</v>
      </c>
      <c r="AE46" s="440"/>
      <c r="AF46" s="441"/>
      <c r="AG46" s="441"/>
      <c r="AH46" s="425"/>
      <c r="AI46" s="418"/>
    </row>
    <row r="47" spans="1:35" ht="12.75">
      <c r="A47" s="435" t="s">
        <v>166</v>
      </c>
      <c r="B47" s="439"/>
      <c r="C47" s="439"/>
      <c r="D47" s="453"/>
      <c r="E47" s="453"/>
      <c r="F47" s="453"/>
      <c r="G47" s="453"/>
      <c r="H47" s="453"/>
      <c r="I47" s="453"/>
      <c r="J47" s="453"/>
      <c r="K47" s="453"/>
      <c r="L47" s="453"/>
      <c r="M47" s="453"/>
      <c r="N47" s="574">
        <v>2500</v>
      </c>
      <c r="O47" s="574">
        <v>3600</v>
      </c>
      <c r="P47" s="574">
        <v>3600</v>
      </c>
      <c r="Q47" s="574">
        <v>4200</v>
      </c>
      <c r="R47" s="574">
        <f t="shared" ref="R47:Y47" si="42">+Q47</f>
        <v>4200</v>
      </c>
      <c r="S47" s="574">
        <f t="shared" si="42"/>
        <v>4200</v>
      </c>
      <c r="T47" s="574">
        <f t="shared" si="42"/>
        <v>4200</v>
      </c>
      <c r="U47" s="574">
        <f t="shared" si="42"/>
        <v>4200</v>
      </c>
      <c r="V47" s="574">
        <f t="shared" si="42"/>
        <v>4200</v>
      </c>
      <c r="W47" s="574">
        <f t="shared" si="42"/>
        <v>4200</v>
      </c>
      <c r="X47" s="574">
        <f t="shared" si="42"/>
        <v>4200</v>
      </c>
      <c r="Y47" s="574">
        <f t="shared" si="42"/>
        <v>4200</v>
      </c>
      <c r="Z47" s="574">
        <v>2000</v>
      </c>
      <c r="AA47" s="574">
        <f>+Z47</f>
        <v>2000</v>
      </c>
      <c r="AB47" s="574">
        <f>+AA47</f>
        <v>2000</v>
      </c>
      <c r="AC47" s="574">
        <f>+AB47</f>
        <v>2000</v>
      </c>
      <c r="AD47" s="574">
        <f>+AC47</f>
        <v>2000</v>
      </c>
      <c r="AE47" s="440"/>
      <c r="AF47" s="441"/>
      <c r="AG47" s="441"/>
      <c r="AH47" s="425"/>
      <c r="AI47" s="418"/>
    </row>
    <row r="48" spans="1:35" ht="12.75">
      <c r="A48" s="424" t="s">
        <v>524</v>
      </c>
      <c r="B48" s="439"/>
      <c r="C48" s="439"/>
      <c r="D48" s="453"/>
      <c r="E48" s="453"/>
      <c r="F48" s="453"/>
      <c r="G48" s="453"/>
      <c r="H48" s="453"/>
      <c r="I48" s="453"/>
      <c r="J48" s="453"/>
      <c r="K48" s="453"/>
      <c r="L48" s="453"/>
      <c r="M48" s="453"/>
      <c r="N48" s="574"/>
      <c r="O48" s="574"/>
      <c r="P48" s="574"/>
      <c r="Q48" s="574"/>
      <c r="R48" s="574">
        <v>5000</v>
      </c>
      <c r="S48" s="574">
        <f t="shared" ref="S48:Y48" si="43">R48</f>
        <v>5000</v>
      </c>
      <c r="T48" s="574">
        <f t="shared" si="43"/>
        <v>5000</v>
      </c>
      <c r="U48" s="574">
        <f t="shared" si="43"/>
        <v>5000</v>
      </c>
      <c r="V48" s="574">
        <f t="shared" si="43"/>
        <v>5000</v>
      </c>
      <c r="W48" s="574">
        <f t="shared" si="43"/>
        <v>5000</v>
      </c>
      <c r="X48" s="574">
        <f t="shared" si="43"/>
        <v>5000</v>
      </c>
      <c r="Y48" s="574">
        <f t="shared" si="43"/>
        <v>5000</v>
      </c>
      <c r="Z48" s="574">
        <f>Y48</f>
        <v>5000</v>
      </c>
      <c r="AA48" s="574">
        <f>Z48</f>
        <v>5000</v>
      </c>
      <c r="AB48" s="574">
        <f>AA48</f>
        <v>5000</v>
      </c>
      <c r="AC48" s="574">
        <f>AB48</f>
        <v>5000</v>
      </c>
      <c r="AD48" s="574">
        <f>AC48</f>
        <v>5000</v>
      </c>
      <c r="AE48" s="440"/>
      <c r="AF48" s="441"/>
      <c r="AG48" s="441"/>
      <c r="AH48" s="425"/>
      <c r="AI48" s="418"/>
    </row>
    <row r="49" spans="1:35" ht="12.75">
      <c r="A49" s="640" t="s">
        <v>88</v>
      </c>
      <c r="B49" s="641"/>
      <c r="C49" s="641"/>
      <c r="D49" s="641"/>
      <c r="E49" s="641"/>
      <c r="F49" s="641"/>
      <c r="G49" s="641"/>
      <c r="H49" s="641"/>
      <c r="I49" s="641"/>
      <c r="J49" s="641"/>
      <c r="K49" s="641"/>
      <c r="L49" s="641"/>
      <c r="M49" s="641"/>
      <c r="N49" s="641"/>
      <c r="O49" s="641"/>
      <c r="P49" s="641"/>
      <c r="Q49" s="453">
        <v>700</v>
      </c>
      <c r="R49" s="453">
        <v>700</v>
      </c>
      <c r="S49" s="453">
        <v>700</v>
      </c>
      <c r="T49" s="453">
        <v>700</v>
      </c>
      <c r="U49" s="453">
        <v>700</v>
      </c>
      <c r="V49" s="453">
        <v>700</v>
      </c>
      <c r="W49" s="453">
        <v>700</v>
      </c>
      <c r="X49" s="453">
        <v>700</v>
      </c>
      <c r="Y49" s="453">
        <v>700</v>
      </c>
      <c r="Z49" s="453">
        <v>700</v>
      </c>
      <c r="AA49" s="453">
        <v>700</v>
      </c>
      <c r="AB49" s="453">
        <v>700</v>
      </c>
      <c r="AC49" s="453">
        <v>700</v>
      </c>
      <c r="AD49" s="453">
        <v>700</v>
      </c>
      <c r="AE49" s="440"/>
      <c r="AF49" s="441"/>
      <c r="AG49" s="441"/>
      <c r="AH49" s="425"/>
      <c r="AI49" s="418"/>
    </row>
    <row r="50" spans="1:35" ht="12.75">
      <c r="A50" s="400" t="s">
        <v>205</v>
      </c>
      <c r="B50" s="400"/>
      <c r="C50" s="400"/>
      <c r="D50" s="400"/>
      <c r="E50" s="400"/>
      <c r="F50" s="400"/>
      <c r="G50" s="400"/>
      <c r="H50" s="454"/>
      <c r="I50" s="400"/>
      <c r="J50" s="400"/>
      <c r="K50" s="400"/>
      <c r="L50" s="400"/>
      <c r="M50" s="400"/>
      <c r="N50" s="400"/>
      <c r="O50" s="400"/>
      <c r="P50" s="400"/>
      <c r="Q50" s="574">
        <v>7000</v>
      </c>
      <c r="R50" s="574">
        <v>5800</v>
      </c>
      <c r="S50" s="574">
        <v>5800</v>
      </c>
      <c r="T50" s="574">
        <v>6000</v>
      </c>
      <c r="U50" s="574">
        <v>6000</v>
      </c>
      <c r="V50" s="574">
        <v>6000</v>
      </c>
      <c r="W50" s="574">
        <v>6000</v>
      </c>
      <c r="X50" s="574">
        <v>6000</v>
      </c>
      <c r="Y50" s="574">
        <v>6000</v>
      </c>
      <c r="Z50" s="574">
        <v>6000</v>
      </c>
      <c r="AA50" s="574">
        <v>6000</v>
      </c>
      <c r="AB50" s="574">
        <v>6000</v>
      </c>
      <c r="AC50" s="574">
        <v>6000</v>
      </c>
      <c r="AD50" s="574">
        <v>6000</v>
      </c>
      <c r="AE50" s="419"/>
      <c r="AF50" s="404"/>
      <c r="AG50" s="404"/>
      <c r="AH50" s="425"/>
      <c r="AI50" s="418"/>
    </row>
    <row r="51" spans="1:35" ht="12.75">
      <c r="A51" s="400"/>
      <c r="B51" s="400"/>
      <c r="C51" s="400"/>
      <c r="D51" s="400"/>
      <c r="E51" s="400"/>
      <c r="F51" s="400"/>
      <c r="G51" s="400"/>
      <c r="H51" s="454"/>
      <c r="I51" s="400"/>
      <c r="J51" s="400"/>
      <c r="K51" s="400"/>
      <c r="L51" s="400"/>
      <c r="M51" s="400"/>
      <c r="N51" s="400"/>
      <c r="O51" s="400"/>
      <c r="P51" s="400"/>
      <c r="Q51" s="574"/>
      <c r="R51" s="574"/>
      <c r="S51" s="574"/>
      <c r="T51" s="574"/>
      <c r="U51" s="574"/>
      <c r="V51" s="574"/>
      <c r="W51" s="574"/>
      <c r="X51" s="574"/>
      <c r="Y51" s="574"/>
      <c r="Z51" s="574"/>
      <c r="AA51" s="574"/>
      <c r="AB51" s="574"/>
      <c r="AC51" s="574"/>
      <c r="AD51" s="574"/>
      <c r="AE51" s="419"/>
      <c r="AF51" s="404"/>
      <c r="AG51" s="404"/>
      <c r="AH51" s="425"/>
      <c r="AI51" s="418"/>
    </row>
    <row r="52" spans="1:35" ht="12.75">
      <c r="A52" s="424" t="s">
        <v>729</v>
      </c>
      <c r="B52" s="428"/>
      <c r="C52" s="428" t="e">
        <f>(+C10-C43)/C32</f>
        <v>#DIV/0!</v>
      </c>
      <c r="D52" s="428">
        <f t="shared" ref="D52:P52" si="44">((((+D9-D8)/(C9-C8))-1)-D43)/D32</f>
        <v>0.32214758548564276</v>
      </c>
      <c r="E52" s="428">
        <f t="shared" si="44"/>
        <v>1.2940432129542943</v>
      </c>
      <c r="F52" s="428">
        <f t="shared" si="44"/>
        <v>1.0051134974798992</v>
      </c>
      <c r="G52" s="428">
        <f t="shared" si="44"/>
        <v>0.96765032502652393</v>
      </c>
      <c r="H52" s="428">
        <f t="shared" si="44"/>
        <v>0.7553428792885748</v>
      </c>
      <c r="I52" s="428">
        <f t="shared" si="44"/>
        <v>0.5744115862810204</v>
      </c>
      <c r="J52" s="428">
        <f t="shared" si="44"/>
        <v>0.90939977774687797</v>
      </c>
      <c r="K52" s="428">
        <f t="shared" si="44"/>
        <v>0.65982991841179051</v>
      </c>
      <c r="L52" s="428">
        <f t="shared" si="44"/>
        <v>0.51638366220603504</v>
      </c>
      <c r="M52" s="428">
        <f t="shared" si="44"/>
        <v>1.0700492158114729</v>
      </c>
      <c r="N52" s="428">
        <f t="shared" si="44"/>
        <v>1.0353460081500807</v>
      </c>
      <c r="O52" s="480">
        <f t="shared" si="44"/>
        <v>0.53309329301153652</v>
      </c>
      <c r="P52" s="428">
        <f t="shared" si="44"/>
        <v>0.50640924370481832</v>
      </c>
      <c r="Q52" s="428">
        <f>((((+Q7)/(P7))-1)-Q43)/Q32</f>
        <v>0.28133168922661633</v>
      </c>
      <c r="R52" s="428">
        <f>((((+R7)/(Q7))-1)-R43)/R32</f>
        <v>-3.7647746977147261</v>
      </c>
      <c r="S52" s="428">
        <f t="shared" ref="S52:Y52" si="45">((((+S9-S8)/(R9-R8))-1)-S43)/S32</f>
        <v>1.2086459273329233</v>
      </c>
      <c r="T52" s="428">
        <f t="shared" si="45"/>
        <v>-0.95692351593121494</v>
      </c>
      <c r="U52" s="428">
        <f t="shared" si="45"/>
        <v>-1.0599041100489153</v>
      </c>
      <c r="V52" s="428">
        <f>((((+V9-V8)/(U9-U8))-1)-V43)/V32</f>
        <v>0.89764281087519648</v>
      </c>
      <c r="W52" s="428">
        <f>((((+W9-W8)/(V9-V8))-1)-W43)/W32</f>
        <v>-1.8444004812860764</v>
      </c>
      <c r="X52" s="428">
        <f>((((+X9-X8)/(W9-W8))-1)-X43)/X32</f>
        <v>-101.77663737509351</v>
      </c>
      <c r="Y52" s="428">
        <f t="shared" si="45"/>
        <v>31.067367813318313</v>
      </c>
      <c r="Z52" s="428">
        <f>((((+Z9-Z8)/(Y9-Y8))-1)-Z43)/Z32</f>
        <v>-17.655854266587909</v>
      </c>
      <c r="AA52" s="428">
        <f>((((+AA9-AA8)/(Z9-Z8))-1)-AA43)/AA32</f>
        <v>-3.2345829230801879</v>
      </c>
      <c r="AB52" s="428">
        <f>((((+AB9-AB8)/(AA9-AA8))-1)-AB43)/AB32</f>
        <v>138.05240887530798</v>
      </c>
      <c r="AC52" s="428">
        <f>((((+AC9-AC8)/(AB9-AB8))-1)-AC43)/AC32</f>
        <v>11.934152328420366</v>
      </c>
      <c r="AD52" s="428">
        <f>((((+AD9-AD8)/(AC9-AC8))-1)-AD43)/AD32</f>
        <v>6.5977474084650742</v>
      </c>
      <c r="AE52" s="455"/>
      <c r="AF52" s="402"/>
      <c r="AG52" s="402"/>
      <c r="AH52" s="456"/>
      <c r="AI52" s="457"/>
    </row>
    <row r="53" spans="1:35" ht="12.75">
      <c r="A53" s="424" t="s">
        <v>379</v>
      </c>
      <c r="B53" s="428"/>
      <c r="C53" s="428"/>
      <c r="D53" s="428"/>
      <c r="E53" s="428"/>
      <c r="F53" s="428"/>
      <c r="G53" s="428"/>
      <c r="H53" s="428"/>
      <c r="I53" s="428"/>
      <c r="J53" s="428"/>
      <c r="K53" s="428"/>
      <c r="L53" s="428"/>
      <c r="M53" s="428"/>
      <c r="N53" s="428"/>
      <c r="O53" s="480"/>
      <c r="P53" s="428"/>
      <c r="Q53" s="428"/>
      <c r="R53" s="879">
        <v>3</v>
      </c>
      <c r="S53" s="879">
        <v>21</v>
      </c>
      <c r="T53" s="879">
        <v>49</v>
      </c>
      <c r="U53" s="879">
        <v>66</v>
      </c>
      <c r="V53" s="1785">
        <v>99</v>
      </c>
      <c r="W53" s="879">
        <v>141</v>
      </c>
      <c r="X53" s="879">
        <v>176</v>
      </c>
      <c r="Y53" s="1785">
        <v>214</v>
      </c>
      <c r="Z53" s="1785">
        <v>261</v>
      </c>
      <c r="AA53" s="428"/>
      <c r="AB53" s="428"/>
      <c r="AC53" s="428"/>
      <c r="AD53" s="428"/>
      <c r="AE53" s="404"/>
      <c r="AF53" s="404"/>
      <c r="AG53" s="404"/>
      <c r="AH53" s="425"/>
      <c r="AI53" s="404"/>
    </row>
    <row r="54" spans="1:35" ht="12.75">
      <c r="A54" s="400"/>
      <c r="B54" s="400"/>
      <c r="C54" s="400"/>
      <c r="D54" s="400"/>
      <c r="E54" s="400"/>
      <c r="F54" s="400"/>
      <c r="G54" s="400"/>
      <c r="H54" s="458"/>
      <c r="I54" s="400"/>
      <c r="J54" s="400"/>
      <c r="K54" s="400"/>
      <c r="L54" s="400"/>
      <c r="M54" s="400"/>
      <c r="N54" s="400"/>
      <c r="O54" s="400"/>
      <c r="P54" s="400"/>
      <c r="Q54" s="400"/>
      <c r="R54" s="400"/>
      <c r="S54" s="400"/>
      <c r="T54" s="400"/>
      <c r="U54" s="400"/>
      <c r="V54" s="400"/>
      <c r="W54" s="400"/>
      <c r="X54" s="400"/>
      <c r="Y54" s="400"/>
      <c r="Z54" s="400"/>
      <c r="AA54" s="400"/>
      <c r="AB54" s="400"/>
      <c r="AC54" s="400"/>
      <c r="AD54" s="400"/>
      <c r="AE54" s="404"/>
      <c r="AF54" s="404"/>
      <c r="AG54" s="404"/>
      <c r="AH54" s="425"/>
      <c r="AI54" s="404"/>
    </row>
    <row r="55" spans="1:35" ht="12.75">
      <c r="A55" s="400" t="s">
        <v>508</v>
      </c>
      <c r="B55" s="459"/>
      <c r="C55" s="459"/>
      <c r="D55" s="459"/>
      <c r="E55" s="459"/>
      <c r="F55" s="459"/>
      <c r="G55" s="459"/>
      <c r="H55" s="459"/>
      <c r="I55" s="459">
        <f>'yrP&amp;L'!H19/yrSales!I31</f>
        <v>114.31062704109561</v>
      </c>
      <c r="J55" s="459">
        <f>'yrP&amp;L'!I19/yrSales!J31</f>
        <v>98.083146069929327</v>
      </c>
      <c r="K55" s="459">
        <f>'yrP&amp;L'!J19/yrSales!K31</f>
        <v>88.435819111948106</v>
      </c>
      <c r="L55" s="459">
        <f>'yrP&amp;L'!K19/yrSales!L31</f>
        <v>102.68745973616996</v>
      </c>
      <c r="M55" s="459">
        <f>'yrP&amp;L'!L19/yrSales!M31</f>
        <v>116.04343457056272</v>
      </c>
      <c r="N55" s="459">
        <f>'yrP&amp;L'!M19/yrSales!N31</f>
        <v>133.85018750090495</v>
      </c>
      <c r="O55" s="459">
        <f>'yrP&amp;L'!N19/yrSales!O31</f>
        <v>131.43070791988643</v>
      </c>
      <c r="P55" s="459">
        <f>'yrP&amp;L'!O19/yrSales!P31</f>
        <v>121.95297613020129</v>
      </c>
      <c r="Q55" s="459">
        <f>'yrP&amp;L'!P19/yrSales!Q31</f>
        <v>115.64184285721348</v>
      </c>
      <c r="R55" s="459">
        <f>'yrP&amp;L'!Q19/yrSales!R31</f>
        <v>112.43384000678195</v>
      </c>
      <c r="S55" s="459">
        <f>'yrP&amp;L'!R19/yrSales!S31</f>
        <v>113.30049848517841</v>
      </c>
      <c r="T55" s="459">
        <f>'yrP&amp;L'!S19/yrSales!T31</f>
        <v>132.63711341889524</v>
      </c>
      <c r="U55" s="459">
        <f>'yrP&amp;L'!T19/yrSales!U31</f>
        <v>124.13309950511396</v>
      </c>
      <c r="V55" s="459">
        <f>'yrP&amp;L'!U19/yrSales!V31</f>
        <v>122.97367396236035</v>
      </c>
      <c r="W55" s="459">
        <f>'yrP&amp;L'!V19/yrSales!W31</f>
        <v>126.333582105704</v>
      </c>
      <c r="X55" s="459">
        <f>'yrP&amp;L'!W19/yrSales!X31</f>
        <v>129.72396630989172</v>
      </c>
      <c r="Y55" s="459">
        <f>'yrP&amp;L'!X19/yrSales!Y31</f>
        <v>133.28480837122262</v>
      </c>
      <c r="Z55" s="896">
        <f>'yrP&amp;L'!Y19/yrSales!Z31</f>
        <v>135.27348335169242</v>
      </c>
      <c r="AA55" s="896">
        <f>'yrP&amp;L'!Z19/yrSales!AA31</f>
        <v>137.1090040981062</v>
      </c>
      <c r="AB55" s="896">
        <f>'yrP&amp;L'!AA19/yrSales!AB31</f>
        <v>140.11555476507382</v>
      </c>
      <c r="AC55" s="896">
        <f>'yrP&amp;L'!AB19/yrSales!AC31</f>
        <v>141.37071192827264</v>
      </c>
      <c r="AD55" s="896">
        <f>'yrP&amp;L'!AD19/yrSales!AD31</f>
        <v>0</v>
      </c>
      <c r="AE55" s="460"/>
      <c r="AF55" s="461"/>
      <c r="AG55" s="426"/>
      <c r="AH55" s="425"/>
      <c r="AI55" s="426"/>
    </row>
    <row r="56" spans="1:35" ht="12.75" hidden="1" outlineLevel="1">
      <c r="A56" s="462"/>
      <c r="B56" s="458"/>
      <c r="C56" s="458"/>
      <c r="D56" s="458"/>
      <c r="E56" s="458"/>
      <c r="F56" s="458"/>
      <c r="G56" s="458"/>
      <c r="H56" s="458"/>
      <c r="I56" s="458"/>
      <c r="J56" s="458"/>
      <c r="K56" s="458"/>
      <c r="L56" s="458"/>
      <c r="M56" s="458"/>
      <c r="N56" s="458"/>
      <c r="O56" s="458"/>
      <c r="P56" s="458"/>
      <c r="Q56" s="458"/>
      <c r="R56" s="458"/>
      <c r="S56" s="458"/>
      <c r="T56" s="458"/>
      <c r="U56" s="458"/>
      <c r="V56" s="458"/>
      <c r="W56" s="458"/>
      <c r="X56" s="458"/>
      <c r="Y56" s="458"/>
      <c r="Z56" s="458"/>
      <c r="AA56" s="458"/>
      <c r="AB56" s="458"/>
      <c r="AC56" s="458"/>
      <c r="AD56" s="458"/>
      <c r="AE56" s="404"/>
      <c r="AF56" s="404"/>
      <c r="AG56" s="404"/>
      <c r="AH56" s="425"/>
      <c r="AI56" s="404"/>
    </row>
    <row r="57" spans="1:35" ht="12.75" hidden="1" outlineLevel="1">
      <c r="A57" s="400"/>
      <c r="B57" s="400"/>
      <c r="C57" s="400"/>
      <c r="D57" s="400"/>
      <c r="E57" s="463"/>
      <c r="F57" s="400"/>
      <c r="G57" s="400"/>
      <c r="H57" s="400"/>
      <c r="I57" s="400"/>
      <c r="J57" s="400"/>
      <c r="K57" s="400"/>
      <c r="L57" s="203"/>
      <c r="M57" s="203"/>
      <c r="N57" s="203"/>
      <c r="O57" s="203"/>
      <c r="P57" s="203"/>
      <c r="Q57" s="203"/>
      <c r="R57" s="203"/>
      <c r="S57" s="203"/>
      <c r="T57" s="203"/>
      <c r="U57" s="203"/>
      <c r="V57" s="203"/>
      <c r="W57" s="203"/>
      <c r="X57" s="203"/>
      <c r="Y57" s="203"/>
      <c r="Z57" s="203"/>
      <c r="AA57" s="203"/>
      <c r="AB57" s="203"/>
      <c r="AC57" s="203"/>
      <c r="AD57" s="203"/>
      <c r="AE57" s="400"/>
      <c r="AF57" s="400"/>
      <c r="AG57" s="400"/>
      <c r="AH57" s="464"/>
      <c r="AI57" s="400"/>
    </row>
    <row r="58" spans="1:35" ht="12.75" collapsed="1">
      <c r="A58" s="400"/>
      <c r="B58" s="400"/>
      <c r="C58" s="400"/>
      <c r="D58" s="400"/>
      <c r="E58" s="463"/>
      <c r="F58" s="400"/>
      <c r="G58" s="400"/>
      <c r="H58" s="400"/>
      <c r="I58" s="400"/>
      <c r="J58" s="400"/>
      <c r="K58" s="400"/>
      <c r="L58" s="203"/>
      <c r="M58" s="203"/>
      <c r="N58" s="203"/>
      <c r="O58" s="203"/>
      <c r="P58" s="203"/>
      <c r="Q58" s="203"/>
      <c r="R58" s="203"/>
      <c r="S58" s="203"/>
      <c r="T58" s="203"/>
      <c r="U58" s="203"/>
      <c r="V58" s="203"/>
      <c r="W58" s="203"/>
      <c r="X58" s="203"/>
      <c r="Y58" s="203"/>
      <c r="Z58" s="203"/>
      <c r="AA58" s="203"/>
      <c r="AB58" s="203"/>
      <c r="AC58" s="203"/>
      <c r="AD58" s="203"/>
      <c r="AE58" s="400"/>
      <c r="AF58" s="400"/>
      <c r="AG58" s="400"/>
      <c r="AH58" s="464"/>
      <c r="AI58" s="400"/>
    </row>
    <row r="59" spans="1:35" ht="12.75" hidden="1" outlineLevel="1">
      <c r="A59" s="465" t="s">
        <v>90</v>
      </c>
      <c r="B59" s="465"/>
      <c r="C59" s="465"/>
      <c r="D59" s="465"/>
      <c r="E59" s="465"/>
      <c r="F59" s="465"/>
      <c r="G59" s="465"/>
      <c r="H59" s="465"/>
      <c r="I59" s="465"/>
      <c r="J59" s="465"/>
      <c r="K59" s="465"/>
      <c r="L59" s="466"/>
      <c r="M59" s="466"/>
      <c r="N59" s="466"/>
      <c r="O59" s="466"/>
      <c r="P59" s="466"/>
      <c r="Q59" s="466"/>
      <c r="R59" s="466"/>
      <c r="S59" s="466"/>
      <c r="T59" s="466"/>
      <c r="U59" s="466"/>
      <c r="V59" s="466"/>
      <c r="W59" s="466"/>
      <c r="X59" s="466"/>
      <c r="Y59" s="466"/>
      <c r="Z59" s="466"/>
      <c r="AA59" s="466"/>
      <c r="AB59" s="466"/>
      <c r="AC59" s="466"/>
      <c r="AD59" s="466"/>
      <c r="AE59" s="465"/>
      <c r="AF59" s="465"/>
      <c r="AG59" s="465"/>
      <c r="AH59" s="467"/>
      <c r="AI59" s="465"/>
    </row>
    <row r="60" spans="1:35" ht="12.75" collapsed="1">
      <c r="A60" s="465" t="s">
        <v>175</v>
      </c>
      <c r="B60" s="465"/>
      <c r="C60" s="465"/>
      <c r="D60" s="465"/>
      <c r="E60" s="468"/>
      <c r="F60" s="465"/>
      <c r="G60" s="465"/>
      <c r="H60" s="465"/>
      <c r="I60" s="465"/>
      <c r="J60" s="465"/>
      <c r="K60" s="465"/>
      <c r="L60" s="466"/>
      <c r="M60" s="466"/>
      <c r="N60" s="466"/>
      <c r="O60" s="466"/>
      <c r="P60" s="466"/>
      <c r="Q60" s="466"/>
      <c r="R60" s="466"/>
      <c r="S60" s="466"/>
      <c r="T60" s="466"/>
      <c r="U60" s="466"/>
      <c r="V60" s="466"/>
      <c r="W60" s="466"/>
      <c r="X60" s="466"/>
      <c r="Y60" s="466"/>
      <c r="Z60" s="466"/>
      <c r="AA60" s="466"/>
      <c r="AB60" s="466"/>
      <c r="AC60" s="466"/>
      <c r="AD60" s="466"/>
      <c r="AE60" s="465"/>
      <c r="AF60" s="465"/>
      <c r="AG60" s="465"/>
      <c r="AH60" s="467"/>
      <c r="AI60" s="465"/>
    </row>
    <row r="61" spans="1:35" ht="12.75">
      <c r="A61" s="400"/>
      <c r="B61" s="400"/>
      <c r="C61" s="400"/>
      <c r="D61" s="400"/>
      <c r="E61" s="463"/>
      <c r="F61" s="400"/>
      <c r="G61" s="400"/>
      <c r="H61" s="400"/>
      <c r="I61" s="400"/>
      <c r="J61" s="400"/>
      <c r="K61" s="400"/>
      <c r="L61" s="203"/>
      <c r="M61" s="203"/>
      <c r="N61" s="203"/>
      <c r="O61" s="203"/>
      <c r="P61" s="203"/>
      <c r="Q61" s="203"/>
      <c r="R61" s="203"/>
      <c r="S61" s="667"/>
      <c r="T61" s="203"/>
      <c r="U61" s="203"/>
      <c r="V61" s="203"/>
      <c r="W61" s="203"/>
      <c r="X61" s="203"/>
      <c r="Y61" s="203"/>
      <c r="Z61" s="203"/>
      <c r="AA61" s="203"/>
      <c r="AB61" s="203"/>
      <c r="AC61" s="203"/>
      <c r="AD61" s="203"/>
      <c r="AE61" s="400"/>
      <c r="AF61" s="400"/>
      <c r="AG61" s="400"/>
      <c r="AH61" s="464"/>
      <c r="AI61" s="400"/>
    </row>
    <row r="62" spans="1:35" ht="12.75">
      <c r="A62" s="469" t="s">
        <v>572</v>
      </c>
      <c r="B62" s="400"/>
      <c r="C62" s="400"/>
      <c r="D62" s="400"/>
      <c r="E62" s="400"/>
      <c r="F62" s="400"/>
      <c r="G62" s="400"/>
      <c r="H62" s="400"/>
      <c r="I62" s="400"/>
      <c r="J62" s="400"/>
      <c r="K62" s="400"/>
      <c r="L62" s="400"/>
      <c r="M62" s="400"/>
      <c r="N62" s="400"/>
      <c r="O62" s="400"/>
      <c r="P62" s="400"/>
      <c r="Q62" s="400"/>
      <c r="R62" s="400"/>
      <c r="S62" s="400"/>
      <c r="T62" s="400"/>
      <c r="U62" s="400"/>
      <c r="V62" s="400"/>
      <c r="W62" s="400"/>
      <c r="X62" s="400"/>
      <c r="Y62" s="400"/>
      <c r="Z62" s="400"/>
      <c r="AA62" s="400"/>
      <c r="AB62" s="400"/>
      <c r="AC62" s="400"/>
      <c r="AD62" s="400"/>
      <c r="AE62" s="400"/>
      <c r="AF62" s="400"/>
      <c r="AG62" s="400"/>
      <c r="AH62" s="464"/>
      <c r="AI62" s="400"/>
    </row>
    <row r="63" spans="1:35" ht="12.75">
      <c r="A63" s="400"/>
      <c r="B63" s="400"/>
      <c r="C63" s="400"/>
      <c r="D63" s="400"/>
      <c r="E63" s="400"/>
      <c r="F63" s="400"/>
      <c r="G63" s="400"/>
      <c r="H63" s="400"/>
      <c r="I63" s="400"/>
      <c r="J63" s="400"/>
      <c r="K63" s="400"/>
      <c r="L63" s="203"/>
      <c r="M63" s="203"/>
      <c r="N63" s="203"/>
      <c r="O63" s="203"/>
      <c r="P63" s="203"/>
      <c r="Q63" s="203"/>
      <c r="R63" s="203"/>
      <c r="S63" s="203"/>
      <c r="T63" s="203"/>
      <c r="U63" s="203"/>
      <c r="V63" s="203"/>
      <c r="W63" s="203"/>
      <c r="X63" s="203"/>
      <c r="Y63" s="203"/>
      <c r="Z63" s="203"/>
      <c r="AA63" s="203"/>
      <c r="AB63" s="203"/>
      <c r="AC63" s="203"/>
      <c r="AD63" s="203"/>
      <c r="AE63" s="400"/>
      <c r="AF63" s="400"/>
      <c r="AG63" s="400"/>
      <c r="AH63" s="400"/>
      <c r="AI63" s="400"/>
    </row>
    <row r="64" spans="1:35" ht="12.75" hidden="1" outlineLevel="1">
      <c r="A64" s="399" t="s">
        <v>555</v>
      </c>
      <c r="B64" s="400"/>
      <c r="C64" s="400"/>
      <c r="D64" s="400"/>
      <c r="E64" s="400"/>
      <c r="F64" s="400"/>
      <c r="G64" s="400"/>
      <c r="H64" s="400"/>
      <c r="I64" s="400"/>
      <c r="J64" s="400"/>
      <c r="K64" s="400"/>
      <c r="L64" s="203"/>
      <c r="M64" s="203"/>
      <c r="N64" s="203"/>
      <c r="O64" s="203"/>
      <c r="P64" s="203"/>
      <c r="Q64" s="203"/>
      <c r="R64" s="203"/>
      <c r="S64" s="203"/>
      <c r="T64" s="203"/>
      <c r="U64" s="203"/>
      <c r="V64" s="203"/>
      <c r="W64" s="203"/>
      <c r="X64" s="203"/>
      <c r="Y64" s="203"/>
      <c r="Z64" s="203"/>
      <c r="AA64" s="203"/>
      <c r="AB64" s="203"/>
      <c r="AC64" s="203"/>
      <c r="AD64" s="203"/>
      <c r="AE64" s="400"/>
      <c r="AF64" s="400"/>
      <c r="AG64" s="400"/>
      <c r="AH64" s="400"/>
      <c r="AI64" s="400"/>
    </row>
    <row r="65" spans="1:35" ht="12.75" hidden="1" outlineLevel="1">
      <c r="A65" s="401" t="s">
        <v>601</v>
      </c>
      <c r="B65" s="402"/>
      <c r="C65" s="402"/>
      <c r="D65" s="402"/>
      <c r="E65" s="402"/>
      <c r="F65" s="402"/>
      <c r="G65" s="402"/>
      <c r="H65" s="402"/>
      <c r="I65" s="402"/>
      <c r="J65" s="402"/>
      <c r="K65" s="402"/>
      <c r="L65" s="402"/>
      <c r="M65" s="402"/>
      <c r="N65" s="402"/>
      <c r="O65" s="402"/>
      <c r="P65" s="402"/>
      <c r="Q65" s="402"/>
      <c r="R65" s="402"/>
      <c r="S65" s="402"/>
      <c r="T65" s="402"/>
      <c r="U65" s="402"/>
      <c r="V65" s="402"/>
      <c r="W65" s="402"/>
      <c r="X65" s="402"/>
      <c r="Y65" s="402"/>
      <c r="Z65" s="402"/>
      <c r="AA65" s="402"/>
      <c r="AB65" s="402"/>
      <c r="AC65" s="402"/>
      <c r="AD65" s="402"/>
      <c r="AE65" s="402"/>
      <c r="AF65" s="402"/>
      <c r="AG65" s="402"/>
      <c r="AH65" s="402"/>
      <c r="AI65" s="402"/>
    </row>
    <row r="66" spans="1:35" ht="12.75" hidden="1" outlineLevel="1">
      <c r="A66" s="403"/>
      <c r="B66" s="404"/>
      <c r="C66" s="404"/>
      <c r="D66" s="404"/>
      <c r="E66" s="404"/>
      <c r="F66" s="404"/>
      <c r="G66" s="404"/>
      <c r="H66" s="404"/>
      <c r="I66" s="404"/>
      <c r="J66" s="404"/>
      <c r="K66" s="404"/>
      <c r="L66" s="404"/>
      <c r="M66" s="404"/>
      <c r="N66" s="404"/>
      <c r="O66" s="404"/>
      <c r="P66" s="404">
        <f>AVERAGE(G67:P67)</f>
        <v>446.10435883125012</v>
      </c>
      <c r="Q66" s="404">
        <f>Q67/P66</f>
        <v>0.93152233308665577</v>
      </c>
      <c r="R66" s="404"/>
      <c r="S66" s="404"/>
      <c r="T66" s="404"/>
      <c r="U66" s="404"/>
      <c r="V66" s="404"/>
      <c r="W66" s="404"/>
      <c r="X66" s="404"/>
      <c r="Y66" s="404"/>
      <c r="Z66" s="404"/>
      <c r="AA66" s="404"/>
      <c r="AB66" s="404"/>
      <c r="AC66" s="404"/>
      <c r="AD66" s="404"/>
      <c r="AE66" s="404"/>
      <c r="AF66" s="404"/>
      <c r="AG66" s="404"/>
      <c r="AH66" s="404"/>
      <c r="AI66" s="404"/>
    </row>
    <row r="67" spans="1:35" ht="12.75" hidden="1" outlineLevel="1">
      <c r="A67" s="405"/>
      <c r="B67" s="400"/>
      <c r="C67" s="400"/>
      <c r="D67" s="400"/>
      <c r="E67" s="400"/>
      <c r="F67" s="400"/>
      <c r="G67" s="400">
        <f>G7/G31</f>
        <v>454.16644265923793</v>
      </c>
      <c r="H67" s="400">
        <f t="shared" ref="H67:T67" si="46">H7/H31</f>
        <v>451.69202735922164</v>
      </c>
      <c r="I67" s="400">
        <f t="shared" si="46"/>
        <v>417.8326196646176</v>
      </c>
      <c r="J67" s="400">
        <f t="shared" si="46"/>
        <v>396.32663584696934</v>
      </c>
      <c r="K67" s="400">
        <f t="shared" si="46"/>
        <v>357.92575815703708</v>
      </c>
      <c r="L67" s="400">
        <f t="shared" si="46"/>
        <v>413.96935073976096</v>
      </c>
      <c r="M67" s="400">
        <f t="shared" si="46"/>
        <v>476.12187468523774</v>
      </c>
      <c r="N67" s="400">
        <f t="shared" si="46"/>
        <v>530.69130803398343</v>
      </c>
      <c r="O67" s="400">
        <f t="shared" si="46"/>
        <v>516.75453002513916</v>
      </c>
      <c r="P67" s="400">
        <f t="shared" si="46"/>
        <v>445.56304114129654</v>
      </c>
      <c r="Q67" s="400">
        <f t="shared" si="46"/>
        <v>415.55617313861279</v>
      </c>
      <c r="R67" s="400">
        <f t="shared" si="46"/>
        <v>417.68073334623614</v>
      </c>
      <c r="S67" s="400">
        <f t="shared" si="46"/>
        <v>434.80756141190642</v>
      </c>
      <c r="T67" s="400">
        <f t="shared" si="46"/>
        <v>480.00595382485795</v>
      </c>
      <c r="U67" s="400"/>
      <c r="V67" s="400"/>
      <c r="W67" s="400"/>
      <c r="X67" s="400"/>
      <c r="Y67" s="400"/>
      <c r="Z67" s="400"/>
      <c r="AA67" s="400"/>
      <c r="AB67" s="400"/>
      <c r="AC67" s="400"/>
      <c r="AD67" s="400"/>
      <c r="AE67" s="407"/>
      <c r="AF67" s="408"/>
      <c r="AG67" s="409" t="s">
        <v>715</v>
      </c>
      <c r="AH67" s="408"/>
      <c r="AI67" s="410"/>
    </row>
    <row r="68" spans="1:35" ht="12.75" hidden="1" outlineLevel="1">
      <c r="A68" s="411"/>
      <c r="B68" s="412"/>
      <c r="C68" s="412"/>
      <c r="D68" s="413" t="str">
        <f>+D5</f>
        <v>1996A</v>
      </c>
      <c r="E68" s="413" t="str">
        <f t="shared" ref="E68:L68" si="47">+E5</f>
        <v>1997A</v>
      </c>
      <c r="F68" s="413" t="str">
        <f t="shared" si="47"/>
        <v>1998A</v>
      </c>
      <c r="G68" s="413" t="str">
        <f t="shared" si="47"/>
        <v>1999A</v>
      </c>
      <c r="H68" s="413" t="str">
        <f t="shared" si="47"/>
        <v>2000A</v>
      </c>
      <c r="I68" s="413" t="str">
        <f t="shared" si="47"/>
        <v>2001A</v>
      </c>
      <c r="J68" s="413" t="str">
        <f t="shared" si="47"/>
        <v>2002A</v>
      </c>
      <c r="K68" s="413" t="str">
        <f t="shared" si="47"/>
        <v>2003A</v>
      </c>
      <c r="L68" s="470" t="str">
        <f t="shared" si="47"/>
        <v>2004A</v>
      </c>
      <c r="M68" s="415"/>
      <c r="N68" s="415"/>
      <c r="O68" s="415"/>
      <c r="P68" s="415"/>
      <c r="Q68" s="415"/>
      <c r="R68" s="494"/>
      <c r="S68" s="494"/>
      <c r="T68" s="494"/>
      <c r="U68" s="494"/>
      <c r="V68" s="494"/>
      <c r="W68" s="494"/>
      <c r="X68" s="494"/>
      <c r="Y68" s="494"/>
      <c r="Z68" s="494"/>
      <c r="AA68" s="494"/>
      <c r="AB68" s="494"/>
      <c r="AC68" s="494"/>
      <c r="AD68" s="494"/>
      <c r="AE68" s="416"/>
      <c r="AF68" s="409" t="str">
        <f>AF5</f>
        <v>11A-16</v>
      </c>
      <c r="AG68" s="404"/>
      <c r="AH68" s="409" t="str">
        <f>AH5</f>
        <v>16-22E</v>
      </c>
      <c r="AI68" s="418"/>
    </row>
    <row r="69" spans="1:35" ht="12.75" hidden="1" outlineLevel="1">
      <c r="A69" s="411"/>
      <c r="B69" s="411"/>
      <c r="C69" s="411"/>
      <c r="D69" s="411"/>
      <c r="E69" s="400"/>
      <c r="F69" s="400"/>
      <c r="G69" s="400"/>
      <c r="H69" s="400"/>
      <c r="I69" s="400"/>
      <c r="J69" s="400"/>
      <c r="K69" s="400"/>
      <c r="L69" s="203"/>
      <c r="M69" s="203"/>
      <c r="N69" s="203"/>
      <c r="O69" s="203"/>
      <c r="P69" s="203"/>
      <c r="Q69" s="203"/>
      <c r="R69" s="203"/>
      <c r="S69" s="203"/>
      <c r="T69" s="203"/>
      <c r="U69" s="203"/>
      <c r="V69" s="203"/>
      <c r="W69" s="203"/>
      <c r="X69" s="203"/>
      <c r="Y69" s="203"/>
      <c r="Z69" s="203"/>
      <c r="AA69" s="203"/>
      <c r="AB69" s="203"/>
      <c r="AC69" s="203"/>
      <c r="AD69" s="203"/>
      <c r="AE69" s="419"/>
      <c r="AF69" s="404"/>
      <c r="AG69" s="404"/>
      <c r="AH69" s="404"/>
      <c r="AI69" s="418"/>
    </row>
    <row r="70" spans="1:35" ht="12.75" hidden="1" outlineLevel="1">
      <c r="A70" s="424" t="s">
        <v>720</v>
      </c>
      <c r="B70" s="421"/>
      <c r="C70" s="420"/>
      <c r="D70" s="421"/>
      <c r="E70" s="421"/>
      <c r="F70" s="421"/>
      <c r="G70" s="421"/>
      <c r="H70" s="421">
        <f>+qtrSales!R231</f>
        <v>0</v>
      </c>
      <c r="I70" s="421">
        <f>+qtrSales!R238</f>
        <v>0</v>
      </c>
      <c r="J70" s="421">
        <f>+qtrSales!R245</f>
        <v>0</v>
      </c>
      <c r="K70" s="421">
        <f>+qtrSales!R252</f>
        <v>0</v>
      </c>
      <c r="L70" s="421">
        <f>+qtrSales!R259</f>
        <v>0</v>
      </c>
      <c r="M70" s="423"/>
      <c r="N70" s="423"/>
      <c r="O70" s="423"/>
      <c r="P70" s="423"/>
      <c r="Q70" s="423"/>
      <c r="R70" s="423"/>
      <c r="S70" s="423"/>
      <c r="T70" s="423"/>
      <c r="U70" s="423"/>
      <c r="V70" s="423"/>
      <c r="W70" s="423"/>
      <c r="X70" s="423"/>
      <c r="Y70" s="423"/>
      <c r="Z70" s="423"/>
      <c r="AA70" s="423"/>
      <c r="AB70" s="423"/>
      <c r="AC70" s="423"/>
      <c r="AD70" s="423"/>
      <c r="AE70" s="419"/>
      <c r="AF70" s="461" t="s">
        <v>714</v>
      </c>
      <c r="AG70" s="426"/>
      <c r="AH70" s="461" t="s">
        <v>714</v>
      </c>
      <c r="AI70" s="427" t="s">
        <v>697</v>
      </c>
    </row>
    <row r="71" spans="1:35" ht="12.75" hidden="1" outlineLevel="1">
      <c r="A71" s="424" t="s">
        <v>721</v>
      </c>
      <c r="B71" s="428"/>
      <c r="C71" s="429"/>
      <c r="D71" s="430"/>
      <c r="E71" s="428"/>
      <c r="F71" s="428"/>
      <c r="G71" s="428"/>
      <c r="H71" s="428"/>
      <c r="I71" s="471" t="s">
        <v>714</v>
      </c>
      <c r="J71" s="444"/>
      <c r="K71" s="428"/>
      <c r="L71" s="428"/>
      <c r="M71" s="428"/>
      <c r="N71" s="428"/>
      <c r="O71" s="428"/>
      <c r="P71" s="428"/>
      <c r="Q71" s="428"/>
      <c r="R71" s="428"/>
      <c r="S71" s="428"/>
      <c r="T71" s="428"/>
      <c r="U71" s="428"/>
      <c r="V71" s="428"/>
      <c r="W71" s="428"/>
      <c r="X71" s="428"/>
      <c r="Y71" s="428"/>
      <c r="Z71" s="428"/>
      <c r="AA71" s="428"/>
      <c r="AB71" s="428"/>
      <c r="AC71" s="428"/>
      <c r="AD71" s="428"/>
      <c r="AE71" s="419"/>
      <c r="AF71" s="404"/>
      <c r="AG71" s="404"/>
      <c r="AH71" s="425"/>
      <c r="AI71" s="418"/>
    </row>
    <row r="72" spans="1:35" ht="12.75" hidden="1" outlineLevel="1">
      <c r="A72" s="400"/>
      <c r="B72" s="400"/>
      <c r="C72" s="400"/>
      <c r="D72" s="400"/>
      <c r="E72" s="400"/>
      <c r="F72" s="400"/>
      <c r="G72" s="400"/>
      <c r="H72" s="400"/>
      <c r="I72" s="400"/>
      <c r="J72" s="400"/>
      <c r="K72" s="400"/>
      <c r="L72" s="400"/>
      <c r="M72" s="400"/>
      <c r="N72" s="400"/>
      <c r="O72" s="400"/>
      <c r="P72" s="400"/>
      <c r="Q72" s="400"/>
      <c r="R72" s="400"/>
      <c r="S72" s="400"/>
      <c r="T72" s="400"/>
      <c r="U72" s="400"/>
      <c r="V72" s="400"/>
      <c r="W72" s="400"/>
      <c r="X72" s="400"/>
      <c r="Y72" s="400"/>
      <c r="Z72" s="400"/>
      <c r="AA72" s="400"/>
      <c r="AB72" s="400"/>
      <c r="AC72" s="400"/>
      <c r="AD72" s="400"/>
      <c r="AE72" s="419"/>
      <c r="AF72" s="404"/>
      <c r="AG72" s="404"/>
      <c r="AH72" s="425"/>
      <c r="AI72" s="418"/>
    </row>
    <row r="73" spans="1:35" ht="12.75" hidden="1" outlineLevel="1">
      <c r="A73" s="424" t="s">
        <v>722</v>
      </c>
      <c r="B73" s="411"/>
      <c r="C73" s="411"/>
      <c r="D73" s="432"/>
      <c r="E73" s="411"/>
      <c r="F73" s="411"/>
      <c r="G73" s="411"/>
      <c r="H73" s="431">
        <v>0</v>
      </c>
      <c r="I73" s="411">
        <f>H78</f>
        <v>109</v>
      </c>
      <c r="J73" s="411">
        <f>I78</f>
        <v>112</v>
      </c>
      <c r="K73" s="411">
        <f>J78</f>
        <v>111</v>
      </c>
      <c r="L73" s="411">
        <f>K78</f>
        <v>110</v>
      </c>
      <c r="M73" s="411"/>
      <c r="N73" s="411"/>
      <c r="O73" s="411"/>
      <c r="P73" s="411"/>
      <c r="Q73" s="411"/>
      <c r="R73" s="411"/>
      <c r="S73" s="411"/>
      <c r="T73" s="411"/>
      <c r="U73" s="411"/>
      <c r="V73" s="411"/>
      <c r="W73" s="411"/>
      <c r="X73" s="411"/>
      <c r="Y73" s="411"/>
      <c r="Z73" s="411"/>
      <c r="AA73" s="411"/>
      <c r="AB73" s="411"/>
      <c r="AC73" s="411"/>
      <c r="AD73" s="411"/>
      <c r="AE73" s="419"/>
      <c r="AF73" s="404"/>
      <c r="AG73" s="404"/>
      <c r="AH73" s="425"/>
      <c r="AI73" s="418"/>
    </row>
    <row r="74" spans="1:35" ht="12.75" hidden="1" outlineLevel="1">
      <c r="A74" s="424" t="s">
        <v>723</v>
      </c>
      <c r="B74" s="411"/>
      <c r="C74" s="411"/>
      <c r="D74" s="433"/>
      <c r="E74" s="431"/>
      <c r="F74" s="431"/>
      <c r="G74" s="431"/>
      <c r="H74" s="411">
        <f>+H75+H76</f>
        <v>115</v>
      </c>
      <c r="I74" s="411">
        <f>+I75+I76</f>
        <v>3</v>
      </c>
      <c r="J74" s="411">
        <f>+J75+J76</f>
        <v>0</v>
      </c>
      <c r="K74" s="411">
        <f>+K75+K76</f>
        <v>0</v>
      </c>
      <c r="L74" s="411">
        <f>+L75+L76</f>
        <v>2</v>
      </c>
      <c r="M74" s="411"/>
      <c r="N74" s="411"/>
      <c r="O74" s="411"/>
      <c r="P74" s="411"/>
      <c r="Q74" s="411"/>
      <c r="R74" s="411"/>
      <c r="S74" s="411"/>
      <c r="T74" s="411"/>
      <c r="U74" s="411"/>
      <c r="V74" s="411"/>
      <c r="W74" s="411"/>
      <c r="X74" s="411"/>
      <c r="Y74" s="411"/>
      <c r="Z74" s="411"/>
      <c r="AA74" s="411"/>
      <c r="AB74" s="411"/>
      <c r="AC74" s="411"/>
      <c r="AD74" s="411"/>
      <c r="AE74" s="419"/>
      <c r="AF74" s="404"/>
      <c r="AG74" s="404"/>
      <c r="AH74" s="425"/>
      <c r="AI74" s="418"/>
    </row>
    <row r="75" spans="1:35" ht="12.75" hidden="1" outlineLevel="1">
      <c r="A75" s="472" t="s">
        <v>440</v>
      </c>
      <c r="B75" s="411"/>
      <c r="C75" s="411"/>
      <c r="D75" s="433"/>
      <c r="E75" s="431"/>
      <c r="F75" s="431"/>
      <c r="G75" s="431"/>
      <c r="H75" s="431">
        <v>115</v>
      </c>
      <c r="I75" s="431">
        <v>3</v>
      </c>
      <c r="J75" s="431">
        <v>0</v>
      </c>
      <c r="K75" s="431">
        <v>0</v>
      </c>
      <c r="L75" s="431">
        <v>2</v>
      </c>
      <c r="M75" s="431"/>
      <c r="N75" s="431"/>
      <c r="O75" s="431"/>
      <c r="P75" s="431"/>
      <c r="Q75" s="431"/>
      <c r="R75" s="431"/>
      <c r="S75" s="431"/>
      <c r="T75" s="431"/>
      <c r="U75" s="431"/>
      <c r="V75" s="431"/>
      <c r="W75" s="431"/>
      <c r="X75" s="431"/>
      <c r="Y75" s="431"/>
      <c r="Z75" s="431"/>
      <c r="AA75" s="431"/>
      <c r="AB75" s="431"/>
      <c r="AC75" s="431"/>
      <c r="AD75" s="431"/>
      <c r="AE75" s="419"/>
      <c r="AF75" s="404"/>
      <c r="AG75" s="404"/>
      <c r="AH75" s="425"/>
      <c r="AI75" s="418"/>
    </row>
    <row r="76" spans="1:35" ht="12.75" hidden="1" outlineLevel="1">
      <c r="A76" s="472" t="s">
        <v>437</v>
      </c>
      <c r="B76" s="411" t="s">
        <v>554</v>
      </c>
      <c r="C76" s="411"/>
      <c r="D76" s="433"/>
      <c r="E76" s="431"/>
      <c r="F76" s="431"/>
      <c r="G76" s="431"/>
      <c r="H76" s="431">
        <v>0</v>
      </c>
      <c r="I76" s="431">
        <v>0</v>
      </c>
      <c r="J76" s="431">
        <v>0</v>
      </c>
      <c r="K76" s="431">
        <v>0</v>
      </c>
      <c r="L76" s="431">
        <v>0</v>
      </c>
      <c r="M76" s="431"/>
      <c r="N76" s="431"/>
      <c r="O76" s="431"/>
      <c r="P76" s="431"/>
      <c r="Q76" s="431"/>
      <c r="R76" s="431"/>
      <c r="S76" s="431"/>
      <c r="T76" s="431"/>
      <c r="U76" s="431"/>
      <c r="V76" s="431"/>
      <c r="W76" s="431"/>
      <c r="X76" s="431"/>
      <c r="Y76" s="431"/>
      <c r="Z76" s="431"/>
      <c r="AA76" s="431"/>
      <c r="AB76" s="431"/>
      <c r="AC76" s="431"/>
      <c r="AD76" s="431"/>
      <c r="AE76" s="419"/>
      <c r="AF76" s="404"/>
      <c r="AG76" s="404"/>
      <c r="AH76" s="425"/>
      <c r="AI76" s="418"/>
    </row>
    <row r="77" spans="1:35" ht="12.75" hidden="1" outlineLevel="1">
      <c r="A77" s="435" t="s">
        <v>174</v>
      </c>
      <c r="B77" s="411"/>
      <c r="C77" s="411"/>
      <c r="D77" s="473"/>
      <c r="E77" s="431"/>
      <c r="F77" s="431"/>
      <c r="G77" s="431"/>
      <c r="H77" s="436">
        <v>-6</v>
      </c>
      <c r="I77" s="436">
        <v>0</v>
      </c>
      <c r="J77" s="436">
        <v>-1</v>
      </c>
      <c r="K77" s="436">
        <v>-1</v>
      </c>
      <c r="L77" s="436">
        <v>-112</v>
      </c>
      <c r="M77" s="436"/>
      <c r="N77" s="436"/>
      <c r="O77" s="436"/>
      <c r="P77" s="436"/>
      <c r="Q77" s="436"/>
      <c r="R77" s="436"/>
      <c r="S77" s="436"/>
      <c r="T77" s="436"/>
      <c r="U77" s="436"/>
      <c r="V77" s="436"/>
      <c r="W77" s="436"/>
      <c r="X77" s="436"/>
      <c r="Y77" s="436"/>
      <c r="Z77" s="436"/>
      <c r="AA77" s="436"/>
      <c r="AB77" s="436"/>
      <c r="AC77" s="436"/>
      <c r="AD77" s="436"/>
      <c r="AE77" s="419"/>
      <c r="AF77" s="404"/>
      <c r="AG77" s="404"/>
      <c r="AH77" s="425"/>
      <c r="AI77" s="418"/>
    </row>
    <row r="78" spans="1:35" ht="12.75" hidden="1" outlineLevel="1">
      <c r="A78" s="424" t="s">
        <v>724</v>
      </c>
      <c r="B78" s="411"/>
      <c r="C78" s="411"/>
      <c r="D78" s="432"/>
      <c r="E78" s="411"/>
      <c r="F78" s="411"/>
      <c r="G78" s="411"/>
      <c r="H78" s="411">
        <f>+H73+H74+H77</f>
        <v>109</v>
      </c>
      <c r="I78" s="411">
        <f>+I73+I74+I77</f>
        <v>112</v>
      </c>
      <c r="J78" s="411">
        <f>+J73+J74+J77</f>
        <v>111</v>
      </c>
      <c r="K78" s="411">
        <f>+K73+K74+K77</f>
        <v>110</v>
      </c>
      <c r="L78" s="411">
        <f>+L73+L74+L77</f>
        <v>0</v>
      </c>
      <c r="M78" s="411"/>
      <c r="N78" s="411"/>
      <c r="O78" s="411"/>
      <c r="P78" s="411"/>
      <c r="Q78" s="411"/>
      <c r="R78" s="411"/>
      <c r="S78" s="411"/>
      <c r="T78" s="411"/>
      <c r="U78" s="411"/>
      <c r="V78" s="411"/>
      <c r="W78" s="411"/>
      <c r="X78" s="411"/>
      <c r="Y78" s="411"/>
      <c r="Z78" s="411"/>
      <c r="AA78" s="411"/>
      <c r="AB78" s="411"/>
      <c r="AC78" s="411"/>
      <c r="AD78" s="411"/>
      <c r="AE78" s="419"/>
      <c r="AF78" s="461" t="s">
        <v>714</v>
      </c>
      <c r="AG78" s="426"/>
      <c r="AH78" s="461" t="s">
        <v>714</v>
      </c>
      <c r="AI78" s="427" t="s">
        <v>697</v>
      </c>
    </row>
    <row r="79" spans="1:35" ht="12.75" hidden="1" outlineLevel="1">
      <c r="A79" s="424" t="s">
        <v>725</v>
      </c>
      <c r="B79" s="439"/>
      <c r="C79" s="439"/>
      <c r="D79" s="439"/>
      <c r="E79" s="439"/>
      <c r="F79" s="439"/>
      <c r="G79" s="439"/>
      <c r="H79" s="439">
        <f>(+H78+H73)/2</f>
        <v>54.5</v>
      </c>
      <c r="I79" s="439">
        <f>(+I78+I73)/2</f>
        <v>110.5</v>
      </c>
      <c r="J79" s="439">
        <f>(+J78+J73)/2</f>
        <v>111.5</v>
      </c>
      <c r="K79" s="439">
        <f>(+K78+K73)/2</f>
        <v>110.5</v>
      </c>
      <c r="L79" s="439">
        <f>(+L78+L73)/2</f>
        <v>55</v>
      </c>
      <c r="M79" s="439"/>
      <c r="N79" s="439"/>
      <c r="O79" s="439"/>
      <c r="P79" s="439"/>
      <c r="Q79" s="439"/>
      <c r="R79" s="439"/>
      <c r="S79" s="439"/>
      <c r="T79" s="439"/>
      <c r="U79" s="439"/>
      <c r="V79" s="439"/>
      <c r="W79" s="439"/>
      <c r="X79" s="439"/>
      <c r="Y79" s="439"/>
      <c r="Z79" s="439"/>
      <c r="AA79" s="439"/>
      <c r="AB79" s="439"/>
      <c r="AC79" s="439"/>
      <c r="AD79" s="439"/>
      <c r="AE79" s="440"/>
      <c r="AF79" s="441"/>
      <c r="AG79" s="441"/>
      <c r="AH79" s="441"/>
      <c r="AI79" s="442"/>
    </row>
    <row r="80" spans="1:35" ht="12.75" hidden="1" outlineLevel="1">
      <c r="A80" s="424" t="s">
        <v>726</v>
      </c>
      <c r="B80" s="428"/>
      <c r="C80" s="428"/>
      <c r="D80" s="428"/>
      <c r="E80" s="428"/>
      <c r="F80" s="428"/>
      <c r="G80" s="428"/>
      <c r="H80" s="474" t="s">
        <v>69</v>
      </c>
      <c r="I80" s="428">
        <f>(I79/H79-1)</f>
        <v>1.0275229357798166</v>
      </c>
      <c r="J80" s="428">
        <f>(J79/I79-1)</f>
        <v>9.0497737556560764E-3</v>
      </c>
      <c r="K80" s="428">
        <f>(K79/J79-1)</f>
        <v>-8.9686098654708779E-3</v>
      </c>
      <c r="L80" s="428">
        <f>(L79/K79-1)</f>
        <v>-0.50226244343891402</v>
      </c>
      <c r="M80" s="428"/>
      <c r="N80" s="428"/>
      <c r="O80" s="428"/>
      <c r="P80" s="428"/>
      <c r="Q80" s="428"/>
      <c r="R80" s="428"/>
      <c r="S80" s="428"/>
      <c r="T80" s="428"/>
      <c r="U80" s="428"/>
      <c r="V80" s="428"/>
      <c r="W80" s="428"/>
      <c r="X80" s="428"/>
      <c r="Y80" s="428"/>
      <c r="Z80" s="428"/>
      <c r="AA80" s="428"/>
      <c r="AB80" s="428"/>
      <c r="AC80" s="428"/>
      <c r="AD80" s="428"/>
      <c r="AE80" s="419"/>
      <c r="AF80" s="404"/>
      <c r="AG80" s="404"/>
      <c r="AH80" s="425"/>
      <c r="AI80" s="418"/>
    </row>
    <row r="81" spans="1:35" ht="12.75" hidden="1" outlineLevel="1">
      <c r="A81" s="400"/>
      <c r="B81" s="400"/>
      <c r="C81" s="400"/>
      <c r="D81" s="428"/>
      <c r="E81" s="428"/>
      <c r="F81" s="400"/>
      <c r="G81" s="400"/>
      <c r="H81" s="400"/>
      <c r="I81" s="400"/>
      <c r="J81" s="400"/>
      <c r="K81" s="400"/>
      <c r="L81" s="400"/>
      <c r="M81" s="400"/>
      <c r="N81" s="400"/>
      <c r="O81" s="400"/>
      <c r="P81" s="400"/>
      <c r="Q81" s="400"/>
      <c r="R81" s="400"/>
      <c r="S81" s="400"/>
      <c r="T81" s="400"/>
      <c r="U81" s="400"/>
      <c r="V81" s="400"/>
      <c r="W81" s="400"/>
      <c r="X81" s="400"/>
      <c r="Y81" s="400"/>
      <c r="Z81" s="400"/>
      <c r="AA81" s="400"/>
      <c r="AB81" s="400"/>
      <c r="AC81" s="400"/>
      <c r="AD81" s="400"/>
      <c r="AE81" s="419"/>
      <c r="AF81" s="404"/>
      <c r="AG81" s="404"/>
      <c r="AH81" s="425"/>
      <c r="AI81" s="418"/>
    </row>
    <row r="82" spans="1:35" ht="12.75" hidden="1" outlineLevel="1">
      <c r="A82" s="424" t="s">
        <v>727</v>
      </c>
      <c r="B82" s="443"/>
      <c r="C82" s="443"/>
      <c r="D82" s="443"/>
      <c r="E82" s="443"/>
      <c r="F82" s="443"/>
      <c r="G82" s="443"/>
      <c r="H82" s="443">
        <f>(H70)/H79</f>
        <v>0</v>
      </c>
      <c r="I82" s="443">
        <f>(I70)/I79</f>
        <v>0</v>
      </c>
      <c r="J82" s="443">
        <f>(J70)/J79</f>
        <v>0</v>
      </c>
      <c r="K82" s="443">
        <f>(K70)/K79</f>
        <v>0</v>
      </c>
      <c r="L82" s="443">
        <f>(L70)/L79</f>
        <v>0</v>
      </c>
      <c r="M82" s="443"/>
      <c r="N82" s="443"/>
      <c r="O82" s="443"/>
      <c r="P82" s="443"/>
      <c r="Q82" s="443"/>
      <c r="R82" s="443"/>
      <c r="S82" s="443"/>
      <c r="T82" s="443"/>
      <c r="U82" s="443"/>
      <c r="V82" s="443"/>
      <c r="W82" s="443"/>
      <c r="X82" s="443"/>
      <c r="Y82" s="443"/>
      <c r="Z82" s="443"/>
      <c r="AA82" s="443"/>
      <c r="AB82" s="443"/>
      <c r="AC82" s="443"/>
      <c r="AD82" s="443"/>
      <c r="AE82" s="419"/>
      <c r="AF82" s="404"/>
      <c r="AG82" s="404"/>
      <c r="AH82" s="425"/>
      <c r="AI82" s="418"/>
    </row>
    <row r="83" spans="1:35" ht="12.75" hidden="1" outlineLevel="1">
      <c r="A83" s="424" t="s">
        <v>721</v>
      </c>
      <c r="B83" s="444"/>
      <c r="C83" s="444"/>
      <c r="D83" s="445"/>
      <c r="E83" s="444"/>
      <c r="F83" s="444"/>
      <c r="G83" s="444"/>
      <c r="H83" s="474" t="s">
        <v>69</v>
      </c>
      <c r="I83" s="444"/>
      <c r="J83" s="444"/>
      <c r="K83" s="444"/>
      <c r="L83" s="444"/>
      <c r="M83" s="444"/>
      <c r="N83" s="444"/>
      <c r="O83" s="444"/>
      <c r="P83" s="444"/>
      <c r="Q83" s="444"/>
      <c r="R83" s="444"/>
      <c r="S83" s="444"/>
      <c r="T83" s="444"/>
      <c r="U83" s="444"/>
      <c r="V83" s="444"/>
      <c r="W83" s="444"/>
      <c r="X83" s="444"/>
      <c r="Y83" s="444"/>
      <c r="Z83" s="444"/>
      <c r="AA83" s="444"/>
      <c r="AB83" s="444"/>
      <c r="AC83" s="444"/>
      <c r="AD83" s="444"/>
      <c r="AE83" s="419"/>
      <c r="AF83" s="404"/>
      <c r="AG83" s="404"/>
      <c r="AH83" s="425"/>
      <c r="AI83" s="418"/>
    </row>
    <row r="84" spans="1:35" ht="12.75" hidden="1" outlineLevel="1">
      <c r="A84" s="400"/>
      <c r="B84" s="400"/>
      <c r="C84" s="400"/>
      <c r="D84" s="400"/>
      <c r="E84" s="400"/>
      <c r="F84" s="400"/>
      <c r="G84" s="400"/>
      <c r="H84" s="400"/>
      <c r="I84" s="400"/>
      <c r="J84" s="400"/>
      <c r="K84" s="400"/>
      <c r="L84" s="475"/>
      <c r="M84" s="400"/>
      <c r="N84" s="400"/>
      <c r="O84" s="400"/>
      <c r="P84" s="400"/>
      <c r="Q84" s="400"/>
      <c r="R84" s="400"/>
      <c r="S84" s="400"/>
      <c r="T84" s="400"/>
      <c r="U84" s="400"/>
      <c r="V84" s="400"/>
      <c r="W84" s="400"/>
      <c r="X84" s="400"/>
      <c r="Y84" s="400"/>
      <c r="Z84" s="400"/>
      <c r="AA84" s="400"/>
      <c r="AB84" s="400"/>
      <c r="AC84" s="400"/>
      <c r="AD84" s="400"/>
      <c r="AE84" s="419"/>
      <c r="AF84" s="404"/>
      <c r="AG84" s="404"/>
      <c r="AH84" s="425"/>
      <c r="AI84" s="418"/>
    </row>
    <row r="85" spans="1:35" ht="12.75" hidden="1" outlineLevel="1">
      <c r="A85" s="424" t="s">
        <v>454</v>
      </c>
      <c r="B85" s="446"/>
      <c r="C85" s="446"/>
      <c r="D85" s="448"/>
      <c r="E85" s="448"/>
      <c r="F85" s="446"/>
      <c r="G85" s="449"/>
      <c r="H85" s="447"/>
      <c r="I85" s="447">
        <f>+(H88+I88)/2</f>
        <v>0.33808099999999996</v>
      </c>
      <c r="J85" s="447">
        <f>+(I88+J88)/2</f>
        <v>0.3533695</v>
      </c>
      <c r="K85" s="447">
        <f>+(J88+K88)/2</f>
        <v>0.353738</v>
      </c>
      <c r="L85" s="446">
        <v>0.35099999999999998</v>
      </c>
      <c r="M85" s="446"/>
      <c r="N85" s="447"/>
      <c r="O85" s="447"/>
      <c r="P85" s="447"/>
      <c r="Q85" s="447"/>
      <c r="R85" s="447"/>
      <c r="S85" s="447"/>
      <c r="T85" s="447"/>
      <c r="U85" s="447"/>
      <c r="V85" s="447"/>
      <c r="W85" s="447"/>
      <c r="X85" s="447"/>
      <c r="Y85" s="447"/>
      <c r="Z85" s="447"/>
      <c r="AA85" s="447"/>
      <c r="AB85" s="447"/>
      <c r="AC85" s="447"/>
      <c r="AD85" s="447"/>
      <c r="AE85" s="419"/>
      <c r="AF85" s="461" t="s">
        <v>714</v>
      </c>
      <c r="AG85" s="426"/>
      <c r="AH85" s="461" t="s">
        <v>714</v>
      </c>
      <c r="AI85" s="427" t="s">
        <v>697</v>
      </c>
    </row>
    <row r="86" spans="1:35" ht="12.75" hidden="1" outlineLevel="1">
      <c r="A86" s="424" t="s">
        <v>721</v>
      </c>
      <c r="B86" s="428"/>
      <c r="C86" s="428"/>
      <c r="D86" s="428"/>
      <c r="E86" s="428"/>
      <c r="F86" s="428"/>
      <c r="G86" s="428"/>
      <c r="H86" s="474" t="s">
        <v>69</v>
      </c>
      <c r="I86" s="428"/>
      <c r="J86" s="428">
        <f>J85/I85-1</f>
        <v>4.522141143690428E-2</v>
      </c>
      <c r="K86" s="428">
        <f>K85/J85-1</f>
        <v>1.0428177870471789E-3</v>
      </c>
      <c r="L86" s="428">
        <f>L85/K85-1</f>
        <v>-7.7401918934353331E-3</v>
      </c>
      <c r="M86" s="428"/>
      <c r="N86" s="428"/>
      <c r="O86" s="428"/>
      <c r="P86" s="428"/>
      <c r="Q86" s="428"/>
      <c r="R86" s="428"/>
      <c r="S86" s="428"/>
      <c r="T86" s="428"/>
      <c r="U86" s="428"/>
      <c r="V86" s="428"/>
      <c r="W86" s="428"/>
      <c r="X86" s="428"/>
      <c r="Y86" s="428"/>
      <c r="Z86" s="428"/>
      <c r="AA86" s="428"/>
      <c r="AB86" s="428"/>
      <c r="AC86" s="428"/>
      <c r="AD86" s="428"/>
      <c r="AE86" s="419"/>
      <c r="AF86" s="404"/>
      <c r="AG86" s="404"/>
      <c r="AH86" s="425"/>
      <c r="AI86" s="418"/>
    </row>
    <row r="87" spans="1:35" ht="12.75" hidden="1" outlineLevel="1">
      <c r="A87" s="400"/>
      <c r="B87" s="400"/>
      <c r="C87" s="400"/>
      <c r="D87" s="400"/>
      <c r="E87" s="400"/>
      <c r="F87" s="400"/>
      <c r="G87" s="400"/>
      <c r="H87" s="400"/>
      <c r="I87" s="400"/>
      <c r="J87" s="400"/>
      <c r="K87" s="400"/>
      <c r="L87" s="400"/>
      <c r="M87" s="400"/>
      <c r="N87" s="400"/>
      <c r="O87" s="400"/>
      <c r="P87" s="400"/>
      <c r="Q87" s="400"/>
      <c r="R87" s="400"/>
      <c r="S87" s="400"/>
      <c r="T87" s="400"/>
      <c r="U87" s="400"/>
      <c r="V87" s="400"/>
      <c r="W87" s="400"/>
      <c r="X87" s="400"/>
      <c r="Y87" s="400"/>
      <c r="Z87" s="400"/>
      <c r="AA87" s="400"/>
      <c r="AB87" s="400"/>
      <c r="AC87" s="400"/>
      <c r="AD87" s="400"/>
      <c r="AE87" s="419"/>
      <c r="AF87" s="404"/>
      <c r="AG87" s="404"/>
      <c r="AH87" s="425"/>
      <c r="AI87" s="418"/>
    </row>
    <row r="88" spans="1:35" ht="12.75" hidden="1" outlineLevel="1">
      <c r="A88" s="424" t="s">
        <v>177</v>
      </c>
      <c r="B88" s="446"/>
      <c r="C88" s="446"/>
      <c r="D88" s="448"/>
      <c r="E88" s="448"/>
      <c r="F88" s="446"/>
      <c r="G88" s="449"/>
      <c r="H88" s="446">
        <v>0.32269300000000001</v>
      </c>
      <c r="I88" s="446">
        <v>0.35346899999999998</v>
      </c>
      <c r="J88" s="446">
        <v>0.35326999999999997</v>
      </c>
      <c r="K88" s="446">
        <v>0.35420600000000002</v>
      </c>
      <c r="L88" s="446">
        <v>0.34799999999999998</v>
      </c>
      <c r="M88" s="446"/>
      <c r="N88" s="447"/>
      <c r="O88" s="447"/>
      <c r="P88" s="447"/>
      <c r="Q88" s="447"/>
      <c r="R88" s="447"/>
      <c r="S88" s="447"/>
      <c r="T88" s="447"/>
      <c r="U88" s="447"/>
      <c r="V88" s="447"/>
      <c r="W88" s="447"/>
      <c r="X88" s="447"/>
      <c r="Y88" s="447"/>
      <c r="Z88" s="447"/>
      <c r="AA88" s="447"/>
      <c r="AB88" s="447"/>
      <c r="AC88" s="447"/>
      <c r="AD88" s="447"/>
      <c r="AE88" s="419"/>
      <c r="AF88" s="461" t="s">
        <v>714</v>
      </c>
      <c r="AG88" s="426"/>
      <c r="AH88" s="461" t="s">
        <v>714</v>
      </c>
      <c r="AI88" s="427" t="s">
        <v>697</v>
      </c>
    </row>
    <row r="89" spans="1:35" ht="12.75" hidden="1" outlineLevel="1">
      <c r="A89" s="424" t="s">
        <v>721</v>
      </c>
      <c r="B89" s="428"/>
      <c r="C89" s="428"/>
      <c r="D89" s="428"/>
      <c r="E89" s="428"/>
      <c r="F89" s="446"/>
      <c r="G89" s="428"/>
      <c r="H89" s="474" t="s">
        <v>69</v>
      </c>
      <c r="I89" s="428">
        <f>I88/H88-1</f>
        <v>9.5372381799419204E-2</v>
      </c>
      <c r="J89" s="428">
        <f>J88/I88-1</f>
        <v>-5.6299137972493085E-4</v>
      </c>
      <c r="K89" s="428">
        <f>K88/J88-1</f>
        <v>2.6495315198009628E-3</v>
      </c>
      <c r="L89" s="428">
        <f>L88/K88-1</f>
        <v>-1.7520877681349356E-2</v>
      </c>
      <c r="M89" s="428"/>
      <c r="N89" s="428"/>
      <c r="O89" s="428"/>
      <c r="P89" s="428"/>
      <c r="Q89" s="428"/>
      <c r="R89" s="428"/>
      <c r="S89" s="428"/>
      <c r="T89" s="428"/>
      <c r="U89" s="428"/>
      <c r="V89" s="428"/>
      <c r="W89" s="428"/>
      <c r="X89" s="428"/>
      <c r="Y89" s="428"/>
      <c r="Z89" s="428"/>
      <c r="AA89" s="428"/>
      <c r="AB89" s="428"/>
      <c r="AC89" s="428"/>
      <c r="AD89" s="428"/>
      <c r="AE89" s="419"/>
      <c r="AF89" s="404"/>
      <c r="AG89" s="404"/>
      <c r="AH89" s="425"/>
      <c r="AI89" s="418"/>
    </row>
    <row r="90" spans="1:35" ht="12.75" hidden="1" outlineLevel="1">
      <c r="A90" s="400"/>
      <c r="B90" s="400"/>
      <c r="C90" s="400"/>
      <c r="D90" s="400"/>
      <c r="E90" s="400"/>
      <c r="F90" s="400"/>
      <c r="G90" s="400"/>
      <c r="H90" s="400"/>
      <c r="I90" s="400"/>
      <c r="J90" s="400"/>
      <c r="K90" s="400"/>
      <c r="L90" s="400"/>
      <c r="M90" s="400"/>
      <c r="N90" s="400"/>
      <c r="O90" s="400"/>
      <c r="P90" s="400"/>
      <c r="Q90" s="400"/>
      <c r="R90" s="400"/>
      <c r="S90" s="400"/>
      <c r="T90" s="400"/>
      <c r="U90" s="400"/>
      <c r="V90" s="400"/>
      <c r="W90" s="400"/>
      <c r="X90" s="400"/>
      <c r="Y90" s="400"/>
      <c r="Z90" s="400"/>
      <c r="AA90" s="400"/>
      <c r="AB90" s="400"/>
      <c r="AC90" s="400"/>
      <c r="AD90" s="400"/>
      <c r="AE90" s="419"/>
      <c r="AF90" s="404"/>
      <c r="AG90" s="404"/>
      <c r="AH90" s="425"/>
      <c r="AI90" s="418"/>
    </row>
    <row r="91" spans="1:35" ht="12.75" hidden="1" outlineLevel="1">
      <c r="A91" s="424" t="s">
        <v>120</v>
      </c>
      <c r="B91" s="439"/>
      <c r="C91" s="439"/>
      <c r="D91" s="439"/>
      <c r="E91" s="439"/>
      <c r="F91" s="439"/>
      <c r="G91" s="439"/>
      <c r="H91" s="439">
        <f>H88/H78*1000000</f>
        <v>2960.4862385321103</v>
      </c>
      <c r="I91" s="439">
        <f>I88/I78*1000000</f>
        <v>3155.9732142857142</v>
      </c>
      <c r="J91" s="439">
        <f>J88/J78*1000000</f>
        <v>3182.6126126126128</v>
      </c>
      <c r="K91" s="439">
        <f>K88/K78*1000000</f>
        <v>3220.0545454545459</v>
      </c>
      <c r="L91" s="453">
        <v>3222</v>
      </c>
      <c r="M91" s="439"/>
      <c r="N91" s="439"/>
      <c r="O91" s="439"/>
      <c r="P91" s="439"/>
      <c r="Q91" s="439"/>
      <c r="R91" s="439"/>
      <c r="S91" s="439"/>
      <c r="T91" s="439"/>
      <c r="U91" s="439"/>
      <c r="V91" s="439"/>
      <c r="W91" s="439"/>
      <c r="X91" s="439"/>
      <c r="Y91" s="439"/>
      <c r="Z91" s="439"/>
      <c r="AA91" s="439"/>
      <c r="AB91" s="439"/>
      <c r="AC91" s="439"/>
      <c r="AD91" s="439"/>
      <c r="AE91" s="440"/>
      <c r="AF91" s="441"/>
      <c r="AG91" s="441"/>
      <c r="AH91" s="425"/>
      <c r="AI91" s="442"/>
    </row>
    <row r="92" spans="1:35" ht="12.75" hidden="1" outlineLevel="1">
      <c r="A92" s="424" t="s">
        <v>721</v>
      </c>
      <c r="B92" s="444"/>
      <c r="C92" s="444"/>
      <c r="D92" s="444"/>
      <c r="E92" s="444"/>
      <c r="F92" s="444"/>
      <c r="G92" s="444"/>
      <c r="H92" s="474" t="s">
        <v>69</v>
      </c>
      <c r="I92" s="444">
        <f>I91/H91-1</f>
        <v>6.6032050144077648E-2</v>
      </c>
      <c r="J92" s="444">
        <f>J91/I91-1</f>
        <v>8.4409456348721879E-3</v>
      </c>
      <c r="K92" s="444">
        <f>K91/J91-1</f>
        <v>1.1764527260889945E-2</v>
      </c>
      <c r="L92" s="444">
        <f>L91/K91-1</f>
        <v>6.0416819590836113E-4</v>
      </c>
      <c r="M92" s="444"/>
      <c r="N92" s="444"/>
      <c r="O92" s="444"/>
      <c r="P92" s="444"/>
      <c r="Q92" s="444"/>
      <c r="R92" s="444"/>
      <c r="S92" s="444"/>
      <c r="T92" s="444"/>
      <c r="U92" s="444"/>
      <c r="V92" s="444"/>
      <c r="W92" s="444"/>
      <c r="X92" s="444"/>
      <c r="Y92" s="444"/>
      <c r="Z92" s="444"/>
      <c r="AA92" s="444"/>
      <c r="AB92" s="444"/>
      <c r="AC92" s="444"/>
      <c r="AD92" s="444"/>
      <c r="AE92" s="419"/>
      <c r="AF92" s="404"/>
      <c r="AG92" s="404"/>
      <c r="AH92" s="425"/>
      <c r="AI92" s="418"/>
    </row>
    <row r="93" spans="1:35" ht="12.75" hidden="1" outlineLevel="1">
      <c r="A93" s="400"/>
      <c r="B93" s="400"/>
      <c r="C93" s="400"/>
      <c r="D93" s="400"/>
      <c r="E93" s="400"/>
      <c r="F93" s="400"/>
      <c r="G93" s="400"/>
      <c r="H93" s="400"/>
      <c r="I93" s="400"/>
      <c r="J93" s="400"/>
      <c r="K93" s="400"/>
      <c r="L93" s="400"/>
      <c r="M93" s="400"/>
      <c r="N93" s="400"/>
      <c r="O93" s="400"/>
      <c r="P93" s="400"/>
      <c r="Q93" s="400"/>
      <c r="R93" s="400"/>
      <c r="S93" s="400"/>
      <c r="T93" s="400"/>
      <c r="U93" s="400"/>
      <c r="V93" s="400"/>
      <c r="W93" s="400"/>
      <c r="X93" s="400"/>
      <c r="Y93" s="400"/>
      <c r="Z93" s="400"/>
      <c r="AA93" s="400"/>
      <c r="AB93" s="400"/>
      <c r="AC93" s="400"/>
      <c r="AD93" s="400"/>
      <c r="AE93" s="419"/>
      <c r="AF93" s="404"/>
      <c r="AG93" s="404"/>
      <c r="AH93" s="425"/>
      <c r="AI93" s="418"/>
    </row>
    <row r="94" spans="1:35" ht="12.75" hidden="1" outlineLevel="1">
      <c r="A94" s="424" t="s">
        <v>179</v>
      </c>
      <c r="B94" s="421"/>
      <c r="C94" s="421"/>
      <c r="D94" s="421"/>
      <c r="E94" s="421"/>
      <c r="F94" s="421"/>
      <c r="G94" s="421"/>
      <c r="H94" s="421">
        <f>(H70)/(H79*H91)*1000000</f>
        <v>0</v>
      </c>
      <c r="I94" s="421">
        <f>(I70)/(I79*I91)*1000000</f>
        <v>0</v>
      </c>
      <c r="J94" s="421">
        <f>(J70)/(J79*J91)*1000000</f>
        <v>0</v>
      </c>
      <c r="K94" s="421">
        <f>(K70)/(K79*K91)*1000000</f>
        <v>0</v>
      </c>
      <c r="L94" s="421">
        <f>(L70)/(L79*L91)*1000000</f>
        <v>0</v>
      </c>
      <c r="M94" s="421"/>
      <c r="N94" s="421"/>
      <c r="O94" s="421"/>
      <c r="P94" s="421"/>
      <c r="Q94" s="421"/>
      <c r="R94" s="421"/>
      <c r="S94" s="421"/>
      <c r="T94" s="421"/>
      <c r="U94" s="421"/>
      <c r="V94" s="421"/>
      <c r="W94" s="421"/>
      <c r="X94" s="421"/>
      <c r="Y94" s="421"/>
      <c r="Z94" s="421"/>
      <c r="AA94" s="421"/>
      <c r="AB94" s="421"/>
      <c r="AC94" s="421"/>
      <c r="AD94" s="421"/>
      <c r="AE94" s="419"/>
      <c r="AF94" s="461" t="s">
        <v>714</v>
      </c>
      <c r="AG94" s="426"/>
      <c r="AH94" s="461" t="s">
        <v>714</v>
      </c>
      <c r="AI94" s="427" t="s">
        <v>697</v>
      </c>
    </row>
    <row r="95" spans="1:35" ht="12.75" hidden="1" outlineLevel="1">
      <c r="A95" s="424" t="s">
        <v>721</v>
      </c>
      <c r="B95" s="444"/>
      <c r="C95" s="444"/>
      <c r="D95" s="444"/>
      <c r="E95" s="444"/>
      <c r="F95" s="444"/>
      <c r="G95" s="444"/>
      <c r="H95" s="474" t="s">
        <v>69</v>
      </c>
      <c r="I95" s="444"/>
      <c r="J95" s="444"/>
      <c r="K95" s="444"/>
      <c r="L95" s="444"/>
      <c r="M95" s="444"/>
      <c r="N95" s="444"/>
      <c r="O95" s="444"/>
      <c r="P95" s="444"/>
      <c r="Q95" s="444"/>
      <c r="R95" s="444"/>
      <c r="S95" s="444"/>
      <c r="T95" s="444"/>
      <c r="U95" s="444"/>
      <c r="V95" s="444"/>
      <c r="W95" s="444"/>
      <c r="X95" s="444"/>
      <c r="Y95" s="444"/>
      <c r="Z95" s="444"/>
      <c r="AA95" s="444"/>
      <c r="AB95" s="444"/>
      <c r="AC95" s="444"/>
      <c r="AD95" s="444"/>
      <c r="AE95" s="419"/>
      <c r="AF95" s="404"/>
      <c r="AG95" s="404"/>
      <c r="AH95" s="425"/>
      <c r="AI95" s="418"/>
    </row>
    <row r="96" spans="1:35" ht="12.75" hidden="1" outlineLevel="1">
      <c r="A96" s="400"/>
      <c r="B96" s="400"/>
      <c r="C96" s="400"/>
      <c r="D96" s="400"/>
      <c r="E96" s="400"/>
      <c r="F96" s="400"/>
      <c r="G96" s="400"/>
      <c r="H96" s="400"/>
      <c r="I96" s="400"/>
      <c r="J96" s="400"/>
      <c r="K96" s="400"/>
      <c r="L96" s="400"/>
      <c r="M96" s="400"/>
      <c r="N96" s="400"/>
      <c r="O96" s="400"/>
      <c r="P96" s="400"/>
      <c r="Q96" s="400"/>
      <c r="R96" s="400"/>
      <c r="S96" s="400"/>
      <c r="T96" s="400"/>
      <c r="U96" s="400"/>
      <c r="V96" s="400"/>
      <c r="W96" s="400"/>
      <c r="X96" s="400"/>
      <c r="Y96" s="400"/>
      <c r="Z96" s="400"/>
      <c r="AA96" s="400"/>
      <c r="AB96" s="400"/>
      <c r="AC96" s="400"/>
      <c r="AD96" s="400"/>
      <c r="AE96" s="419"/>
      <c r="AF96" s="404"/>
      <c r="AG96" s="404"/>
      <c r="AH96" s="425"/>
      <c r="AI96" s="418"/>
    </row>
    <row r="97" spans="1:35" ht="12.75" hidden="1" outlineLevel="1">
      <c r="A97" s="424" t="s">
        <v>728</v>
      </c>
      <c r="B97" s="444"/>
      <c r="C97" s="444"/>
      <c r="D97" s="444"/>
      <c r="E97" s="444"/>
      <c r="F97" s="444"/>
      <c r="G97" s="444"/>
      <c r="H97" s="474" t="s">
        <v>69</v>
      </c>
      <c r="I97" s="445"/>
      <c r="J97" s="444">
        <f>+qtrSales!E245/100</f>
        <v>-0.223</v>
      </c>
      <c r="K97" s="444">
        <f>+qtrSales!E252/100</f>
        <v>-7.2999999999999995E-2</v>
      </c>
      <c r="L97" s="451">
        <v>-0.03</v>
      </c>
      <c r="M97" s="451"/>
      <c r="N97" s="451"/>
      <c r="O97" s="451"/>
      <c r="P97" s="451"/>
      <c r="Q97" s="451"/>
      <c r="R97" s="451"/>
      <c r="S97" s="451"/>
      <c r="T97" s="451"/>
      <c r="U97" s="451"/>
      <c r="V97" s="451"/>
      <c r="W97" s="451"/>
      <c r="X97" s="451"/>
      <c r="Y97" s="451"/>
      <c r="Z97" s="451"/>
      <c r="AA97" s="451"/>
      <c r="AB97" s="451"/>
      <c r="AC97" s="451"/>
      <c r="AD97" s="451"/>
      <c r="AE97" s="452"/>
      <c r="AF97" s="404"/>
      <c r="AG97" s="404"/>
      <c r="AH97" s="425"/>
      <c r="AI97" s="418"/>
    </row>
    <row r="98" spans="1:35" ht="12.75" hidden="1" outlineLevel="1">
      <c r="A98" s="400"/>
      <c r="B98" s="400"/>
      <c r="C98" s="400"/>
      <c r="D98" s="400"/>
      <c r="E98" s="400"/>
      <c r="F98" s="400"/>
      <c r="G98" s="400"/>
      <c r="H98" s="400"/>
      <c r="I98" s="400"/>
      <c r="J98" s="400"/>
      <c r="K98" s="400"/>
      <c r="L98" s="400"/>
      <c r="M98" s="400"/>
      <c r="N98" s="400"/>
      <c r="O98" s="400"/>
      <c r="P98" s="400"/>
      <c r="Q98" s="400"/>
      <c r="R98" s="400"/>
      <c r="S98" s="400"/>
      <c r="T98" s="400"/>
      <c r="U98" s="400"/>
      <c r="V98" s="400"/>
      <c r="W98" s="400"/>
      <c r="X98" s="400"/>
      <c r="Y98" s="400"/>
      <c r="Z98" s="400"/>
      <c r="AA98" s="400"/>
      <c r="AB98" s="400"/>
      <c r="AC98" s="400"/>
      <c r="AD98" s="400"/>
      <c r="AE98" s="419"/>
      <c r="AF98" s="404"/>
      <c r="AG98" s="404"/>
      <c r="AH98" s="425"/>
      <c r="AI98" s="418"/>
    </row>
    <row r="99" spans="1:35" ht="12.75" hidden="1" outlineLevel="1">
      <c r="A99" s="424" t="s">
        <v>448</v>
      </c>
      <c r="B99" s="439"/>
      <c r="C99" s="439"/>
      <c r="D99" s="453"/>
      <c r="E99" s="453"/>
      <c r="F99" s="453"/>
      <c r="G99" s="453"/>
      <c r="H99" s="453"/>
      <c r="I99" s="453">
        <v>4900</v>
      </c>
      <c r="J99" s="453">
        <v>5000</v>
      </c>
      <c r="K99" s="453">
        <v>5500</v>
      </c>
      <c r="L99" s="453">
        <v>5500</v>
      </c>
      <c r="M99" s="453">
        <v>5500</v>
      </c>
      <c r="N99" s="453">
        <v>5500</v>
      </c>
      <c r="O99" s="453">
        <v>5500</v>
      </c>
      <c r="P99" s="453">
        <v>5500</v>
      </c>
      <c r="Q99" s="453">
        <v>5500</v>
      </c>
      <c r="R99" s="453"/>
      <c r="S99" s="453"/>
      <c r="T99" s="453"/>
      <c r="U99" s="453"/>
      <c r="V99" s="453"/>
      <c r="W99" s="453"/>
      <c r="X99" s="453"/>
      <c r="Y99" s="453"/>
      <c r="Z99" s="453"/>
      <c r="AA99" s="453"/>
      <c r="AB99" s="453"/>
      <c r="AC99" s="453"/>
      <c r="AD99" s="453"/>
      <c r="AE99" s="440"/>
      <c r="AF99" s="441"/>
      <c r="AG99" s="441"/>
      <c r="AH99" s="425"/>
      <c r="AI99" s="418"/>
    </row>
    <row r="100" spans="1:35" ht="12.75" hidden="1" outlineLevel="1">
      <c r="A100" s="424" t="s">
        <v>556</v>
      </c>
      <c r="B100" s="439"/>
      <c r="C100" s="439"/>
      <c r="D100" s="453"/>
      <c r="E100" s="453"/>
      <c r="F100" s="453"/>
      <c r="G100" s="453"/>
      <c r="H100" s="453"/>
      <c r="I100" s="453">
        <v>2900</v>
      </c>
      <c r="J100" s="453">
        <v>2900</v>
      </c>
      <c r="K100" s="453">
        <v>2900</v>
      </c>
      <c r="L100" s="453">
        <v>2900</v>
      </c>
      <c r="M100" s="453"/>
      <c r="N100" s="453"/>
      <c r="O100" s="453"/>
      <c r="P100" s="453"/>
      <c r="Q100" s="453"/>
      <c r="R100" s="453"/>
      <c r="S100" s="453"/>
      <c r="T100" s="453"/>
      <c r="U100" s="453"/>
      <c r="V100" s="453"/>
      <c r="W100" s="453"/>
      <c r="X100" s="453"/>
      <c r="Y100" s="453"/>
      <c r="Z100" s="453"/>
      <c r="AA100" s="453"/>
      <c r="AB100" s="453"/>
      <c r="AC100" s="453"/>
      <c r="AD100" s="453"/>
      <c r="AE100" s="440"/>
      <c r="AF100" s="441"/>
      <c r="AG100" s="441"/>
      <c r="AH100" s="425"/>
      <c r="AI100" s="418"/>
    </row>
    <row r="101" spans="1:35" ht="12.75" hidden="1" outlineLevel="1">
      <c r="A101" s="400"/>
      <c r="B101" s="400"/>
      <c r="C101" s="400"/>
      <c r="D101" s="400"/>
      <c r="E101" s="400"/>
      <c r="F101" s="400"/>
      <c r="G101" s="400"/>
      <c r="H101" s="454"/>
      <c r="I101" s="400"/>
      <c r="J101" s="400"/>
      <c r="K101" s="400"/>
      <c r="L101" s="400"/>
      <c r="M101" s="400"/>
      <c r="N101" s="400"/>
      <c r="O101" s="400"/>
      <c r="P101" s="400"/>
      <c r="Q101" s="400"/>
      <c r="R101" s="400"/>
      <c r="S101" s="400"/>
      <c r="T101" s="400"/>
      <c r="U101" s="400"/>
      <c r="V101" s="400"/>
      <c r="W101" s="400"/>
      <c r="X101" s="400"/>
      <c r="Y101" s="400"/>
      <c r="Z101" s="400"/>
      <c r="AA101" s="400"/>
      <c r="AB101" s="400"/>
      <c r="AC101" s="400"/>
      <c r="AD101" s="400"/>
      <c r="AE101" s="419"/>
      <c r="AF101" s="404"/>
      <c r="AG101" s="404"/>
      <c r="AH101" s="425"/>
      <c r="AI101" s="418"/>
    </row>
    <row r="102" spans="1:35" ht="12.75" hidden="1" outlineLevel="1">
      <c r="A102" s="424" t="s">
        <v>729</v>
      </c>
      <c r="B102" s="428"/>
      <c r="C102" s="428"/>
      <c r="D102" s="428"/>
      <c r="E102" s="428"/>
      <c r="F102" s="428"/>
      <c r="G102" s="428"/>
      <c r="H102" s="471" t="s">
        <v>714</v>
      </c>
      <c r="I102" s="471" t="s">
        <v>714</v>
      </c>
      <c r="J102" s="471" t="s">
        <v>69</v>
      </c>
      <c r="K102" s="471" t="s">
        <v>69</v>
      </c>
      <c r="L102" s="471" t="s">
        <v>69</v>
      </c>
      <c r="M102" s="471"/>
      <c r="N102" s="471"/>
      <c r="O102" s="471"/>
      <c r="P102" s="471"/>
      <c r="Q102" s="471"/>
      <c r="R102" s="471"/>
      <c r="S102" s="471"/>
      <c r="T102" s="471"/>
      <c r="U102" s="471"/>
      <c r="V102" s="471"/>
      <c r="W102" s="471"/>
      <c r="X102" s="471"/>
      <c r="Y102" s="471"/>
      <c r="Z102" s="471"/>
      <c r="AA102" s="471"/>
      <c r="AB102" s="471"/>
      <c r="AC102" s="471"/>
      <c r="AD102" s="471"/>
      <c r="AE102" s="455"/>
      <c r="AF102" s="402"/>
      <c r="AG102" s="402"/>
      <c r="AH102" s="456"/>
      <c r="AI102" s="457"/>
    </row>
    <row r="103" spans="1:35" ht="12.75" hidden="1" outlineLevel="1">
      <c r="A103" s="400"/>
      <c r="B103" s="400"/>
      <c r="C103" s="400"/>
      <c r="D103" s="400"/>
      <c r="E103" s="400"/>
      <c r="F103" s="400"/>
      <c r="G103" s="400"/>
      <c r="H103" s="458"/>
      <c r="I103" s="400"/>
      <c r="J103" s="400"/>
      <c r="K103" s="400"/>
      <c r="L103" s="400"/>
      <c r="M103" s="400"/>
      <c r="N103" s="400"/>
      <c r="O103" s="400"/>
      <c r="P103" s="400"/>
      <c r="Q103" s="400"/>
      <c r="R103" s="400"/>
      <c r="S103" s="400"/>
      <c r="T103" s="400"/>
      <c r="U103" s="400"/>
      <c r="V103" s="400"/>
      <c r="W103" s="400"/>
      <c r="X103" s="400"/>
      <c r="Y103" s="400"/>
      <c r="Z103" s="400"/>
      <c r="AA103" s="400"/>
      <c r="AB103" s="400"/>
      <c r="AC103" s="400"/>
      <c r="AD103" s="400"/>
      <c r="AE103" s="404"/>
      <c r="AF103" s="404"/>
      <c r="AG103" s="404"/>
      <c r="AH103" s="425"/>
      <c r="AI103" s="404"/>
    </row>
    <row r="104" spans="1:35" ht="12.75" hidden="1" outlineLevel="1">
      <c r="A104" s="469" t="s">
        <v>572</v>
      </c>
      <c r="B104" s="400"/>
      <c r="C104" s="400"/>
      <c r="D104" s="400"/>
      <c r="E104" s="400"/>
      <c r="F104" s="400"/>
      <c r="G104" s="400"/>
      <c r="H104" s="400"/>
      <c r="I104" s="400"/>
      <c r="J104" s="400"/>
      <c r="K104" s="400"/>
      <c r="L104" s="203"/>
      <c r="M104" s="203"/>
      <c r="N104" s="203"/>
      <c r="O104" s="203"/>
      <c r="P104" s="203"/>
      <c r="Q104" s="203"/>
      <c r="R104" s="203"/>
      <c r="S104" s="203"/>
      <c r="T104" s="203"/>
      <c r="U104" s="203"/>
      <c r="V104" s="203"/>
      <c r="W104" s="203"/>
      <c r="X104" s="203"/>
      <c r="Y104" s="203"/>
      <c r="Z104" s="203"/>
      <c r="AA104" s="203"/>
      <c r="AB104" s="203"/>
      <c r="AC104" s="203"/>
      <c r="AD104" s="203"/>
      <c r="AE104" s="400"/>
      <c r="AF104" s="400"/>
      <c r="AG104" s="400"/>
      <c r="AH104" s="400"/>
      <c r="AI104" s="400"/>
    </row>
    <row r="105" spans="1:35" ht="12.75" hidden="1" outlineLevel="1">
      <c r="A105" s="400"/>
      <c r="B105" s="400"/>
      <c r="C105" s="400"/>
      <c r="D105" s="400"/>
      <c r="E105" s="463"/>
      <c r="F105" s="400"/>
      <c r="G105" s="400"/>
      <c r="H105" s="400"/>
      <c r="I105" s="400"/>
      <c r="J105" s="400"/>
      <c r="K105" s="400"/>
      <c r="L105" s="203"/>
      <c r="M105" s="203"/>
      <c r="N105" s="203"/>
      <c r="O105" s="203"/>
      <c r="P105" s="203"/>
      <c r="Q105" s="203"/>
      <c r="R105" s="203"/>
      <c r="S105" s="203"/>
      <c r="T105" s="203"/>
      <c r="U105" s="203"/>
      <c r="V105" s="203"/>
      <c r="W105" s="203"/>
      <c r="X105" s="203"/>
      <c r="Y105" s="203"/>
      <c r="Z105" s="203"/>
      <c r="AA105" s="203"/>
      <c r="AB105" s="203"/>
      <c r="AC105" s="203"/>
      <c r="AD105" s="203"/>
      <c r="AE105" s="400"/>
      <c r="AF105" s="400"/>
      <c r="AG105" s="400"/>
      <c r="AH105" s="464"/>
      <c r="AI105" s="400"/>
    </row>
    <row r="106" spans="1:35" ht="12.75" hidden="1" outlineLevel="1">
      <c r="A106" s="399" t="s">
        <v>450</v>
      </c>
      <c r="B106" s="400"/>
      <c r="C106" s="400"/>
      <c r="D106" s="400"/>
      <c r="E106" s="400"/>
      <c r="F106" s="400"/>
      <c r="G106" s="400"/>
      <c r="H106" s="400"/>
      <c r="I106" s="400"/>
      <c r="J106" s="400"/>
      <c r="K106" s="400"/>
      <c r="L106" s="203"/>
      <c r="M106" s="203"/>
      <c r="N106" s="203"/>
      <c r="O106" s="203"/>
      <c r="P106" s="203"/>
      <c r="Q106" s="203"/>
      <c r="R106" s="203"/>
      <c r="S106" s="203"/>
      <c r="T106" s="203"/>
      <c r="U106" s="203"/>
      <c r="V106" s="203"/>
      <c r="W106" s="203"/>
      <c r="X106" s="203"/>
      <c r="Y106" s="203"/>
      <c r="Z106" s="203"/>
      <c r="AA106" s="203"/>
      <c r="AB106" s="203"/>
      <c r="AC106" s="203"/>
      <c r="AD106" s="203"/>
      <c r="AE106" s="400"/>
      <c r="AF106" s="400"/>
      <c r="AG106" s="400"/>
      <c r="AH106" s="400"/>
      <c r="AI106" s="400"/>
    </row>
    <row r="107" spans="1:35" ht="12.75" hidden="1" outlineLevel="1">
      <c r="A107" s="401" t="str">
        <f>A2</f>
        <v>Annual Sales Model, Fiscal 1999A-2012E</v>
      </c>
      <c r="B107" s="402"/>
      <c r="C107" s="402"/>
      <c r="D107" s="402"/>
      <c r="E107" s="402"/>
      <c r="F107" s="402"/>
      <c r="G107" s="402"/>
      <c r="H107" s="402"/>
      <c r="I107" s="402"/>
      <c r="J107" s="402"/>
      <c r="K107" s="402"/>
      <c r="L107" s="402"/>
      <c r="M107" s="402"/>
      <c r="N107" s="402"/>
      <c r="O107" s="402"/>
      <c r="P107" s="402"/>
      <c r="Q107" s="402"/>
      <c r="R107" s="402"/>
      <c r="S107" s="402"/>
      <c r="T107" s="402"/>
      <c r="U107" s="402"/>
      <c r="V107" s="402"/>
      <c r="W107" s="402"/>
      <c r="X107" s="402"/>
      <c r="Y107" s="402"/>
      <c r="Z107" s="402"/>
      <c r="AA107" s="402"/>
      <c r="AB107" s="402"/>
      <c r="AC107" s="402"/>
      <c r="AD107" s="402"/>
      <c r="AE107" s="402"/>
      <c r="AF107" s="402"/>
      <c r="AG107" s="402"/>
      <c r="AH107" s="402"/>
      <c r="AI107" s="402"/>
    </row>
    <row r="108" spans="1:35" ht="12.75" hidden="1" outlineLevel="1">
      <c r="A108" s="403"/>
      <c r="B108" s="404"/>
      <c r="C108" s="404"/>
      <c r="D108" s="404"/>
      <c r="E108" s="404"/>
      <c r="F108" s="404"/>
      <c r="G108" s="404"/>
      <c r="H108" s="404"/>
      <c r="I108" s="404"/>
      <c r="J108" s="404"/>
      <c r="K108" s="404"/>
      <c r="L108" s="404"/>
      <c r="M108" s="404"/>
      <c r="N108" s="404"/>
      <c r="O108" s="404"/>
      <c r="P108" s="404"/>
      <c r="Q108" s="404"/>
      <c r="R108" s="404"/>
      <c r="S108" s="404"/>
      <c r="T108" s="404"/>
      <c r="U108" s="404"/>
      <c r="V108" s="404"/>
      <c r="W108" s="404"/>
      <c r="X108" s="404"/>
      <c r="Y108" s="404"/>
      <c r="Z108" s="404"/>
      <c r="AA108" s="404"/>
      <c r="AB108" s="404"/>
      <c r="AC108" s="404"/>
      <c r="AD108" s="404"/>
      <c r="AE108" s="404"/>
      <c r="AF108" s="404"/>
      <c r="AG108" s="404"/>
      <c r="AH108" s="404"/>
      <c r="AI108" s="404"/>
    </row>
    <row r="109" spans="1:35" ht="12.75" hidden="1" outlineLevel="1">
      <c r="A109" s="405"/>
      <c r="B109" s="400"/>
      <c r="C109" s="400"/>
      <c r="D109" s="400"/>
      <c r="E109" s="400"/>
      <c r="F109" s="400"/>
      <c r="G109" s="400"/>
      <c r="H109" s="400"/>
      <c r="I109" s="400"/>
      <c r="J109" s="400"/>
      <c r="K109" s="400"/>
      <c r="L109" s="400"/>
      <c r="M109" s="400"/>
      <c r="N109" s="400"/>
      <c r="O109" s="400"/>
      <c r="P109" s="400"/>
      <c r="Q109" s="400"/>
      <c r="R109" s="400"/>
      <c r="S109" s="400"/>
      <c r="T109" s="400"/>
      <c r="U109" s="400"/>
      <c r="V109" s="400"/>
      <c r="W109" s="400"/>
      <c r="X109" s="400"/>
      <c r="Y109" s="400"/>
      <c r="Z109" s="400"/>
      <c r="AA109" s="400"/>
      <c r="AB109" s="400"/>
      <c r="AC109" s="400"/>
      <c r="AD109" s="400"/>
      <c r="AE109" s="407"/>
      <c r="AF109" s="408"/>
      <c r="AG109" s="409" t="s">
        <v>715</v>
      </c>
      <c r="AH109" s="408"/>
      <c r="AI109" s="410"/>
    </row>
    <row r="110" spans="1:35" ht="12.75" hidden="1" outlineLevel="1">
      <c r="A110" s="411"/>
      <c r="B110" s="412"/>
      <c r="C110" s="412"/>
      <c r="D110" s="413" t="str">
        <f t="shared" ref="D110:M110" si="48">D5</f>
        <v>1996A</v>
      </c>
      <c r="E110" s="413" t="str">
        <f t="shared" si="48"/>
        <v>1997A</v>
      </c>
      <c r="F110" s="413" t="str">
        <f t="shared" si="48"/>
        <v>1998A</v>
      </c>
      <c r="G110" s="413" t="str">
        <f t="shared" si="48"/>
        <v>1999A</v>
      </c>
      <c r="H110" s="413" t="str">
        <f t="shared" si="48"/>
        <v>2000A</v>
      </c>
      <c r="I110" s="413" t="str">
        <f t="shared" si="48"/>
        <v>2001A</v>
      </c>
      <c r="J110" s="413" t="str">
        <f t="shared" si="48"/>
        <v>2002A</v>
      </c>
      <c r="K110" s="413" t="str">
        <f t="shared" si="48"/>
        <v>2003A</v>
      </c>
      <c r="L110" s="470" t="str">
        <f t="shared" si="48"/>
        <v>2004A</v>
      </c>
      <c r="M110" s="625">
        <f t="shared" si="48"/>
        <v>2005</v>
      </c>
      <c r="N110" s="625">
        <f t="shared" ref="N110:S110" si="49">N5</f>
        <v>2006</v>
      </c>
      <c r="O110" s="415">
        <f t="shared" si="49"/>
        <v>2007</v>
      </c>
      <c r="P110" s="415">
        <f t="shared" si="49"/>
        <v>2008</v>
      </c>
      <c r="Q110" s="415">
        <f t="shared" si="49"/>
        <v>2009</v>
      </c>
      <c r="R110" s="415">
        <f t="shared" si="49"/>
        <v>2010</v>
      </c>
      <c r="S110" s="415">
        <f t="shared" si="49"/>
        <v>2011</v>
      </c>
      <c r="T110" s="415">
        <f t="shared" ref="T110:Y110" si="50">T5</f>
        <v>2012</v>
      </c>
      <c r="U110" s="415">
        <f t="shared" si="50"/>
        <v>2013</v>
      </c>
      <c r="V110" s="415">
        <f t="shared" si="50"/>
        <v>2014</v>
      </c>
      <c r="W110" s="415">
        <f t="shared" si="50"/>
        <v>2015</v>
      </c>
      <c r="X110" s="415">
        <f t="shared" si="50"/>
        <v>2016</v>
      </c>
      <c r="Y110" s="415">
        <f t="shared" si="50"/>
        <v>2017</v>
      </c>
      <c r="Z110" s="415">
        <f>Z5</f>
        <v>2018</v>
      </c>
      <c r="AA110" s="415">
        <f>AA5</f>
        <v>2019</v>
      </c>
      <c r="AB110" s="415">
        <f>AB5</f>
        <v>2020</v>
      </c>
      <c r="AC110" s="415">
        <f>AC5</f>
        <v>2021</v>
      </c>
      <c r="AD110" s="415">
        <f>AD5</f>
        <v>2022</v>
      </c>
      <c r="AE110" s="416"/>
      <c r="AF110" s="409" t="str">
        <f>AF5</f>
        <v>11A-16</v>
      </c>
      <c r="AG110" s="404"/>
      <c r="AH110" s="409" t="str">
        <f>AH5</f>
        <v>16-22E</v>
      </c>
      <c r="AI110" s="418"/>
    </row>
    <row r="111" spans="1:35" ht="12.75" hidden="1" outlineLevel="1">
      <c r="A111" s="411"/>
      <c r="B111" s="411"/>
      <c r="C111" s="411"/>
      <c r="D111" s="411"/>
      <c r="E111" s="400"/>
      <c r="F111" s="400"/>
      <c r="G111" s="400"/>
      <c r="H111" s="400"/>
      <c r="I111" s="400"/>
      <c r="J111" s="400"/>
      <c r="K111" s="400"/>
      <c r="L111" s="203"/>
      <c r="M111" s="203"/>
      <c r="N111" s="203"/>
      <c r="O111" s="203"/>
      <c r="P111" s="203"/>
      <c r="Q111" s="203"/>
      <c r="R111" s="203"/>
      <c r="S111" s="203"/>
      <c r="T111" s="203"/>
      <c r="U111" s="203"/>
      <c r="V111" s="203"/>
      <c r="W111" s="203"/>
      <c r="X111" s="203"/>
      <c r="Y111" s="203"/>
      <c r="Z111" s="203"/>
      <c r="AA111" s="203"/>
      <c r="AB111" s="203"/>
      <c r="AC111" s="203"/>
      <c r="AD111" s="203"/>
      <c r="AE111" s="419"/>
      <c r="AF111" s="404"/>
      <c r="AG111" s="404"/>
      <c r="AH111" s="404"/>
      <c r="AI111" s="418"/>
    </row>
    <row r="112" spans="1:35" ht="12.75" hidden="1" outlineLevel="1">
      <c r="A112" s="411" t="s">
        <v>449</v>
      </c>
      <c r="B112" s="411"/>
      <c r="C112" s="421">
        <f t="shared" ref="C112:M112" si="51">C7+C70</f>
        <v>318.82299999999998</v>
      </c>
      <c r="D112" s="421">
        <f t="shared" si="51"/>
        <v>326.404</v>
      </c>
      <c r="E112" s="421">
        <f t="shared" si="51"/>
        <v>405.71299999999997</v>
      </c>
      <c r="F112" s="421">
        <f t="shared" si="51"/>
        <v>587.6</v>
      </c>
      <c r="G112" s="421">
        <f t="shared" si="51"/>
        <v>832.10400000000004</v>
      </c>
      <c r="H112" s="421">
        <f t="shared" si="51"/>
        <v>1047.077</v>
      </c>
      <c r="I112" s="421">
        <f t="shared" si="51"/>
        <v>1239.1990000000001</v>
      </c>
      <c r="J112" s="421">
        <f t="shared" si="51"/>
        <v>1417.2909999999999</v>
      </c>
      <c r="K112" s="421">
        <f t="shared" si="51"/>
        <v>1441.893</v>
      </c>
      <c r="L112" s="421">
        <f t="shared" si="51"/>
        <v>1817.241</v>
      </c>
      <c r="M112" s="421">
        <f t="shared" si="51"/>
        <v>2216.962</v>
      </c>
      <c r="N112" s="421">
        <f t="shared" ref="N112:S112" si="52">N7+N70</f>
        <v>2639.009</v>
      </c>
      <c r="O112" s="421">
        <f t="shared" si="52"/>
        <v>2811.9189999999999</v>
      </c>
      <c r="P112" s="421">
        <f t="shared" si="52"/>
        <v>2681.866</v>
      </c>
      <c r="Q112" s="421">
        <f t="shared" si="52"/>
        <v>2606.2689999999993</v>
      </c>
      <c r="R112" s="421">
        <f t="shared" si="52"/>
        <v>2611.2939999999999</v>
      </c>
      <c r="S112" s="421">
        <f t="shared" si="52"/>
        <v>2734.6588929999998</v>
      </c>
      <c r="T112" s="421">
        <f t="shared" ref="T112:Y112" si="53">T7+T70</f>
        <v>2998.4920722400002</v>
      </c>
      <c r="U112" s="421">
        <f t="shared" si="53"/>
        <v>2764.3481929447998</v>
      </c>
      <c r="V112" s="421">
        <f>V7+V70</f>
        <v>2706.1634344854801</v>
      </c>
      <c r="W112" s="421">
        <f t="shared" si="53"/>
        <v>2858.4453211097734</v>
      </c>
      <c r="X112" s="421">
        <f t="shared" si="53"/>
        <v>2808.6468017883763</v>
      </c>
      <c r="Y112" s="421">
        <f t="shared" si="53"/>
        <v>2787.0084330184163</v>
      </c>
      <c r="Z112" s="421">
        <f>Z7+Z70</f>
        <v>2686.5097022016557</v>
      </c>
      <c r="AA112" s="421">
        <f>AA7+AA70</f>
        <v>2660.6163547008127</v>
      </c>
      <c r="AB112" s="421">
        <f>AB7+AB70</f>
        <v>2659.6531575834542</v>
      </c>
      <c r="AC112" s="421">
        <f>AC7+AC70</f>
        <v>2594.1318850636189</v>
      </c>
      <c r="AD112" s="421">
        <f>AD7+AD70</f>
        <v>2524.6115317348613</v>
      </c>
      <c r="AE112" s="419"/>
      <c r="AF112" s="404"/>
      <c r="AG112" s="404"/>
      <c r="AH112" s="404"/>
      <c r="AI112" s="418"/>
    </row>
    <row r="113" spans="1:35" ht="12.75" hidden="1" outlineLevel="1">
      <c r="A113" s="411" t="s">
        <v>451</v>
      </c>
      <c r="B113" s="411"/>
      <c r="C113" s="421">
        <f t="shared" ref="C113:M113" si="54">+C8</f>
        <v>0</v>
      </c>
      <c r="D113" s="421">
        <f t="shared" si="54"/>
        <v>0</v>
      </c>
      <c r="E113" s="421">
        <f t="shared" si="54"/>
        <v>0</v>
      </c>
      <c r="F113" s="421">
        <f t="shared" si="54"/>
        <v>0</v>
      </c>
      <c r="G113" s="421">
        <f t="shared" si="54"/>
        <v>0</v>
      </c>
      <c r="H113" s="421">
        <f t="shared" si="54"/>
        <v>10.5</v>
      </c>
      <c r="I113" s="421">
        <f t="shared" si="54"/>
        <v>32</v>
      </c>
      <c r="J113" s="421">
        <f t="shared" si="54"/>
        <v>45.85</v>
      </c>
      <c r="K113" s="421">
        <f t="shared" si="54"/>
        <v>51.4</v>
      </c>
      <c r="L113" s="421">
        <f t="shared" si="54"/>
        <v>64</v>
      </c>
      <c r="M113" s="421">
        <f t="shared" si="54"/>
        <v>105</v>
      </c>
      <c r="N113" s="421">
        <f t="shared" ref="N113:S113" si="55">+N8</f>
        <v>155.4</v>
      </c>
      <c r="O113" s="421">
        <f t="shared" si="55"/>
        <v>243.5</v>
      </c>
      <c r="P113" s="421">
        <f t="shared" si="55"/>
        <v>307</v>
      </c>
      <c r="Q113" s="421">
        <f t="shared" si="55"/>
        <v>334</v>
      </c>
      <c r="R113" s="421">
        <f t="shared" si="55"/>
        <v>334</v>
      </c>
      <c r="S113" s="421">
        <f t="shared" si="55"/>
        <v>385.40610700000002</v>
      </c>
      <c r="T113" s="421">
        <f t="shared" ref="T113:Y113" si="56">+T8</f>
        <v>477.30992776000005</v>
      </c>
      <c r="U113" s="421">
        <f t="shared" si="56"/>
        <v>541.45380705520006</v>
      </c>
      <c r="V113" s="421">
        <f t="shared" si="56"/>
        <v>576.70356551452005</v>
      </c>
      <c r="W113" s="421">
        <f t="shared" si="56"/>
        <v>663.40267889022653</v>
      </c>
      <c r="X113" s="421">
        <f t="shared" si="56"/>
        <v>801.21819821162399</v>
      </c>
      <c r="Y113" s="421">
        <f t="shared" si="56"/>
        <v>1008.5405669815837</v>
      </c>
      <c r="Z113" s="421">
        <f>+Z8</f>
        <v>1159.8216520288211</v>
      </c>
      <c r="AA113" s="421">
        <f>+AA8</f>
        <v>1252.6073841911268</v>
      </c>
      <c r="AB113" s="421">
        <f>+AB8</f>
        <v>1315.2377534006832</v>
      </c>
      <c r="AC113" s="421">
        <f>+AC8</f>
        <v>1380.9996410707174</v>
      </c>
      <c r="AD113" s="421">
        <f>+AD8</f>
        <v>1450.0496231242535</v>
      </c>
      <c r="AE113" s="419"/>
      <c r="AF113" s="404"/>
      <c r="AG113" s="404"/>
      <c r="AH113" s="404"/>
      <c r="AI113" s="418"/>
    </row>
    <row r="114" spans="1:35" ht="12.75" hidden="1" outlineLevel="1">
      <c r="A114" s="424" t="s">
        <v>720</v>
      </c>
      <c r="B114" s="421"/>
      <c r="C114" s="421">
        <f t="shared" ref="C114:Q114" si="57">+C112+C113</f>
        <v>318.82299999999998</v>
      </c>
      <c r="D114" s="421">
        <f t="shared" si="57"/>
        <v>326.404</v>
      </c>
      <c r="E114" s="476">
        <f t="shared" si="57"/>
        <v>405.71299999999997</v>
      </c>
      <c r="F114" s="476">
        <f t="shared" si="57"/>
        <v>587.6</v>
      </c>
      <c r="G114" s="476">
        <f t="shared" si="57"/>
        <v>832.10400000000004</v>
      </c>
      <c r="H114" s="476">
        <f t="shared" si="57"/>
        <v>1057.577</v>
      </c>
      <c r="I114" s="476">
        <f t="shared" si="57"/>
        <v>1271.1990000000001</v>
      </c>
      <c r="J114" s="476">
        <f t="shared" si="57"/>
        <v>1463.1409999999998</v>
      </c>
      <c r="K114" s="476">
        <f t="shared" si="57"/>
        <v>1493.2930000000001</v>
      </c>
      <c r="L114" s="476">
        <f t="shared" si="57"/>
        <v>1881.241</v>
      </c>
      <c r="M114" s="476">
        <f t="shared" si="57"/>
        <v>2321.962</v>
      </c>
      <c r="N114" s="476">
        <f t="shared" si="57"/>
        <v>2794.4090000000001</v>
      </c>
      <c r="O114" s="476">
        <f t="shared" si="57"/>
        <v>3055.4189999999999</v>
      </c>
      <c r="P114" s="476">
        <f t="shared" si="57"/>
        <v>2988.866</v>
      </c>
      <c r="Q114" s="476">
        <f t="shared" si="57"/>
        <v>2940.2689999999993</v>
      </c>
      <c r="R114" s="476">
        <f t="shared" ref="R114:W114" si="58">+R112+R113</f>
        <v>2945.2939999999999</v>
      </c>
      <c r="S114" s="476">
        <f t="shared" si="58"/>
        <v>3120.0649999999996</v>
      </c>
      <c r="T114" s="476">
        <f t="shared" si="58"/>
        <v>3475.8020000000001</v>
      </c>
      <c r="U114" s="476">
        <f t="shared" si="58"/>
        <v>3305.8019999999997</v>
      </c>
      <c r="V114" s="476">
        <f t="shared" si="58"/>
        <v>3282.8670000000002</v>
      </c>
      <c r="W114" s="476">
        <f t="shared" si="58"/>
        <v>3521.848</v>
      </c>
      <c r="X114" s="476">
        <f t="shared" ref="X114:AC114" si="59">+X112+X113</f>
        <v>3609.8650000000002</v>
      </c>
      <c r="Y114" s="476">
        <f t="shared" si="59"/>
        <v>3795.549</v>
      </c>
      <c r="Z114" s="476">
        <f t="shared" si="59"/>
        <v>3846.3313542304768</v>
      </c>
      <c r="AA114" s="476">
        <f t="shared" si="59"/>
        <v>3913.2237388919393</v>
      </c>
      <c r="AB114" s="476">
        <f t="shared" si="59"/>
        <v>3974.8909109841375</v>
      </c>
      <c r="AC114" s="476">
        <f t="shared" si="59"/>
        <v>3975.1315261343361</v>
      </c>
      <c r="AD114" s="476">
        <f>+AD112+AD113</f>
        <v>3974.6611548591145</v>
      </c>
      <c r="AE114" s="419"/>
      <c r="AF114" s="425">
        <f>RATE(5,,-O114,T114)*100</f>
        <v>2.6116924409087594</v>
      </c>
      <c r="AG114" s="426" t="s">
        <v>697</v>
      </c>
      <c r="AH114" s="425">
        <f>RATE(5,,-T114,Y114)*100</f>
        <v>1.7756570341676534</v>
      </c>
      <c r="AI114" s="427" t="s">
        <v>697</v>
      </c>
    </row>
    <row r="115" spans="1:35" ht="12.75" hidden="1" outlineLevel="1">
      <c r="A115" s="424" t="s">
        <v>721</v>
      </c>
      <c r="B115" s="428"/>
      <c r="C115" s="429"/>
      <c r="D115" s="428">
        <f t="shared" ref="D115:W115" si="60">D114/C114-1</f>
        <v>2.3778083764345759E-2</v>
      </c>
      <c r="E115" s="428">
        <f t="shared" si="60"/>
        <v>0.24297802723005835</v>
      </c>
      <c r="F115" s="428">
        <f t="shared" si="60"/>
        <v>0.44831444888381711</v>
      </c>
      <c r="G115" s="428">
        <f t="shared" si="60"/>
        <v>0.41610619469026555</v>
      </c>
      <c r="H115" s="428">
        <f t="shared" si="60"/>
        <v>0.27096733100670112</v>
      </c>
      <c r="I115" s="428">
        <f t="shared" si="60"/>
        <v>0.2019919117000466</v>
      </c>
      <c r="J115" s="428">
        <f t="shared" si="60"/>
        <v>0.15099288152366364</v>
      </c>
      <c r="K115" s="428">
        <f t="shared" si="60"/>
        <v>2.0607719966838633E-2</v>
      </c>
      <c r="L115" s="428">
        <f t="shared" si="60"/>
        <v>0.25979362389028804</v>
      </c>
      <c r="M115" s="428">
        <f t="shared" si="60"/>
        <v>0.23427141977024735</v>
      </c>
      <c r="N115" s="428">
        <f t="shared" si="60"/>
        <v>0.20346887675164371</v>
      </c>
      <c r="O115" s="428">
        <f t="shared" si="60"/>
        <v>9.3404365645830545E-2</v>
      </c>
      <c r="P115" s="428">
        <f t="shared" si="60"/>
        <v>-2.1781955273564746E-2</v>
      </c>
      <c r="Q115" s="428">
        <f t="shared" si="60"/>
        <v>-1.6259343844789553E-2</v>
      </c>
      <c r="R115" s="428">
        <f t="shared" si="60"/>
        <v>1.7090273032842607E-3</v>
      </c>
      <c r="S115" s="428">
        <f t="shared" si="60"/>
        <v>5.9339067678812363E-2</v>
      </c>
      <c r="T115" s="428">
        <f t="shared" si="60"/>
        <v>0.1140158938996465</v>
      </c>
      <c r="U115" s="428">
        <f t="shared" si="60"/>
        <v>-4.890957540159091E-2</v>
      </c>
      <c r="V115" s="428">
        <f t="shared" si="60"/>
        <v>-6.9378020825202613E-3</v>
      </c>
      <c r="W115" s="428">
        <f t="shared" si="60"/>
        <v>7.2796430680865054E-2</v>
      </c>
      <c r="X115" s="428">
        <f t="shared" ref="X115:AD115" si="61">X114/W114-1</f>
        <v>2.4991708898282949E-2</v>
      </c>
      <c r="Y115" s="428">
        <f t="shared" si="61"/>
        <v>5.1437934659606332E-2</v>
      </c>
      <c r="Z115" s="428">
        <f t="shared" si="61"/>
        <v>1.3379448988928067E-2</v>
      </c>
      <c r="AA115" s="428">
        <f t="shared" si="61"/>
        <v>1.7391217370778422E-2</v>
      </c>
      <c r="AB115" s="428">
        <f t="shared" si="61"/>
        <v>1.5758662475470864E-2</v>
      </c>
      <c r="AC115" s="428">
        <f t="shared" si="61"/>
        <v>6.0533774532967044E-5</v>
      </c>
      <c r="AD115" s="428">
        <f t="shared" si="61"/>
        <v>-1.183284809896934E-4</v>
      </c>
      <c r="AE115" s="419"/>
      <c r="AF115" s="404"/>
      <c r="AG115" s="404"/>
      <c r="AH115" s="425"/>
      <c r="AI115" s="418"/>
    </row>
    <row r="116" spans="1:35" ht="12.75" hidden="1" outlineLevel="1">
      <c r="A116" s="400"/>
      <c r="B116" s="400"/>
      <c r="C116" s="400"/>
      <c r="D116" s="400"/>
      <c r="E116" s="400"/>
      <c r="F116" s="400"/>
      <c r="G116" s="400"/>
      <c r="H116" s="400"/>
      <c r="I116" s="400"/>
      <c r="J116" s="400"/>
      <c r="K116" s="400"/>
      <c r="L116" s="400"/>
      <c r="M116" s="400"/>
      <c r="N116" s="400"/>
      <c r="O116" s="400"/>
      <c r="P116" s="400"/>
      <c r="Q116" s="400"/>
      <c r="R116" s="400"/>
      <c r="S116" s="400"/>
      <c r="T116" s="400"/>
      <c r="U116" s="400"/>
      <c r="V116" s="400"/>
      <c r="W116" s="400"/>
      <c r="X116" s="400"/>
      <c r="Y116" s="400"/>
      <c r="Z116" s="400"/>
      <c r="AA116" s="400"/>
      <c r="AB116" s="400"/>
      <c r="AC116" s="400"/>
      <c r="AD116" s="400"/>
      <c r="AE116" s="419"/>
      <c r="AF116" s="404"/>
      <c r="AG116" s="404"/>
      <c r="AH116" s="425"/>
      <c r="AI116" s="418"/>
    </row>
    <row r="117" spans="1:35" ht="12.75" hidden="1" outlineLevel="1">
      <c r="A117" s="424" t="s">
        <v>722</v>
      </c>
      <c r="B117" s="411"/>
      <c r="C117" s="411">
        <f>+C12+C73</f>
        <v>208</v>
      </c>
      <c r="D117" s="411">
        <f>+D12+D73</f>
        <v>277</v>
      </c>
      <c r="E117" s="411">
        <f t="shared" ref="E117:W117" si="62">+D124</f>
        <v>303</v>
      </c>
      <c r="F117" s="411">
        <f t="shared" si="62"/>
        <v>332</v>
      </c>
      <c r="G117" s="411">
        <f t="shared" si="62"/>
        <v>386</v>
      </c>
      <c r="H117" s="411">
        <f t="shared" si="62"/>
        <v>466</v>
      </c>
      <c r="I117" s="411">
        <f t="shared" si="62"/>
        <v>663</v>
      </c>
      <c r="J117" s="411">
        <f t="shared" si="62"/>
        <v>790</v>
      </c>
      <c r="K117" s="411">
        <f t="shared" si="62"/>
        <v>864</v>
      </c>
      <c r="L117" s="411">
        <f t="shared" si="62"/>
        <v>915</v>
      </c>
      <c r="M117" s="411">
        <f t="shared" si="62"/>
        <v>846</v>
      </c>
      <c r="N117" s="411">
        <f t="shared" si="62"/>
        <v>869</v>
      </c>
      <c r="O117" s="411">
        <f t="shared" si="62"/>
        <v>903</v>
      </c>
      <c r="P117" s="411">
        <f t="shared" si="62"/>
        <v>929</v>
      </c>
      <c r="Q117" s="411">
        <f t="shared" si="62"/>
        <v>953</v>
      </c>
      <c r="R117" s="411">
        <f t="shared" si="62"/>
        <v>937</v>
      </c>
      <c r="S117" s="411">
        <f t="shared" si="62"/>
        <v>900</v>
      </c>
      <c r="T117" s="411">
        <f t="shared" si="62"/>
        <v>882</v>
      </c>
      <c r="U117" s="411">
        <f t="shared" si="62"/>
        <v>864</v>
      </c>
      <c r="V117" s="411">
        <f t="shared" si="62"/>
        <v>915</v>
      </c>
      <c r="W117" s="411">
        <f t="shared" si="62"/>
        <v>926</v>
      </c>
      <c r="X117" s="411">
        <f t="shared" ref="X117:AD117" si="63">+W124</f>
        <v>921</v>
      </c>
      <c r="Y117" s="411">
        <f t="shared" si="63"/>
        <v>919</v>
      </c>
      <c r="Z117" s="411">
        <f t="shared" si="63"/>
        <v>909</v>
      </c>
      <c r="AA117" s="411">
        <f t="shared" si="63"/>
        <v>912</v>
      </c>
      <c r="AB117" s="411">
        <f t="shared" si="63"/>
        <v>907</v>
      </c>
      <c r="AC117" s="411">
        <f t="shared" si="63"/>
        <v>902</v>
      </c>
      <c r="AD117" s="411">
        <f t="shared" si="63"/>
        <v>892</v>
      </c>
      <c r="AE117" s="419"/>
      <c r="AF117" s="404"/>
      <c r="AG117" s="404"/>
      <c r="AH117" s="425"/>
      <c r="AI117" s="418"/>
    </row>
    <row r="118" spans="1:35" ht="12.75" hidden="1" outlineLevel="1">
      <c r="A118" s="424" t="s">
        <v>723</v>
      </c>
      <c r="B118" s="411"/>
      <c r="C118" s="411">
        <f t="shared" ref="C118:M118" si="64">+C119+C120+C121</f>
        <v>96</v>
      </c>
      <c r="D118" s="411">
        <f t="shared" si="64"/>
        <v>36</v>
      </c>
      <c r="E118" s="411">
        <f t="shared" si="64"/>
        <v>36</v>
      </c>
      <c r="F118" s="411">
        <f t="shared" si="64"/>
        <v>56</v>
      </c>
      <c r="G118" s="411">
        <f t="shared" si="64"/>
        <v>80</v>
      </c>
      <c r="H118" s="411">
        <f t="shared" si="64"/>
        <v>205</v>
      </c>
      <c r="I118" s="411">
        <f t="shared" si="64"/>
        <v>130</v>
      </c>
      <c r="J118" s="411">
        <f t="shared" si="64"/>
        <v>79</v>
      </c>
      <c r="K118" s="411">
        <f t="shared" si="64"/>
        <v>59</v>
      </c>
      <c r="L118" s="411">
        <f t="shared" si="64"/>
        <v>52</v>
      </c>
      <c r="M118" s="411">
        <f t="shared" si="64"/>
        <v>36</v>
      </c>
      <c r="N118" s="411">
        <f t="shared" ref="N118:S118" si="65">+N119+N120+N121</f>
        <v>42</v>
      </c>
      <c r="O118" s="411">
        <f t="shared" si="65"/>
        <v>30</v>
      </c>
      <c r="P118" s="411">
        <f t="shared" si="65"/>
        <v>35</v>
      </c>
      <c r="Q118" s="411">
        <f t="shared" si="65"/>
        <v>8</v>
      </c>
      <c r="R118" s="411">
        <f t="shared" si="65"/>
        <v>14</v>
      </c>
      <c r="S118" s="411">
        <f t="shared" si="65"/>
        <v>11</v>
      </c>
      <c r="T118" s="411">
        <f t="shared" ref="T118:Y118" si="66">+T119+T120+T121</f>
        <v>16</v>
      </c>
      <c r="U118" s="411">
        <f t="shared" si="66"/>
        <v>64</v>
      </c>
      <c r="V118" s="411">
        <f t="shared" si="66"/>
        <v>60</v>
      </c>
      <c r="W118" s="411">
        <f t="shared" si="66"/>
        <v>22</v>
      </c>
      <c r="X118" s="411">
        <f t="shared" si="66"/>
        <v>16</v>
      </c>
      <c r="Y118" s="411">
        <f t="shared" si="66"/>
        <v>16</v>
      </c>
      <c r="Z118" s="411">
        <f>+Z119+Z120+Z121</f>
        <v>18</v>
      </c>
      <c r="AA118" s="411">
        <f>+AA119+AA120+AA121</f>
        <v>15</v>
      </c>
      <c r="AB118" s="411">
        <f>+AB119+AB120+AB121</f>
        <v>15</v>
      </c>
      <c r="AC118" s="411">
        <f>+AC119+AC120+AC121</f>
        <v>10</v>
      </c>
      <c r="AD118" s="411">
        <f>+AD119+AD120+AD121</f>
        <v>10</v>
      </c>
      <c r="AE118" s="419"/>
      <c r="AF118" s="404"/>
      <c r="AG118" s="404"/>
      <c r="AH118" s="425"/>
      <c r="AI118" s="418"/>
    </row>
    <row r="119" spans="1:35" ht="12.75" hidden="1" outlineLevel="1">
      <c r="A119" s="472" t="s">
        <v>142</v>
      </c>
      <c r="B119" s="411"/>
      <c r="C119" s="411">
        <f t="shared" ref="C119:M119" si="67">+C13</f>
        <v>96</v>
      </c>
      <c r="D119" s="411">
        <f t="shared" si="67"/>
        <v>36</v>
      </c>
      <c r="E119" s="411">
        <f t="shared" si="67"/>
        <v>36</v>
      </c>
      <c r="F119" s="411">
        <f t="shared" si="67"/>
        <v>56</v>
      </c>
      <c r="G119" s="411">
        <f t="shared" si="67"/>
        <v>80</v>
      </c>
      <c r="H119" s="411">
        <f t="shared" si="67"/>
        <v>90</v>
      </c>
      <c r="I119" s="411">
        <f t="shared" si="67"/>
        <v>127</v>
      </c>
      <c r="J119" s="411">
        <f t="shared" si="67"/>
        <v>79</v>
      </c>
      <c r="K119" s="411">
        <f t="shared" si="67"/>
        <v>59</v>
      </c>
      <c r="L119" s="411">
        <f t="shared" si="67"/>
        <v>50</v>
      </c>
      <c r="M119" s="411">
        <f t="shared" si="67"/>
        <v>36</v>
      </c>
      <c r="N119" s="411">
        <f t="shared" ref="N119:S119" si="68">+N13</f>
        <v>42</v>
      </c>
      <c r="O119" s="411">
        <f t="shared" si="68"/>
        <v>30</v>
      </c>
      <c r="P119" s="411">
        <f t="shared" si="68"/>
        <v>35</v>
      </c>
      <c r="Q119" s="411">
        <f t="shared" si="68"/>
        <v>8</v>
      </c>
      <c r="R119" s="411">
        <f t="shared" si="68"/>
        <v>14</v>
      </c>
      <c r="S119" s="411">
        <f t="shared" si="68"/>
        <v>11</v>
      </c>
      <c r="T119" s="411">
        <f t="shared" ref="T119:Y119" si="69">+T13</f>
        <v>16</v>
      </c>
      <c r="U119" s="411">
        <f t="shared" si="69"/>
        <v>64</v>
      </c>
      <c r="V119" s="411">
        <f t="shared" si="69"/>
        <v>60</v>
      </c>
      <c r="W119" s="411">
        <f t="shared" si="69"/>
        <v>22</v>
      </c>
      <c r="X119" s="411">
        <f t="shared" si="69"/>
        <v>16</v>
      </c>
      <c r="Y119" s="411">
        <f t="shared" si="69"/>
        <v>16</v>
      </c>
      <c r="Z119" s="411">
        <f>+Z13</f>
        <v>18</v>
      </c>
      <c r="AA119" s="411">
        <f>+AA13</f>
        <v>15</v>
      </c>
      <c r="AB119" s="411">
        <f>+AB13</f>
        <v>15</v>
      </c>
      <c r="AC119" s="411">
        <f>+AC13</f>
        <v>10</v>
      </c>
      <c r="AD119" s="411">
        <f>+AD13</f>
        <v>10</v>
      </c>
      <c r="AE119" s="419"/>
      <c r="AF119" s="404"/>
      <c r="AG119" s="404"/>
      <c r="AH119" s="425"/>
      <c r="AI119" s="418"/>
    </row>
    <row r="120" spans="1:35" ht="12.75" hidden="1" outlineLevel="1">
      <c r="A120" s="472" t="s">
        <v>440</v>
      </c>
      <c r="B120" s="411"/>
      <c r="C120" s="411">
        <f t="shared" ref="C120:M120" si="70">+C75</f>
        <v>0</v>
      </c>
      <c r="D120" s="411">
        <f t="shared" si="70"/>
        <v>0</v>
      </c>
      <c r="E120" s="411">
        <f t="shared" si="70"/>
        <v>0</v>
      </c>
      <c r="F120" s="411">
        <f t="shared" si="70"/>
        <v>0</v>
      </c>
      <c r="G120" s="411">
        <f t="shared" si="70"/>
        <v>0</v>
      </c>
      <c r="H120" s="411">
        <f t="shared" si="70"/>
        <v>115</v>
      </c>
      <c r="I120" s="411">
        <f t="shared" si="70"/>
        <v>3</v>
      </c>
      <c r="J120" s="411">
        <f t="shared" si="70"/>
        <v>0</v>
      </c>
      <c r="K120" s="411">
        <f t="shared" si="70"/>
        <v>0</v>
      </c>
      <c r="L120" s="411">
        <f t="shared" si="70"/>
        <v>2</v>
      </c>
      <c r="M120" s="411">
        <f t="shared" si="70"/>
        <v>0</v>
      </c>
      <c r="N120" s="411">
        <f t="shared" ref="N120:Q121" si="71">+N75</f>
        <v>0</v>
      </c>
      <c r="O120" s="411">
        <f t="shared" si="71"/>
        <v>0</v>
      </c>
      <c r="P120" s="411">
        <f t="shared" si="71"/>
        <v>0</v>
      </c>
      <c r="Q120" s="411">
        <f t="shared" si="71"/>
        <v>0</v>
      </c>
      <c r="R120" s="411">
        <f t="shared" ref="R120:T121" si="72">+R75</f>
        <v>0</v>
      </c>
      <c r="S120" s="411">
        <f t="shared" si="72"/>
        <v>0</v>
      </c>
      <c r="T120" s="411">
        <f t="shared" si="72"/>
        <v>0</v>
      </c>
      <c r="U120" s="411">
        <f t="shared" ref="U120:W121" si="73">+U75</f>
        <v>0</v>
      </c>
      <c r="V120" s="411">
        <f t="shared" si="73"/>
        <v>0</v>
      </c>
      <c r="W120" s="411">
        <f t="shared" si="73"/>
        <v>0</v>
      </c>
      <c r="X120" s="411">
        <f t="shared" ref="X120:Z121" si="74">+X75</f>
        <v>0</v>
      </c>
      <c r="Y120" s="411">
        <f t="shared" si="74"/>
        <v>0</v>
      </c>
      <c r="Z120" s="411">
        <f t="shared" si="74"/>
        <v>0</v>
      </c>
      <c r="AA120" s="411">
        <f t="shared" ref="AA120:AC121" si="75">+AA75</f>
        <v>0</v>
      </c>
      <c r="AB120" s="411">
        <f t="shared" si="75"/>
        <v>0</v>
      </c>
      <c r="AC120" s="411">
        <f t="shared" si="75"/>
        <v>0</v>
      </c>
      <c r="AD120" s="411">
        <f>+AD75</f>
        <v>0</v>
      </c>
      <c r="AE120" s="419"/>
      <c r="AF120" s="404"/>
      <c r="AG120" s="404"/>
      <c r="AH120" s="425"/>
      <c r="AI120" s="418"/>
    </row>
    <row r="121" spans="1:35" ht="12.75" hidden="1" outlineLevel="1">
      <c r="A121" s="472" t="s">
        <v>437</v>
      </c>
      <c r="B121" s="411"/>
      <c r="C121" s="411">
        <f t="shared" ref="C121:M121" si="76">+C76</f>
        <v>0</v>
      </c>
      <c r="D121" s="411">
        <f t="shared" si="76"/>
        <v>0</v>
      </c>
      <c r="E121" s="411">
        <f t="shared" si="76"/>
        <v>0</v>
      </c>
      <c r="F121" s="411">
        <f t="shared" si="76"/>
        <v>0</v>
      </c>
      <c r="G121" s="411">
        <f t="shared" si="76"/>
        <v>0</v>
      </c>
      <c r="H121" s="411">
        <f t="shared" si="76"/>
        <v>0</v>
      </c>
      <c r="I121" s="411">
        <f t="shared" si="76"/>
        <v>0</v>
      </c>
      <c r="J121" s="411">
        <f t="shared" si="76"/>
        <v>0</v>
      </c>
      <c r="K121" s="411">
        <f t="shared" si="76"/>
        <v>0</v>
      </c>
      <c r="L121" s="411">
        <f t="shared" si="76"/>
        <v>0</v>
      </c>
      <c r="M121" s="411">
        <f t="shared" si="76"/>
        <v>0</v>
      </c>
      <c r="N121" s="411">
        <f t="shared" si="71"/>
        <v>0</v>
      </c>
      <c r="O121" s="411">
        <f t="shared" si="71"/>
        <v>0</v>
      </c>
      <c r="P121" s="411">
        <f t="shared" si="71"/>
        <v>0</v>
      </c>
      <c r="Q121" s="411">
        <f t="shared" si="71"/>
        <v>0</v>
      </c>
      <c r="R121" s="411">
        <f t="shared" si="72"/>
        <v>0</v>
      </c>
      <c r="S121" s="411">
        <f t="shared" si="72"/>
        <v>0</v>
      </c>
      <c r="T121" s="411">
        <f t="shared" si="72"/>
        <v>0</v>
      </c>
      <c r="U121" s="411">
        <f t="shared" si="73"/>
        <v>0</v>
      </c>
      <c r="V121" s="411">
        <f t="shared" si="73"/>
        <v>0</v>
      </c>
      <c r="W121" s="411">
        <f t="shared" si="73"/>
        <v>0</v>
      </c>
      <c r="X121" s="411">
        <f t="shared" si="74"/>
        <v>0</v>
      </c>
      <c r="Y121" s="411">
        <f t="shared" si="74"/>
        <v>0</v>
      </c>
      <c r="Z121" s="411">
        <f t="shared" si="74"/>
        <v>0</v>
      </c>
      <c r="AA121" s="411">
        <f t="shared" si="75"/>
        <v>0</v>
      </c>
      <c r="AB121" s="411">
        <f t="shared" si="75"/>
        <v>0</v>
      </c>
      <c r="AC121" s="411">
        <f t="shared" si="75"/>
        <v>0</v>
      </c>
      <c r="AD121" s="411">
        <f>+AD76</f>
        <v>0</v>
      </c>
      <c r="AE121" s="419"/>
      <c r="AF121" s="404"/>
      <c r="AG121" s="404"/>
      <c r="AH121" s="425"/>
      <c r="AI121" s="418"/>
    </row>
    <row r="122" spans="1:35" ht="12.75" hidden="1" outlineLevel="1">
      <c r="A122" s="435" t="s">
        <v>452</v>
      </c>
      <c r="B122" s="411"/>
      <c r="C122" s="477">
        <f t="shared" ref="C122:M122" si="77">+C17</f>
        <v>-7</v>
      </c>
      <c r="D122" s="477">
        <f t="shared" si="77"/>
        <v>-10</v>
      </c>
      <c r="E122" s="477">
        <f t="shared" si="77"/>
        <v>-7</v>
      </c>
      <c r="F122" s="477">
        <f t="shared" si="77"/>
        <v>-2</v>
      </c>
      <c r="G122" s="477">
        <f t="shared" si="77"/>
        <v>0</v>
      </c>
      <c r="H122" s="477">
        <f t="shared" si="77"/>
        <v>-2</v>
      </c>
      <c r="I122" s="477">
        <f t="shared" si="77"/>
        <v>-3</v>
      </c>
      <c r="J122" s="477">
        <f t="shared" si="77"/>
        <v>-4</v>
      </c>
      <c r="K122" s="477">
        <f t="shared" si="77"/>
        <v>-7</v>
      </c>
      <c r="L122" s="477">
        <f t="shared" si="77"/>
        <v>-9</v>
      </c>
      <c r="M122" s="477">
        <f t="shared" si="77"/>
        <v>-13</v>
      </c>
      <c r="N122" s="477">
        <f t="shared" ref="N122:S122" si="78">+N17</f>
        <v>-8</v>
      </c>
      <c r="O122" s="477">
        <f t="shared" si="78"/>
        <v>-4</v>
      </c>
      <c r="P122" s="477">
        <f t="shared" si="78"/>
        <v>-11</v>
      </c>
      <c r="Q122" s="477">
        <f t="shared" si="78"/>
        <v>-24</v>
      </c>
      <c r="R122" s="477">
        <f t="shared" si="78"/>
        <v>-51</v>
      </c>
      <c r="S122" s="477">
        <f t="shared" si="78"/>
        <v>-29</v>
      </c>
      <c r="T122" s="477">
        <f t="shared" ref="T122:Y122" si="79">+T17</f>
        <v>-34</v>
      </c>
      <c r="U122" s="477">
        <f t="shared" si="79"/>
        <v>-13</v>
      </c>
      <c r="V122" s="477">
        <f t="shared" si="79"/>
        <v>-49</v>
      </c>
      <c r="W122" s="477">
        <f t="shared" si="79"/>
        <v>-27</v>
      </c>
      <c r="X122" s="477">
        <f t="shared" si="79"/>
        <v>-18</v>
      </c>
      <c r="Y122" s="477">
        <f t="shared" si="79"/>
        <v>-26</v>
      </c>
      <c r="Z122" s="477">
        <f>+Z17</f>
        <v>-15</v>
      </c>
      <c r="AA122" s="477">
        <f>+AA17</f>
        <v>-20</v>
      </c>
      <c r="AB122" s="477">
        <f>+AB17</f>
        <v>-20</v>
      </c>
      <c r="AC122" s="477">
        <f>+AC17</f>
        <v>-20</v>
      </c>
      <c r="AD122" s="477">
        <f>+AD17</f>
        <v>-20</v>
      </c>
      <c r="AE122" s="419"/>
      <c r="AF122" s="404"/>
      <c r="AG122" s="404"/>
      <c r="AH122" s="425"/>
      <c r="AI122" s="418"/>
    </row>
    <row r="123" spans="1:35" ht="12.75" hidden="1" outlineLevel="1">
      <c r="A123" s="435" t="s">
        <v>453</v>
      </c>
      <c r="B123" s="411"/>
      <c r="C123" s="411">
        <f t="shared" ref="C123:M123" si="80">+C77</f>
        <v>0</v>
      </c>
      <c r="D123" s="411">
        <f t="shared" si="80"/>
        <v>0</v>
      </c>
      <c r="E123" s="411">
        <f t="shared" si="80"/>
        <v>0</v>
      </c>
      <c r="F123" s="411">
        <f t="shared" si="80"/>
        <v>0</v>
      </c>
      <c r="G123" s="411">
        <f t="shared" si="80"/>
        <v>0</v>
      </c>
      <c r="H123" s="477">
        <f t="shared" si="80"/>
        <v>-6</v>
      </c>
      <c r="I123" s="411">
        <f t="shared" si="80"/>
        <v>0</v>
      </c>
      <c r="J123" s="477">
        <f t="shared" si="80"/>
        <v>-1</v>
      </c>
      <c r="K123" s="477">
        <f t="shared" si="80"/>
        <v>-1</v>
      </c>
      <c r="L123" s="477">
        <f>+L77</f>
        <v>-112</v>
      </c>
      <c r="M123" s="411">
        <f t="shared" si="80"/>
        <v>0</v>
      </c>
      <c r="N123" s="411">
        <f t="shared" ref="N123:S123" si="81">+N77</f>
        <v>0</v>
      </c>
      <c r="O123" s="411">
        <f t="shared" si="81"/>
        <v>0</v>
      </c>
      <c r="P123" s="411">
        <f t="shared" si="81"/>
        <v>0</v>
      </c>
      <c r="Q123" s="411">
        <f t="shared" si="81"/>
        <v>0</v>
      </c>
      <c r="R123" s="411">
        <f t="shared" si="81"/>
        <v>0</v>
      </c>
      <c r="S123" s="411">
        <f t="shared" si="81"/>
        <v>0</v>
      </c>
      <c r="T123" s="411">
        <f t="shared" ref="T123:Y123" si="82">+T77</f>
        <v>0</v>
      </c>
      <c r="U123" s="411">
        <f t="shared" si="82"/>
        <v>0</v>
      </c>
      <c r="V123" s="411">
        <f t="shared" si="82"/>
        <v>0</v>
      </c>
      <c r="W123" s="411">
        <f t="shared" si="82"/>
        <v>0</v>
      </c>
      <c r="X123" s="411">
        <f t="shared" si="82"/>
        <v>0</v>
      </c>
      <c r="Y123" s="411">
        <f t="shared" si="82"/>
        <v>0</v>
      </c>
      <c r="Z123" s="411">
        <f>+Z77</f>
        <v>0</v>
      </c>
      <c r="AA123" s="411">
        <f>+AA77</f>
        <v>0</v>
      </c>
      <c r="AB123" s="411">
        <f>+AB77</f>
        <v>0</v>
      </c>
      <c r="AC123" s="411">
        <f>+AC77</f>
        <v>0</v>
      </c>
      <c r="AD123" s="411">
        <f>+AD77</f>
        <v>0</v>
      </c>
      <c r="AE123" s="419"/>
      <c r="AF123" s="404"/>
      <c r="AG123" s="404"/>
      <c r="AH123" s="425"/>
      <c r="AI123" s="418"/>
    </row>
    <row r="124" spans="1:35" ht="12.75" hidden="1" outlineLevel="1">
      <c r="A124" s="424" t="s">
        <v>724</v>
      </c>
      <c r="B124" s="478">
        <f>+B19</f>
        <v>208</v>
      </c>
      <c r="C124" s="478">
        <f>+C19</f>
        <v>277</v>
      </c>
      <c r="D124" s="411">
        <f t="shared" ref="D124:W124" si="83">+D117+D118+D122+D123</f>
        <v>303</v>
      </c>
      <c r="E124" s="411">
        <f t="shared" si="83"/>
        <v>332</v>
      </c>
      <c r="F124" s="411">
        <f t="shared" si="83"/>
        <v>386</v>
      </c>
      <c r="G124" s="411">
        <f t="shared" si="83"/>
        <v>466</v>
      </c>
      <c r="H124" s="411">
        <f t="shared" si="83"/>
        <v>663</v>
      </c>
      <c r="I124" s="411">
        <f t="shared" si="83"/>
        <v>790</v>
      </c>
      <c r="J124" s="411">
        <f t="shared" si="83"/>
        <v>864</v>
      </c>
      <c r="K124" s="411">
        <f t="shared" si="83"/>
        <v>915</v>
      </c>
      <c r="L124" s="411">
        <f t="shared" si="83"/>
        <v>846</v>
      </c>
      <c r="M124" s="411">
        <f t="shared" si="83"/>
        <v>869</v>
      </c>
      <c r="N124" s="411">
        <f t="shared" si="83"/>
        <v>903</v>
      </c>
      <c r="O124" s="411">
        <f t="shared" si="83"/>
        <v>929</v>
      </c>
      <c r="P124" s="411">
        <f t="shared" si="83"/>
        <v>953</v>
      </c>
      <c r="Q124" s="411">
        <f t="shared" si="83"/>
        <v>937</v>
      </c>
      <c r="R124" s="411">
        <f t="shared" si="83"/>
        <v>900</v>
      </c>
      <c r="S124" s="411">
        <f t="shared" si="83"/>
        <v>882</v>
      </c>
      <c r="T124" s="411">
        <f t="shared" si="83"/>
        <v>864</v>
      </c>
      <c r="U124" s="411">
        <f t="shared" si="83"/>
        <v>915</v>
      </c>
      <c r="V124" s="411">
        <f t="shared" si="83"/>
        <v>926</v>
      </c>
      <c r="W124" s="411">
        <f t="shared" si="83"/>
        <v>921</v>
      </c>
      <c r="X124" s="411">
        <f t="shared" ref="X124:AC124" si="84">+X117+X118+X122+X123</f>
        <v>919</v>
      </c>
      <c r="Y124" s="411">
        <f t="shared" si="84"/>
        <v>909</v>
      </c>
      <c r="Z124" s="411">
        <f t="shared" si="84"/>
        <v>912</v>
      </c>
      <c r="AA124" s="411">
        <f t="shared" si="84"/>
        <v>907</v>
      </c>
      <c r="AB124" s="411">
        <f t="shared" si="84"/>
        <v>902</v>
      </c>
      <c r="AC124" s="411">
        <f t="shared" si="84"/>
        <v>892</v>
      </c>
      <c r="AD124" s="411">
        <f>+AD117+AD118+AD122+AD123</f>
        <v>882</v>
      </c>
      <c r="AE124" s="419"/>
      <c r="AF124" s="425">
        <f>RATE(5,,-O124,T124)*100</f>
        <v>-1.4402471683666767</v>
      </c>
      <c r="AG124" s="426" t="s">
        <v>697</v>
      </c>
      <c r="AH124" s="425">
        <f>RATE(5,,-T124,Y124)*100</f>
        <v>1.0206196608907896</v>
      </c>
      <c r="AI124" s="427" t="s">
        <v>697</v>
      </c>
    </row>
    <row r="125" spans="1:35" ht="12.75" hidden="1" outlineLevel="1">
      <c r="A125" s="424" t="s">
        <v>725</v>
      </c>
      <c r="B125" s="439"/>
      <c r="C125" s="439">
        <f t="shared" ref="C125:H125" si="85">(+C124+C117)/2</f>
        <v>242.5</v>
      </c>
      <c r="D125" s="439">
        <f t="shared" si="85"/>
        <v>290</v>
      </c>
      <c r="E125" s="439">
        <f t="shared" si="85"/>
        <v>317.5</v>
      </c>
      <c r="F125" s="439">
        <f t="shared" si="85"/>
        <v>359</v>
      </c>
      <c r="G125" s="439">
        <f t="shared" si="85"/>
        <v>426</v>
      </c>
      <c r="H125" s="439">
        <f t="shared" si="85"/>
        <v>564.5</v>
      </c>
      <c r="I125" s="439">
        <f t="shared" ref="I125:W125" si="86">(+I124+I117)/2</f>
        <v>726.5</v>
      </c>
      <c r="J125" s="439">
        <f t="shared" si="86"/>
        <v>827</v>
      </c>
      <c r="K125" s="439">
        <f t="shared" si="86"/>
        <v>889.5</v>
      </c>
      <c r="L125" s="439">
        <f t="shared" si="86"/>
        <v>880.5</v>
      </c>
      <c r="M125" s="439">
        <f t="shared" si="86"/>
        <v>857.5</v>
      </c>
      <c r="N125" s="439">
        <f t="shared" si="86"/>
        <v>886</v>
      </c>
      <c r="O125" s="439">
        <f t="shared" si="86"/>
        <v>916</v>
      </c>
      <c r="P125" s="439">
        <f t="shared" si="86"/>
        <v>941</v>
      </c>
      <c r="Q125" s="439">
        <f t="shared" si="86"/>
        <v>945</v>
      </c>
      <c r="R125" s="439">
        <f t="shared" si="86"/>
        <v>918.5</v>
      </c>
      <c r="S125" s="439">
        <f t="shared" si="86"/>
        <v>891</v>
      </c>
      <c r="T125" s="439">
        <f t="shared" si="86"/>
        <v>873</v>
      </c>
      <c r="U125" s="439">
        <f t="shared" si="86"/>
        <v>889.5</v>
      </c>
      <c r="V125" s="439">
        <f t="shared" si="86"/>
        <v>920.5</v>
      </c>
      <c r="W125" s="439">
        <f t="shared" si="86"/>
        <v>923.5</v>
      </c>
      <c r="X125" s="439">
        <f t="shared" ref="X125:AC125" si="87">(+X124+X117)/2</f>
        <v>920</v>
      </c>
      <c r="Y125" s="439">
        <f t="shared" si="87"/>
        <v>914</v>
      </c>
      <c r="Z125" s="439">
        <f t="shared" si="87"/>
        <v>910.5</v>
      </c>
      <c r="AA125" s="439">
        <f t="shared" si="87"/>
        <v>909.5</v>
      </c>
      <c r="AB125" s="439">
        <f t="shared" si="87"/>
        <v>904.5</v>
      </c>
      <c r="AC125" s="439">
        <f t="shared" si="87"/>
        <v>897</v>
      </c>
      <c r="AD125" s="439">
        <f>(+AD124+AD117)/2</f>
        <v>887</v>
      </c>
      <c r="AE125" s="440"/>
      <c r="AF125" s="441"/>
      <c r="AG125" s="441"/>
      <c r="AH125" s="441"/>
      <c r="AI125" s="442"/>
    </row>
    <row r="126" spans="1:35" ht="12.75" hidden="1" outlineLevel="1">
      <c r="A126" s="424" t="s">
        <v>726</v>
      </c>
      <c r="B126" s="428"/>
      <c r="C126" s="428"/>
      <c r="D126" s="428">
        <f t="shared" ref="D126:W126" si="88">+D125/C125-1</f>
        <v>0.19587628865979378</v>
      </c>
      <c r="E126" s="428">
        <f t="shared" si="88"/>
        <v>9.4827586206896575E-2</v>
      </c>
      <c r="F126" s="428">
        <f t="shared" si="88"/>
        <v>0.13070866141732274</v>
      </c>
      <c r="G126" s="428">
        <f t="shared" si="88"/>
        <v>0.18662952646239561</v>
      </c>
      <c r="H126" s="428">
        <f t="shared" si="88"/>
        <v>0.32511737089201875</v>
      </c>
      <c r="I126" s="428">
        <f t="shared" si="88"/>
        <v>0.28697962798937104</v>
      </c>
      <c r="J126" s="428">
        <f t="shared" si="88"/>
        <v>0.13833448038540941</v>
      </c>
      <c r="K126" s="428">
        <f t="shared" si="88"/>
        <v>7.5574365175332447E-2</v>
      </c>
      <c r="L126" s="428">
        <f t="shared" si="88"/>
        <v>-1.0118043844856706E-2</v>
      </c>
      <c r="M126" s="428">
        <f t="shared" si="88"/>
        <v>-2.6121521862578101E-2</v>
      </c>
      <c r="N126" s="428">
        <f t="shared" si="88"/>
        <v>3.3236151603498465E-2</v>
      </c>
      <c r="O126" s="428">
        <f t="shared" si="88"/>
        <v>3.3860045146726803E-2</v>
      </c>
      <c r="P126" s="428">
        <f t="shared" si="88"/>
        <v>2.729257641921401E-2</v>
      </c>
      <c r="Q126" s="428">
        <f t="shared" si="88"/>
        <v>4.2507970244420878E-3</v>
      </c>
      <c r="R126" s="428">
        <f t="shared" si="88"/>
        <v>-2.8042328042328091E-2</v>
      </c>
      <c r="S126" s="428">
        <f t="shared" si="88"/>
        <v>-2.9940119760479056E-2</v>
      </c>
      <c r="T126" s="428">
        <f t="shared" si="88"/>
        <v>-2.0202020202020221E-2</v>
      </c>
      <c r="U126" s="428">
        <f t="shared" si="88"/>
        <v>1.8900343642611617E-2</v>
      </c>
      <c r="V126" s="428">
        <f t="shared" si="88"/>
        <v>3.4851039910061887E-2</v>
      </c>
      <c r="W126" s="428">
        <f t="shared" si="88"/>
        <v>3.2590983161324694E-3</v>
      </c>
      <c r="X126" s="428">
        <f t="shared" ref="X126:AD126" si="89">+X125/W125-1</f>
        <v>-3.7899296155928797E-3</v>
      </c>
      <c r="Y126" s="428">
        <f t="shared" si="89"/>
        <v>-6.521739130434745E-3</v>
      </c>
      <c r="Z126" s="428">
        <f t="shared" si="89"/>
        <v>-3.8293216630197469E-3</v>
      </c>
      <c r="AA126" s="428">
        <f t="shared" si="89"/>
        <v>-1.0982976386600951E-3</v>
      </c>
      <c r="AB126" s="428">
        <f t="shared" si="89"/>
        <v>-5.4975261132490516E-3</v>
      </c>
      <c r="AC126" s="428">
        <f t="shared" si="89"/>
        <v>-8.2918739635157168E-3</v>
      </c>
      <c r="AD126" s="428">
        <f t="shared" si="89"/>
        <v>-1.1148272017837191E-2</v>
      </c>
      <c r="AE126" s="419"/>
      <c r="AF126" s="404"/>
      <c r="AG126" s="404"/>
      <c r="AH126" s="425"/>
      <c r="AI126" s="418"/>
    </row>
    <row r="127" spans="1:35" ht="12.75" hidden="1" outlineLevel="1">
      <c r="A127" s="400"/>
      <c r="B127" s="400"/>
      <c r="C127" s="400"/>
      <c r="D127" s="428"/>
      <c r="E127" s="428"/>
      <c r="F127" s="400"/>
      <c r="G127" s="400"/>
      <c r="H127" s="400"/>
      <c r="I127" s="400"/>
      <c r="J127" s="400"/>
      <c r="K127" s="400"/>
      <c r="L127" s="400"/>
      <c r="M127" s="400"/>
      <c r="N127" s="400"/>
      <c r="O127" s="400"/>
      <c r="P127" s="400"/>
      <c r="Q127" s="400"/>
      <c r="R127" s="400"/>
      <c r="S127" s="400"/>
      <c r="T127" s="400"/>
      <c r="U127" s="400"/>
      <c r="V127" s="400"/>
      <c r="W127" s="400"/>
      <c r="X127" s="400"/>
      <c r="Y127" s="400"/>
      <c r="Z127" s="400"/>
      <c r="AA127" s="400"/>
      <c r="AB127" s="400"/>
      <c r="AC127" s="400"/>
      <c r="AD127" s="400"/>
      <c r="AE127" s="419"/>
      <c r="AF127" s="404"/>
      <c r="AG127" s="404"/>
      <c r="AH127" s="425"/>
      <c r="AI127" s="418"/>
    </row>
    <row r="128" spans="1:35" ht="12.75" hidden="1" outlineLevel="1">
      <c r="A128" s="424" t="s">
        <v>727</v>
      </c>
      <c r="B128" s="443"/>
      <c r="C128" s="443">
        <f t="shared" ref="C128:M128" si="90">(C114-C113)/C125</f>
        <v>1.3147340206185567</v>
      </c>
      <c r="D128" s="443">
        <f t="shared" si="90"/>
        <v>1.1255310344827587</v>
      </c>
      <c r="E128" s="443">
        <f t="shared" si="90"/>
        <v>1.2778362204724409</v>
      </c>
      <c r="F128" s="443">
        <f t="shared" si="90"/>
        <v>1.6367688022284124</v>
      </c>
      <c r="G128" s="443">
        <f t="shared" si="90"/>
        <v>1.9532957746478874</v>
      </c>
      <c r="H128" s="443">
        <f t="shared" si="90"/>
        <v>1.854875110717449</v>
      </c>
      <c r="I128" s="443">
        <f t="shared" si="90"/>
        <v>1.7057109428768067</v>
      </c>
      <c r="J128" s="443">
        <f t="shared" si="90"/>
        <v>1.7137738814993952</v>
      </c>
      <c r="K128" s="443">
        <f t="shared" si="90"/>
        <v>1.6210151770657673</v>
      </c>
      <c r="L128" s="443">
        <f t="shared" si="90"/>
        <v>2.0638739352640547</v>
      </c>
      <c r="M128" s="443">
        <f t="shared" si="90"/>
        <v>2.5853784256559766</v>
      </c>
      <c r="N128" s="443">
        <f t="shared" ref="N128:S128" si="91">(N114-N113)/N125</f>
        <v>2.9785654627539504</v>
      </c>
      <c r="O128" s="443">
        <f t="shared" si="91"/>
        <v>3.0697805676855894</v>
      </c>
      <c r="P128" s="443">
        <f t="shared" si="91"/>
        <v>2.8500170031880976</v>
      </c>
      <c r="Q128" s="443">
        <f t="shared" si="91"/>
        <v>2.7579566137566132</v>
      </c>
      <c r="R128" s="443">
        <f t="shared" si="91"/>
        <v>2.8429983669025582</v>
      </c>
      <c r="S128" s="443">
        <f t="shared" si="91"/>
        <v>3.0692019001122333</v>
      </c>
      <c r="T128" s="443">
        <f t="shared" ref="T128:Y128" si="92">(T114-T113)/T125</f>
        <v>3.4346988227262316</v>
      </c>
      <c r="U128" s="443">
        <f t="shared" si="92"/>
        <v>3.1077551354073072</v>
      </c>
      <c r="V128" s="443">
        <f t="shared" si="92"/>
        <v>2.9398842308370234</v>
      </c>
      <c r="W128" s="443">
        <f t="shared" si="92"/>
        <v>3.0952304505790726</v>
      </c>
      <c r="X128" s="443">
        <f t="shared" si="92"/>
        <v>3.0528769584656263</v>
      </c>
      <c r="Y128" s="443">
        <f t="shared" si="92"/>
        <v>3.0492433621645691</v>
      </c>
      <c r="Z128" s="443">
        <f>(Z114-Z113)/Z125</f>
        <v>2.950587262165465</v>
      </c>
      <c r="AA128" s="443">
        <f>(AA114-AA113)/AA125</f>
        <v>2.9253615774610364</v>
      </c>
      <c r="AB128" s="443">
        <f>(AB114-AB113)/AB125</f>
        <v>2.9404678359131613</v>
      </c>
      <c r="AC128" s="443">
        <f>(AC114-AC113)/AC125</f>
        <v>2.89200879048341</v>
      </c>
      <c r="AD128" s="443">
        <f>(AD114-AD113)/AD125</f>
        <v>2.8462362251802271</v>
      </c>
      <c r="AE128" s="419"/>
      <c r="AF128" s="404"/>
      <c r="AG128" s="404"/>
      <c r="AH128" s="425"/>
      <c r="AI128" s="418"/>
    </row>
    <row r="129" spans="1:35" ht="12.75" hidden="1" outlineLevel="1">
      <c r="A129" s="424" t="s">
        <v>721</v>
      </c>
      <c r="B129" s="444"/>
      <c r="C129" s="444"/>
      <c r="D129" s="479" t="str">
        <f>+D29</f>
        <v>NM</v>
      </c>
      <c r="E129" s="444">
        <f t="shared" ref="E129:W129" si="93">E128/D128-1</f>
        <v>0.13531851306052567</v>
      </c>
      <c r="F129" s="444">
        <f t="shared" si="93"/>
        <v>0.28089091231368224</v>
      </c>
      <c r="G129" s="444">
        <f t="shared" si="93"/>
        <v>0.19338526735635053</v>
      </c>
      <c r="H129" s="444">
        <f t="shared" si="93"/>
        <v>-5.0386974265676843E-2</v>
      </c>
      <c r="I129" s="444">
        <f t="shared" si="93"/>
        <v>-8.0417364478488795E-2</v>
      </c>
      <c r="J129" s="444">
        <f t="shared" si="93"/>
        <v>4.7270252068558616E-3</v>
      </c>
      <c r="K129" s="444">
        <f t="shared" si="93"/>
        <v>-5.4125404427608936E-2</v>
      </c>
      <c r="L129" s="444">
        <f t="shared" si="93"/>
        <v>0.27319840336098222</v>
      </c>
      <c r="M129" s="444">
        <f t="shared" si="93"/>
        <v>0.25268233756011838</v>
      </c>
      <c r="N129" s="444">
        <f t="shared" si="93"/>
        <v>0.15208103896752068</v>
      </c>
      <c r="O129" s="444">
        <f t="shared" si="93"/>
        <v>3.0623837572904211E-2</v>
      </c>
      <c r="P129" s="444">
        <f t="shared" si="93"/>
        <v>-7.15893399062002E-2</v>
      </c>
      <c r="Q129" s="444">
        <f t="shared" si="93"/>
        <v>-3.2301698315660432E-2</v>
      </c>
      <c r="R129" s="444">
        <f t="shared" si="93"/>
        <v>3.0835058362324919E-2</v>
      </c>
      <c r="S129" s="444">
        <f t="shared" si="93"/>
        <v>7.956512949253769E-2</v>
      </c>
      <c r="T129" s="444">
        <f t="shared" si="93"/>
        <v>0.11908533048954295</v>
      </c>
      <c r="U129" s="444">
        <f t="shared" si="93"/>
        <v>-9.5188458782950458E-2</v>
      </c>
      <c r="V129" s="444">
        <f t="shared" si="93"/>
        <v>-5.4016773283613984E-2</v>
      </c>
      <c r="W129" s="444">
        <f t="shared" si="93"/>
        <v>5.2840930983809598E-2</v>
      </c>
      <c r="X129" s="444">
        <f t="shared" ref="X129:AD129" si="94">X128/W128-1</f>
        <v>-1.3683469709185214E-2</v>
      </c>
      <c r="Y129" s="444">
        <f t="shared" si="94"/>
        <v>-1.1902203562385028E-3</v>
      </c>
      <c r="Z129" s="444">
        <f t="shared" si="94"/>
        <v>-3.2354288681330834E-2</v>
      </c>
      <c r="AA129" s="444">
        <f t="shared" si="94"/>
        <v>-8.5493776198014571E-3</v>
      </c>
      <c r="AB129" s="444">
        <f t="shared" si="94"/>
        <v>5.1638944630003625E-3</v>
      </c>
      <c r="AC129" s="444">
        <f t="shared" si="94"/>
        <v>-1.6480046079028865E-2</v>
      </c>
      <c r="AD129" s="444">
        <f t="shared" si="94"/>
        <v>-1.5827256629995179E-2</v>
      </c>
      <c r="AE129" s="419"/>
      <c r="AF129" s="404"/>
      <c r="AG129" s="404"/>
      <c r="AH129" s="425"/>
      <c r="AI129" s="418"/>
    </row>
    <row r="130" spans="1:35" ht="12.75" hidden="1" outlineLevel="1">
      <c r="A130" s="400"/>
      <c r="B130" s="400"/>
      <c r="C130" s="400"/>
      <c r="D130" s="400"/>
      <c r="E130" s="400"/>
      <c r="F130" s="400"/>
      <c r="G130" s="400"/>
      <c r="H130" s="400"/>
      <c r="I130" s="400"/>
      <c r="J130" s="400"/>
      <c r="K130" s="400"/>
      <c r="L130" s="400"/>
      <c r="M130" s="400"/>
      <c r="N130" s="400"/>
      <c r="O130" s="400"/>
      <c r="P130" s="400"/>
      <c r="Q130" s="400"/>
      <c r="R130" s="400"/>
      <c r="S130" s="400"/>
      <c r="T130" s="400"/>
      <c r="U130" s="400"/>
      <c r="V130" s="400"/>
      <c r="W130" s="400"/>
      <c r="X130" s="400"/>
      <c r="Y130" s="400"/>
      <c r="Z130" s="400"/>
      <c r="AA130" s="400"/>
      <c r="AB130" s="400"/>
      <c r="AC130" s="400"/>
      <c r="AD130" s="400"/>
      <c r="AE130" s="419"/>
      <c r="AF130" s="404"/>
      <c r="AG130" s="404"/>
      <c r="AH130" s="425"/>
      <c r="AI130" s="418"/>
    </row>
    <row r="131" spans="1:35" ht="12.75" hidden="1" outlineLevel="1">
      <c r="A131" s="424" t="s">
        <v>454</v>
      </c>
      <c r="B131" s="446"/>
      <c r="C131" s="447">
        <f>+C31</f>
        <v>1.1070243055555555</v>
      </c>
      <c r="D131" s="447">
        <f>+D31</f>
        <v>1.2505900383141761</v>
      </c>
      <c r="E131" s="447">
        <f>+E31</f>
        <v>1.3394794999999999</v>
      </c>
      <c r="F131" s="447">
        <f>+F31</f>
        <v>1.509147</v>
      </c>
      <c r="G131" s="447">
        <f>+G31</f>
        <v>1.8321565</v>
      </c>
      <c r="H131" s="447">
        <f t="shared" ref="H131:W131" si="95">+(G134+H134)/2</f>
        <v>2.4794679999999998</v>
      </c>
      <c r="I131" s="447">
        <f t="shared" si="95"/>
        <v>3.3038594999999997</v>
      </c>
      <c r="J131" s="447">
        <f t="shared" si="95"/>
        <v>3.9294374999999997</v>
      </c>
      <c r="K131" s="447">
        <f t="shared" si="95"/>
        <v>4.3822074999999998</v>
      </c>
      <c r="L131" s="447">
        <f t="shared" si="95"/>
        <v>4.7408989999999998</v>
      </c>
      <c r="M131" s="447">
        <f t="shared" si="95"/>
        <v>4.8302909999999999</v>
      </c>
      <c r="N131" s="447">
        <f t="shared" si="95"/>
        <v>4.9727759999999996</v>
      </c>
      <c r="O131" s="447">
        <f t="shared" si="95"/>
        <v>5.4414984999999998</v>
      </c>
      <c r="P131" s="447">
        <f t="shared" si="95"/>
        <v>6.0190494999999995</v>
      </c>
      <c r="Q131" s="447">
        <f t="shared" si="95"/>
        <v>6.2717609999999997</v>
      </c>
      <c r="R131" s="447">
        <f>+(Q134+R134)/2</f>
        <v>6.2518899999999995</v>
      </c>
      <c r="S131" s="447">
        <f t="shared" si="95"/>
        <v>6.2893545</v>
      </c>
      <c r="T131" s="447">
        <f t="shared" si="95"/>
        <v>6.2467810000000004</v>
      </c>
      <c r="U131" s="447">
        <f t="shared" si="95"/>
        <v>6.3533819999999999</v>
      </c>
      <c r="V131" s="447">
        <f t="shared" si="95"/>
        <v>6.5582979999999997</v>
      </c>
      <c r="W131" s="447">
        <f t="shared" si="95"/>
        <v>6.6071109999999997</v>
      </c>
      <c r="X131" s="447">
        <f t="shared" ref="X131:AD131" si="96">+(W134+X134)/2</f>
        <v>6.6101894999999997</v>
      </c>
      <c r="Y131" s="447">
        <f t="shared" si="96"/>
        <v>6.6000394999999994</v>
      </c>
      <c r="Z131" s="447">
        <f t="shared" si="96"/>
        <v>6.6212619999999998</v>
      </c>
      <c r="AA131" s="447">
        <f t="shared" si="96"/>
        <v>6.6614620000000002</v>
      </c>
      <c r="AB131" s="447">
        <f t="shared" si="96"/>
        <v>6.6609619999999996</v>
      </c>
      <c r="AC131" s="447">
        <f t="shared" si="96"/>
        <v>6.6472119999999997</v>
      </c>
      <c r="AD131" s="447">
        <f t="shared" si="96"/>
        <v>6.6202120000000004</v>
      </c>
      <c r="AE131" s="419"/>
      <c r="AF131" s="425">
        <f>RATE(5,,-O131,T131)*100</f>
        <v>2.7986836219225637</v>
      </c>
      <c r="AG131" s="426" t="s">
        <v>697</v>
      </c>
      <c r="AH131" s="425">
        <f>RATE(5,,-T131,Y131)*100</f>
        <v>1.1062611672754403</v>
      </c>
      <c r="AI131" s="427" t="s">
        <v>697</v>
      </c>
    </row>
    <row r="132" spans="1:35" ht="12.75" hidden="1" outlineLevel="1">
      <c r="A132" s="648" t="s">
        <v>633</v>
      </c>
      <c r="B132" s="428"/>
      <c r="C132" s="428"/>
      <c r="D132" s="480">
        <f t="shared" ref="D132:W132" si="97">D131/C131-1</f>
        <v>0.12968616139514011</v>
      </c>
      <c r="E132" s="428">
        <f t="shared" si="97"/>
        <v>7.1078018345363425E-2</v>
      </c>
      <c r="F132" s="428">
        <f t="shared" si="97"/>
        <v>0.12666673883400237</v>
      </c>
      <c r="G132" s="428">
        <f t="shared" si="97"/>
        <v>0.21403448438091188</v>
      </c>
      <c r="H132" s="428">
        <f t="shared" si="97"/>
        <v>0.3533057901985992</v>
      </c>
      <c r="I132" s="428">
        <f t="shared" si="97"/>
        <v>0.33248725129745571</v>
      </c>
      <c r="J132" s="428">
        <f t="shared" si="97"/>
        <v>0.18934764023712258</v>
      </c>
      <c r="K132" s="428">
        <f t="shared" si="97"/>
        <v>0.1152251435478997</v>
      </c>
      <c r="L132" s="428">
        <f t="shared" si="97"/>
        <v>8.1851783604496076E-2</v>
      </c>
      <c r="M132" s="428">
        <f t="shared" si="97"/>
        <v>1.8855495550527568E-2</v>
      </c>
      <c r="N132" s="428">
        <f t="shared" si="97"/>
        <v>2.9498222777882166E-2</v>
      </c>
      <c r="O132" s="428">
        <f t="shared" si="97"/>
        <v>9.4257714403383597E-2</v>
      </c>
      <c r="P132" s="428">
        <f t="shared" si="97"/>
        <v>0.10613822644626292</v>
      </c>
      <c r="Q132" s="428">
        <f t="shared" si="97"/>
        <v>4.198528355681419E-2</v>
      </c>
      <c r="R132" s="428">
        <f t="shared" si="97"/>
        <v>-3.1683286400742139E-3</v>
      </c>
      <c r="S132" s="428">
        <f t="shared" si="97"/>
        <v>5.9925078656215547E-3</v>
      </c>
      <c r="T132" s="428">
        <f t="shared" si="97"/>
        <v>-6.7691366419240229E-3</v>
      </c>
      <c r="U132" s="428">
        <f t="shared" si="97"/>
        <v>1.7064949131400553E-2</v>
      </c>
      <c r="V132" s="428">
        <f t="shared" si="97"/>
        <v>3.2253058292418091E-2</v>
      </c>
      <c r="W132" s="428">
        <f t="shared" si="97"/>
        <v>7.4429371766882024E-3</v>
      </c>
      <c r="X132" s="428">
        <f t="shared" ref="X132:AD132" si="98">X131/W131-1</f>
        <v>4.6593738170885857E-4</v>
      </c>
      <c r="Y132" s="428">
        <f t="shared" si="98"/>
        <v>-1.5355081726476927E-3</v>
      </c>
      <c r="Z132" s="428">
        <f t="shared" si="98"/>
        <v>3.2155110586837843E-3</v>
      </c>
      <c r="AA132" s="428">
        <f t="shared" si="98"/>
        <v>6.0713501444287221E-3</v>
      </c>
      <c r="AB132" s="428">
        <f t="shared" si="98"/>
        <v>-7.5058598247745856E-5</v>
      </c>
      <c r="AC132" s="428">
        <f t="shared" si="98"/>
        <v>-2.0642663927522564E-3</v>
      </c>
      <c r="AD132" s="428">
        <f t="shared" si="98"/>
        <v>-4.0618533003008439E-3</v>
      </c>
      <c r="AE132" s="419"/>
      <c r="AF132" s="404"/>
      <c r="AG132" s="404"/>
      <c r="AH132" s="425"/>
      <c r="AI132" s="418"/>
    </row>
    <row r="133" spans="1:35" ht="12.75" hidden="1" outlineLevel="1">
      <c r="A133" s="400"/>
      <c r="B133" s="400"/>
      <c r="C133" s="400"/>
      <c r="D133" s="400"/>
      <c r="E133" s="400"/>
      <c r="F133" s="400"/>
      <c r="G133" s="400"/>
      <c r="H133" s="400"/>
      <c r="I133" s="400"/>
      <c r="J133" s="400"/>
      <c r="K133" s="400"/>
      <c r="L133" s="400"/>
      <c r="M133" s="400"/>
      <c r="N133" s="400"/>
      <c r="O133" s="400"/>
      <c r="P133" s="400"/>
      <c r="Q133" s="400"/>
      <c r="R133" s="400"/>
      <c r="S133" s="400"/>
      <c r="T133" s="400"/>
      <c r="U133" s="400"/>
      <c r="V133" s="400"/>
      <c r="W133" s="400"/>
      <c r="X133" s="400"/>
      <c r="Y133" s="400"/>
      <c r="Z133" s="400"/>
      <c r="AA133" s="400"/>
      <c r="AB133" s="400"/>
      <c r="AC133" s="400"/>
      <c r="AD133" s="400"/>
      <c r="AE133" s="419"/>
      <c r="AF133" s="404"/>
      <c r="AG133" s="404"/>
      <c r="AH133" s="425"/>
      <c r="AI133" s="418"/>
    </row>
    <row r="134" spans="1:35" ht="12.75" hidden="1" outlineLevel="1">
      <c r="A134" s="424" t="s">
        <v>177</v>
      </c>
      <c r="B134" s="447">
        <f t="shared" ref="B134:M134" si="99">+B34+B88</f>
        <v>0.84340000000000004</v>
      </c>
      <c r="C134" s="447">
        <f t="shared" si="99"/>
        <v>1.2008160000000001</v>
      </c>
      <c r="D134" s="447">
        <f t="shared" si="99"/>
        <v>1.285598</v>
      </c>
      <c r="E134" s="447">
        <f t="shared" si="99"/>
        <v>1.3933610000000001</v>
      </c>
      <c r="F134" s="447">
        <f t="shared" si="99"/>
        <v>1.624933</v>
      </c>
      <c r="G134" s="447">
        <f t="shared" si="99"/>
        <v>2.03938</v>
      </c>
      <c r="H134" s="447">
        <f t="shared" si="99"/>
        <v>2.919556</v>
      </c>
      <c r="I134" s="447">
        <f t="shared" si="99"/>
        <v>3.6881629999999999</v>
      </c>
      <c r="J134" s="447">
        <f t="shared" si="99"/>
        <v>4.170712</v>
      </c>
      <c r="K134" s="447">
        <f t="shared" si="99"/>
        <v>4.5937029999999996</v>
      </c>
      <c r="L134" s="447">
        <f t="shared" si="99"/>
        <v>4.8880949999999999</v>
      </c>
      <c r="M134" s="447">
        <f t="shared" si="99"/>
        <v>4.7724869999999999</v>
      </c>
      <c r="N134" s="447">
        <f t="shared" ref="N134:S134" si="100">+N34+N88</f>
        <v>5.1730650000000002</v>
      </c>
      <c r="O134" s="447">
        <f t="shared" si="100"/>
        <v>5.7099320000000002</v>
      </c>
      <c r="P134" s="447">
        <f t="shared" si="100"/>
        <v>6.3281669999999997</v>
      </c>
      <c r="Q134" s="447">
        <f t="shared" si="100"/>
        <v>6.2153549999999997</v>
      </c>
      <c r="R134" s="447">
        <f t="shared" si="100"/>
        <v>6.2884250000000002</v>
      </c>
      <c r="S134" s="447">
        <f t="shared" si="100"/>
        <v>6.2902839999999998</v>
      </c>
      <c r="T134" s="447">
        <f t="shared" ref="T134:Y134" si="101">+T34+T88</f>
        <v>6.2032780000000001</v>
      </c>
      <c r="U134" s="447">
        <f t="shared" si="101"/>
        <v>6.5034859999999997</v>
      </c>
      <c r="V134" s="447">
        <f t="shared" si="101"/>
        <v>6.6131099999999998</v>
      </c>
      <c r="W134" s="447">
        <f t="shared" si="101"/>
        <v>6.6011119999999996</v>
      </c>
      <c r="X134" s="447">
        <f t="shared" si="101"/>
        <v>6.6192669999999998</v>
      </c>
      <c r="Y134" s="447">
        <f t="shared" si="101"/>
        <v>6.5808119999999999</v>
      </c>
      <c r="Z134" s="447">
        <f>+Z34+Z88</f>
        <v>6.6617119999999996</v>
      </c>
      <c r="AA134" s="447">
        <f>+AA34+AA88</f>
        <v>6.6612119999999999</v>
      </c>
      <c r="AB134" s="447">
        <f>+AB34+AB88</f>
        <v>6.6607120000000002</v>
      </c>
      <c r="AC134" s="447">
        <f>+AC34+AC88</f>
        <v>6.6337120000000001</v>
      </c>
      <c r="AD134" s="447">
        <f>+AD34+AD88</f>
        <v>6.6067119999999999</v>
      </c>
      <c r="AE134" s="419"/>
      <c r="AF134" s="425">
        <f>RATE(5,,-O134,T134)*100</f>
        <v>1.6712262665601447</v>
      </c>
      <c r="AG134" s="426" t="s">
        <v>697</v>
      </c>
      <c r="AH134" s="425">
        <f>RATE(5,,-T134,Y134)*100</f>
        <v>1.1886141355405462</v>
      </c>
      <c r="AI134" s="427" t="s">
        <v>697</v>
      </c>
    </row>
    <row r="135" spans="1:35" ht="12.75" hidden="1" outlineLevel="1">
      <c r="A135" s="424" t="s">
        <v>721</v>
      </c>
      <c r="B135" s="428"/>
      <c r="C135" s="428"/>
      <c r="D135" s="428">
        <f t="shared" ref="D135:W135" si="102">D134/C134-1</f>
        <v>7.0603656180463936E-2</v>
      </c>
      <c r="E135" s="428">
        <f t="shared" si="102"/>
        <v>8.3823248013764839E-2</v>
      </c>
      <c r="F135" s="428">
        <f t="shared" si="102"/>
        <v>0.16619669992198705</v>
      </c>
      <c r="G135" s="428">
        <f t="shared" si="102"/>
        <v>0.255054823798889</v>
      </c>
      <c r="H135" s="428">
        <f t="shared" si="102"/>
        <v>0.43158999303709966</v>
      </c>
      <c r="I135" s="428">
        <f t="shared" si="102"/>
        <v>0.2632616055318</v>
      </c>
      <c r="J135" s="428">
        <f t="shared" si="102"/>
        <v>0.13083722167377099</v>
      </c>
      <c r="K135" s="428">
        <f t="shared" si="102"/>
        <v>0.10141937395821143</v>
      </c>
      <c r="L135" s="428">
        <f t="shared" si="102"/>
        <v>6.4085989015833178E-2</v>
      </c>
      <c r="M135" s="428">
        <f t="shared" si="102"/>
        <v>-2.3650931497853467E-2</v>
      </c>
      <c r="N135" s="428">
        <f t="shared" si="102"/>
        <v>8.3934854091797462E-2</v>
      </c>
      <c r="O135" s="428">
        <f t="shared" si="102"/>
        <v>0.10378122061099182</v>
      </c>
      <c r="P135" s="428">
        <f t="shared" si="102"/>
        <v>0.10827361867006458</v>
      </c>
      <c r="Q135" s="428">
        <f t="shared" si="102"/>
        <v>-1.7826963163266707E-2</v>
      </c>
      <c r="R135" s="428">
        <f t="shared" si="102"/>
        <v>1.1756367898535292E-2</v>
      </c>
      <c r="S135" s="428">
        <f t="shared" si="102"/>
        <v>2.9562251279124929E-4</v>
      </c>
      <c r="T135" s="428">
        <f t="shared" si="102"/>
        <v>-1.3831807912011551E-2</v>
      </c>
      <c r="U135" s="428">
        <f t="shared" si="102"/>
        <v>4.8395058225667142E-2</v>
      </c>
      <c r="V135" s="428">
        <f t="shared" si="102"/>
        <v>1.6856190664514381E-2</v>
      </c>
      <c r="W135" s="428">
        <f t="shared" si="102"/>
        <v>-1.8142749780361012E-3</v>
      </c>
      <c r="X135" s="428">
        <f t="shared" ref="X135:AD135" si="103">X134/W134-1</f>
        <v>2.7502941928572167E-3</v>
      </c>
      <c r="Y135" s="428">
        <f t="shared" si="103"/>
        <v>-5.8095556501951418E-3</v>
      </c>
      <c r="Z135" s="428">
        <f t="shared" si="103"/>
        <v>1.2293315779268621E-2</v>
      </c>
      <c r="AA135" s="428">
        <f t="shared" si="103"/>
        <v>-7.5055781456723203E-5</v>
      </c>
      <c r="AB135" s="428">
        <f t="shared" si="103"/>
        <v>-7.5061415249932928E-5</v>
      </c>
      <c r="AC135" s="428">
        <f t="shared" si="103"/>
        <v>-4.0536206940039454E-3</v>
      </c>
      <c r="AD135" s="428">
        <f t="shared" si="103"/>
        <v>-4.0701194142886976E-3</v>
      </c>
      <c r="AE135" s="419"/>
      <c r="AF135" s="404"/>
      <c r="AG135" s="404"/>
      <c r="AH135" s="425"/>
      <c r="AI135" s="418"/>
    </row>
    <row r="136" spans="1:35" ht="12.75" hidden="1" outlineLevel="1">
      <c r="A136" s="400"/>
      <c r="B136" s="400"/>
      <c r="C136" s="400"/>
      <c r="D136" s="400"/>
      <c r="E136" s="400"/>
      <c r="F136" s="400"/>
      <c r="G136" s="400"/>
      <c r="H136" s="400"/>
      <c r="I136" s="400"/>
      <c r="J136" s="400"/>
      <c r="K136" s="400"/>
      <c r="L136" s="400"/>
      <c r="M136" s="400"/>
      <c r="N136" s="400"/>
      <c r="O136" s="400"/>
      <c r="P136" s="400"/>
      <c r="Q136" s="400"/>
      <c r="R136" s="400"/>
      <c r="S136" s="400"/>
      <c r="T136" s="400"/>
      <c r="U136" s="400"/>
      <c r="V136" s="400"/>
      <c r="W136" s="400"/>
      <c r="X136" s="400"/>
      <c r="Y136" s="400"/>
      <c r="Z136" s="400"/>
      <c r="AA136" s="400"/>
      <c r="AB136" s="400"/>
      <c r="AC136" s="400"/>
      <c r="AD136" s="400"/>
      <c r="AE136" s="419"/>
      <c r="AF136" s="404"/>
      <c r="AG136" s="404"/>
      <c r="AH136" s="425"/>
      <c r="AI136" s="418"/>
    </row>
    <row r="137" spans="1:35" ht="12.75" hidden="1" outlineLevel="1">
      <c r="A137" s="424" t="s">
        <v>120</v>
      </c>
      <c r="B137" s="439"/>
      <c r="C137" s="439"/>
      <c r="D137" s="439"/>
      <c r="E137" s="439">
        <f>E134*1000000/E124</f>
        <v>4196.8704819277109</v>
      </c>
      <c r="F137" s="439">
        <f>F134*1000000/F124</f>
        <v>4209.6709844559582</v>
      </c>
      <c r="G137" s="439">
        <f t="shared" ref="G137:R137" si="104">G134*1000000/G124</f>
        <v>4376.3519313304723</v>
      </c>
      <c r="H137" s="439">
        <f t="shared" si="104"/>
        <v>4403.5535444947209</v>
      </c>
      <c r="I137" s="439">
        <f t="shared" si="104"/>
        <v>4668.560759493671</v>
      </c>
      <c r="J137" s="439">
        <f t="shared" si="104"/>
        <v>4827.2129629629626</v>
      </c>
      <c r="K137" s="439">
        <f t="shared" si="104"/>
        <v>5020.4404371584696</v>
      </c>
      <c r="L137" s="439">
        <f t="shared" si="104"/>
        <v>5777.8900709219861</v>
      </c>
      <c r="M137" s="439">
        <f t="shared" si="104"/>
        <v>5491.9298043728422</v>
      </c>
      <c r="N137" s="439">
        <f t="shared" si="104"/>
        <v>5728.7541528239199</v>
      </c>
      <c r="O137" s="439">
        <f t="shared" si="104"/>
        <v>6146.3207750269103</v>
      </c>
      <c r="P137" s="439">
        <f t="shared" si="104"/>
        <v>6640.2591815320038</v>
      </c>
      <c r="Q137" s="439">
        <f t="shared" si="104"/>
        <v>6633.2497331910354</v>
      </c>
      <c r="R137" s="439">
        <f t="shared" si="104"/>
        <v>6987.1388888888887</v>
      </c>
      <c r="S137" s="439">
        <f t="shared" ref="S137:Y137" si="105">S134*1000000/S124</f>
        <v>7131.8412698412694</v>
      </c>
      <c r="T137" s="439">
        <f t="shared" si="105"/>
        <v>7179.7199074074078</v>
      </c>
      <c r="U137" s="439">
        <f t="shared" si="105"/>
        <v>7107.6349726775952</v>
      </c>
      <c r="V137" s="439">
        <f t="shared" si="105"/>
        <v>7141.5874730021596</v>
      </c>
      <c r="W137" s="439">
        <f t="shared" si="105"/>
        <v>7167.331161780673</v>
      </c>
      <c r="X137" s="439">
        <f t="shared" si="105"/>
        <v>7202.6844396082697</v>
      </c>
      <c r="Y137" s="439">
        <f t="shared" si="105"/>
        <v>7239.6171617161717</v>
      </c>
      <c r="Z137" s="439">
        <f>Z134*1000000/Z124</f>
        <v>7304.5087719298244</v>
      </c>
      <c r="AA137" s="439">
        <f>AA134*1000000/AA124</f>
        <v>7344.2249173098126</v>
      </c>
      <c r="AB137" s="439">
        <f>AB134*1000000/AB124</f>
        <v>7384.3813747228378</v>
      </c>
      <c r="AC137" s="439">
        <f>AC134*1000000/AC124</f>
        <v>7436.8968609865469</v>
      </c>
      <c r="AD137" s="439">
        <f>AD134*1000000/AD124</f>
        <v>7490.6031746031749</v>
      </c>
      <c r="AE137" s="440"/>
      <c r="AF137" s="441"/>
      <c r="AG137" s="441"/>
      <c r="AH137" s="425"/>
      <c r="AI137" s="442"/>
    </row>
    <row r="138" spans="1:35" ht="12.75" hidden="1" outlineLevel="1">
      <c r="A138" s="424" t="s">
        <v>721</v>
      </c>
      <c r="B138" s="444"/>
      <c r="C138" s="444"/>
      <c r="D138" s="444" t="e">
        <f t="shared" ref="D138:W138" si="106">D137/C137-1</f>
        <v>#DIV/0!</v>
      </c>
      <c r="E138" s="444" t="e">
        <f t="shared" si="106"/>
        <v>#DIV/0!</v>
      </c>
      <c r="F138" s="444">
        <f t="shared" si="106"/>
        <v>3.050011331864555E-3</v>
      </c>
      <c r="G138" s="444">
        <f t="shared" si="106"/>
        <v>3.9594768211097087E-2</v>
      </c>
      <c r="H138" s="444">
        <f t="shared" si="106"/>
        <v>6.2155908827878914E-3</v>
      </c>
      <c r="I138" s="444">
        <f t="shared" si="106"/>
        <v>6.0180309452637193E-2</v>
      </c>
      <c r="J138" s="444">
        <f t="shared" si="106"/>
        <v>3.3983107780415356E-2</v>
      </c>
      <c r="K138" s="444">
        <f t="shared" si="106"/>
        <v>4.0028785901524255E-2</v>
      </c>
      <c r="L138" s="444">
        <f t="shared" si="106"/>
        <v>0.15087314414833042</v>
      </c>
      <c r="M138" s="444">
        <f t="shared" si="106"/>
        <v>-4.9492161159015002E-2</v>
      </c>
      <c r="N138" s="444">
        <f t="shared" si="106"/>
        <v>4.3122246075051995E-2</v>
      </c>
      <c r="O138" s="444">
        <f t="shared" si="106"/>
        <v>7.2889604103041572E-2</v>
      </c>
      <c r="P138" s="444">
        <f t="shared" si="106"/>
        <v>8.0363265209328683E-2</v>
      </c>
      <c r="Q138" s="444">
        <f t="shared" si="106"/>
        <v>-1.0555986068229162E-3</v>
      </c>
      <c r="R138" s="444">
        <f t="shared" si="106"/>
        <v>5.3350796356586017E-2</v>
      </c>
      <c r="S138" s="444">
        <f t="shared" si="106"/>
        <v>2.0709818890603415E-2</v>
      </c>
      <c r="T138" s="444">
        <f t="shared" si="106"/>
        <v>6.7133627564883724E-3</v>
      </c>
      <c r="U138" s="444">
        <f t="shared" si="106"/>
        <v>-1.0040076167239009E-2</v>
      </c>
      <c r="V138" s="444">
        <f t="shared" si="106"/>
        <v>4.7769054622361917E-3</v>
      </c>
      <c r="W138" s="444">
        <f t="shared" si="106"/>
        <v>3.604757188206964E-3</v>
      </c>
      <c r="X138" s="444">
        <f t="shared" ref="X138:AD138" si="107">X137/W137-1</f>
        <v>4.9325581628090198E-3</v>
      </c>
      <c r="Y138" s="444">
        <f t="shared" si="107"/>
        <v>5.1276329565135281E-3</v>
      </c>
      <c r="Z138" s="444">
        <f t="shared" si="107"/>
        <v>8.9634035563104231E-3</v>
      </c>
      <c r="AA138" s="444">
        <f t="shared" si="107"/>
        <v>5.4372096221735333E-3</v>
      </c>
      <c r="AB138" s="444">
        <f t="shared" si="107"/>
        <v>5.4677597520711441E-3</v>
      </c>
      <c r="AC138" s="444">
        <f t="shared" si="107"/>
        <v>7.1116974596507898E-3</v>
      </c>
      <c r="AD138" s="444">
        <f t="shared" si="107"/>
        <v>7.2216025878168999E-3</v>
      </c>
      <c r="AE138" s="419"/>
      <c r="AF138" s="404"/>
      <c r="AG138" s="404"/>
      <c r="AH138" s="425"/>
      <c r="AI138" s="418"/>
    </row>
    <row r="139" spans="1:35" ht="12.75" hidden="1" outlineLevel="1">
      <c r="A139" s="400"/>
      <c r="B139" s="400"/>
      <c r="C139" s="400"/>
      <c r="D139" s="400"/>
      <c r="E139" s="400"/>
      <c r="F139" s="400"/>
      <c r="G139" s="400"/>
      <c r="H139" s="400"/>
      <c r="I139" s="400"/>
      <c r="J139" s="400"/>
      <c r="K139" s="400"/>
      <c r="L139" s="400"/>
      <c r="M139" s="400"/>
      <c r="N139" s="400"/>
      <c r="O139" s="400"/>
      <c r="P139" s="400"/>
      <c r="Q139" s="400"/>
      <c r="R139" s="400"/>
      <c r="S139" s="400"/>
      <c r="T139" s="400"/>
      <c r="U139" s="400"/>
      <c r="V139" s="400"/>
      <c r="W139" s="400"/>
      <c r="X139" s="400"/>
      <c r="Y139" s="400"/>
      <c r="Z139" s="400"/>
      <c r="AA139" s="400"/>
      <c r="AB139" s="400"/>
      <c r="AC139" s="400"/>
      <c r="AD139" s="400"/>
      <c r="AE139" s="419"/>
      <c r="AF139" s="404"/>
      <c r="AG139" s="404"/>
      <c r="AH139" s="425"/>
      <c r="AI139" s="418"/>
    </row>
    <row r="140" spans="1:35" ht="12.75" hidden="1" outlineLevel="1">
      <c r="A140" s="424" t="s">
        <v>179</v>
      </c>
      <c r="B140" s="421"/>
      <c r="C140" s="421">
        <f>+C112/C131</f>
        <v>288</v>
      </c>
      <c r="D140" s="421">
        <f>+D112/D131</f>
        <v>261</v>
      </c>
      <c r="E140" s="421">
        <f t="shared" ref="E140:O140" si="108">+E114/E131</f>
        <v>302.88854737978443</v>
      </c>
      <c r="F140" s="421">
        <f t="shared" si="108"/>
        <v>389.35902201707324</v>
      </c>
      <c r="G140" s="421">
        <f t="shared" si="108"/>
        <v>454.16644265923793</v>
      </c>
      <c r="H140" s="421">
        <f t="shared" si="108"/>
        <v>426.53383709731287</v>
      </c>
      <c r="I140" s="421">
        <f t="shared" si="108"/>
        <v>384.76182174211709</v>
      </c>
      <c r="J140" s="421">
        <f t="shared" si="108"/>
        <v>372.35380382052136</v>
      </c>
      <c r="K140" s="421">
        <f t="shared" si="108"/>
        <v>340.76273202489847</v>
      </c>
      <c r="L140" s="421">
        <f t="shared" si="108"/>
        <v>396.81102676939543</v>
      </c>
      <c r="M140" s="421">
        <f t="shared" si="108"/>
        <v>480.70851217866584</v>
      </c>
      <c r="N140" s="421">
        <f t="shared" si="108"/>
        <v>561.94145885517469</v>
      </c>
      <c r="O140" s="421">
        <f t="shared" si="108"/>
        <v>561.50323297893033</v>
      </c>
      <c r="P140" s="421">
        <f>+P114/P131</f>
        <v>496.56777203776113</v>
      </c>
      <c r="Q140" s="421">
        <f t="shared" ref="Q140:Z140" si="109">+Q114/Q131</f>
        <v>468.81075347099477</v>
      </c>
      <c r="R140" s="421">
        <f>+R114/R131</f>
        <v>471.1045779756202</v>
      </c>
      <c r="S140" s="421">
        <f t="shared" si="109"/>
        <v>496.08668107355049</v>
      </c>
      <c r="T140" s="421">
        <f t="shared" si="109"/>
        <v>556.41489592799871</v>
      </c>
      <c r="U140" s="421">
        <f>+U114/U131</f>
        <v>520.32161768330627</v>
      </c>
      <c r="V140" s="421">
        <f t="shared" si="109"/>
        <v>500.56691537956959</v>
      </c>
      <c r="W140" s="421">
        <f>+W114/W131</f>
        <v>533.03902416653818</v>
      </c>
      <c r="X140" s="421">
        <f t="shared" si="109"/>
        <v>546.10612903003766</v>
      </c>
      <c r="Y140" s="421">
        <f t="shared" si="109"/>
        <v>575.07974005307096</v>
      </c>
      <c r="Z140" s="421">
        <f t="shared" si="109"/>
        <v>580.90608017481816</v>
      </c>
      <c r="AA140" s="421">
        <f>+AA114/AA131</f>
        <v>587.44217694132897</v>
      </c>
      <c r="AB140" s="421">
        <f>+AB114/AB131</f>
        <v>596.74427072007586</v>
      </c>
      <c r="AC140" s="421">
        <f>+AC114/AC131</f>
        <v>598.01485587255775</v>
      </c>
      <c r="AD140" s="421">
        <f>+AD114/AD131</f>
        <v>600.38276037974526</v>
      </c>
      <c r="AE140" s="419"/>
      <c r="AF140" s="425">
        <f>RATE(5,,-O140,T140)*100</f>
        <v>-0.18190036535109191</v>
      </c>
      <c r="AG140" s="426" t="s">
        <v>697</v>
      </c>
      <c r="AH140" s="425">
        <f>RATE(5,,-T140,Y140)*100</f>
        <v>0.66207162559868515</v>
      </c>
      <c r="AI140" s="427" t="s">
        <v>697</v>
      </c>
    </row>
    <row r="141" spans="1:35" ht="12.75" hidden="1" outlineLevel="1">
      <c r="A141" s="424" t="s">
        <v>721</v>
      </c>
      <c r="B141" s="444"/>
      <c r="C141" s="444"/>
      <c r="D141" s="444">
        <f t="shared" ref="D141:W141" si="110">D140/C140-1</f>
        <v>-9.375E-2</v>
      </c>
      <c r="E141" s="444">
        <f t="shared" si="110"/>
        <v>0.16049251869649206</v>
      </c>
      <c r="F141" s="444">
        <f t="shared" si="110"/>
        <v>0.2854861148938248</v>
      </c>
      <c r="G141" s="444">
        <f t="shared" si="110"/>
        <v>0.1664464336961553</v>
      </c>
      <c r="H141" s="444">
        <f t="shared" si="110"/>
        <v>-6.0842464273957564E-2</v>
      </c>
      <c r="I141" s="444">
        <f t="shared" si="110"/>
        <v>-9.7933649624298291E-2</v>
      </c>
      <c r="J141" s="444">
        <f t="shared" si="110"/>
        <v>-3.2248568388139276E-2</v>
      </c>
      <c r="K141" s="444">
        <f t="shared" si="110"/>
        <v>-8.484154444370906E-2</v>
      </c>
      <c r="L141" s="444">
        <f t="shared" si="110"/>
        <v>0.16447894525156492</v>
      </c>
      <c r="M141" s="444">
        <f t="shared" si="110"/>
        <v>0.21142931962429312</v>
      </c>
      <c r="N141" s="444">
        <f t="shared" si="110"/>
        <v>0.16898587110168917</v>
      </c>
      <c r="O141" s="444">
        <f t="shared" si="110"/>
        <v>-7.798425785083829E-4</v>
      </c>
      <c r="P141" s="444">
        <f t="shared" si="110"/>
        <v>-0.11564574721443466</v>
      </c>
      <c r="Q141" s="444">
        <f t="shared" si="110"/>
        <v>-5.5897744738568345E-2</v>
      </c>
      <c r="R141" s="444">
        <f t="shared" si="110"/>
        <v>4.8928581258904646E-3</v>
      </c>
      <c r="S141" s="444">
        <f t="shared" si="110"/>
        <v>5.3028784405536156E-2</v>
      </c>
      <c r="T141" s="444">
        <f t="shared" si="110"/>
        <v>0.1216082131531846</v>
      </c>
      <c r="U141" s="444">
        <f t="shared" si="110"/>
        <v>-6.4867562872297668E-2</v>
      </c>
      <c r="V141" s="444">
        <f t="shared" si="110"/>
        <v>-3.796633011654027E-2</v>
      </c>
      <c r="W141" s="444">
        <f t="shared" si="110"/>
        <v>6.4870665218346835E-2</v>
      </c>
      <c r="X141" s="444">
        <f t="shared" ref="X141:AD141" si="111">X140/W140-1</f>
        <v>2.4514349364816779E-2</v>
      </c>
      <c r="Y141" s="444">
        <f t="shared" si="111"/>
        <v>5.3054909078743551E-2</v>
      </c>
      <c r="Z141" s="444">
        <f t="shared" si="111"/>
        <v>1.013136042874585E-2</v>
      </c>
      <c r="AA141" s="444">
        <f t="shared" si="111"/>
        <v>1.1251555095694421E-2</v>
      </c>
      <c r="AB141" s="444">
        <f t="shared" si="111"/>
        <v>1.5834909619838022E-2</v>
      </c>
      <c r="AC141" s="444">
        <f t="shared" si="111"/>
        <v>2.1291953937800923E-3</v>
      </c>
      <c r="AD141" s="444">
        <f t="shared" si="111"/>
        <v>3.9596081668114014E-3</v>
      </c>
      <c r="AE141" s="419"/>
      <c r="AF141" s="404"/>
      <c r="AG141" s="404"/>
      <c r="AH141" s="425"/>
      <c r="AI141" s="418"/>
    </row>
    <row r="142" spans="1:35" ht="12.75" hidden="1" outlineLevel="1">
      <c r="A142" s="400"/>
      <c r="B142" s="400"/>
      <c r="C142" s="400"/>
      <c r="D142" s="400"/>
      <c r="E142" s="400"/>
      <c r="F142" s="400"/>
      <c r="G142" s="400"/>
      <c r="H142" s="400"/>
      <c r="I142" s="400"/>
      <c r="J142" s="400"/>
      <c r="K142" s="400"/>
      <c r="L142" s="400"/>
      <c r="M142" s="400"/>
      <c r="N142" s="400"/>
      <c r="O142" s="400"/>
      <c r="P142" s="400"/>
      <c r="Q142" s="400"/>
      <c r="R142" s="400"/>
      <c r="S142" s="400"/>
      <c r="T142" s="400"/>
      <c r="U142" s="400"/>
      <c r="V142" s="400"/>
      <c r="W142" s="400"/>
      <c r="X142" s="400"/>
      <c r="Y142" s="400"/>
      <c r="Z142" s="400"/>
      <c r="AA142" s="400"/>
      <c r="AB142" s="400"/>
      <c r="AC142" s="400"/>
      <c r="AD142" s="400"/>
      <c r="AE142" s="419"/>
      <c r="AF142" s="404"/>
      <c r="AG142" s="404"/>
      <c r="AH142" s="425"/>
      <c r="AI142" s="418"/>
    </row>
    <row r="143" spans="1:35" ht="12.75" hidden="1" outlineLevel="1">
      <c r="A143" s="424" t="s">
        <v>728</v>
      </c>
      <c r="B143" s="444"/>
      <c r="C143" s="444">
        <f t="shared" ref="C143:I143" si="112">+C43</f>
        <v>6.6000000000000003E-2</v>
      </c>
      <c r="D143" s="444">
        <f t="shared" si="112"/>
        <v>-1.8000000000000002E-2</v>
      </c>
      <c r="E143" s="444">
        <f t="shared" si="112"/>
        <v>0.151</v>
      </c>
      <c r="F143" s="444">
        <f t="shared" si="112"/>
        <v>0.32100000000000001</v>
      </c>
      <c r="G143" s="444">
        <f t="shared" si="112"/>
        <v>0.20899565631219172</v>
      </c>
      <c r="H143" s="444">
        <f t="shared" si="112"/>
        <v>5.7999999999999996E-2</v>
      </c>
      <c r="I143" s="444">
        <f t="shared" si="112"/>
        <v>2.3E-2</v>
      </c>
      <c r="J143" s="444">
        <f>+'qtrP&amp;L'!AH14/100</f>
        <v>-5.7000000000000002E-2</v>
      </c>
      <c r="K143" s="444">
        <f t="shared" ref="K143:P143" si="113">+K43*(K7/(K114-K113))+K97*(K70/(K114-K113))</f>
        <v>-6.6115349058494643E-2</v>
      </c>
      <c r="L143" s="444">
        <f t="shared" si="113"/>
        <v>0.214</v>
      </c>
      <c r="M143" s="444">
        <f t="shared" si="113"/>
        <v>0.155</v>
      </c>
      <c r="N143" s="444">
        <f t="shared" si="113"/>
        <v>0.12</v>
      </c>
      <c r="O143" s="444">
        <f>'qtrP&amp;L'!BB14/100</f>
        <v>0.01</v>
      </c>
      <c r="P143" s="444">
        <f t="shared" si="113"/>
        <v>-0.1</v>
      </c>
      <c r="Q143" s="444">
        <f t="shared" ref="Q143:W143" si="114">+Q43*(Q7/(Q114-Q113))</f>
        <v>-0.04</v>
      </c>
      <c r="R143" s="444">
        <f t="shared" si="114"/>
        <v>-0.01</v>
      </c>
      <c r="S143" s="444">
        <f t="shared" si="114"/>
        <v>0.04</v>
      </c>
      <c r="T143" s="444">
        <f t="shared" si="114"/>
        <v>0.09</v>
      </c>
      <c r="U143" s="444">
        <f t="shared" si="114"/>
        <v>-0.06</v>
      </c>
      <c r="V143" s="444">
        <f>+V43*(V7/(V114-V113))</f>
        <v>-0.05</v>
      </c>
      <c r="W143" s="444">
        <f t="shared" si="114"/>
        <v>7.0000000000000007E-2</v>
      </c>
      <c r="X143" s="444">
        <f t="shared" ref="X143:AC143" si="115">+X43*(X7/(X114-X113))</f>
        <v>0.03</v>
      </c>
      <c r="Y143" s="444">
        <f t="shared" si="115"/>
        <v>0.04</v>
      </c>
      <c r="Z143" s="444">
        <f t="shared" si="115"/>
        <v>2.0712879278911158E-2</v>
      </c>
      <c r="AA143" s="444">
        <f t="shared" si="115"/>
        <v>0.01</v>
      </c>
      <c r="AB143" s="444">
        <f t="shared" si="115"/>
        <v>0.01</v>
      </c>
      <c r="AC143" s="444">
        <f t="shared" si="115"/>
        <v>0</v>
      </c>
      <c r="AD143" s="444">
        <f>+AD43*(AD7/(AD114-AD113))</f>
        <v>0</v>
      </c>
      <c r="AE143" s="452"/>
      <c r="AF143" s="404"/>
      <c r="AG143" s="404"/>
      <c r="AH143" s="425"/>
      <c r="AI143" s="418"/>
    </row>
    <row r="144" spans="1:35" ht="12.75" hidden="1" outlineLevel="1">
      <c r="A144" s="400"/>
      <c r="B144" s="400"/>
      <c r="C144" s="400"/>
      <c r="D144" s="400"/>
      <c r="E144" s="400"/>
      <c r="F144" s="400"/>
      <c r="G144" s="400"/>
      <c r="H144" s="400"/>
      <c r="I144" s="400"/>
      <c r="J144" s="400"/>
      <c r="K144" s="400"/>
      <c r="L144" s="400"/>
      <c r="M144" s="400"/>
      <c r="N144" s="400"/>
      <c r="O144" s="400"/>
      <c r="P144" s="400"/>
      <c r="Q144" s="400"/>
      <c r="R144" s="400"/>
      <c r="S144" s="400"/>
      <c r="T144" s="400"/>
      <c r="U144" s="400"/>
      <c r="V144" s="400"/>
      <c r="W144" s="400"/>
      <c r="X144" s="400"/>
      <c r="Y144" s="400"/>
      <c r="Z144" s="400"/>
      <c r="AA144" s="400"/>
      <c r="AB144" s="400"/>
      <c r="AC144" s="400"/>
      <c r="AD144" s="400"/>
      <c r="AE144" s="419"/>
      <c r="AF144" s="404"/>
      <c r="AG144" s="404"/>
      <c r="AH144" s="425"/>
      <c r="AI144" s="418"/>
    </row>
    <row r="145" spans="1:35" ht="12.75" hidden="1" outlineLevel="1">
      <c r="A145" s="424" t="s">
        <v>729</v>
      </c>
      <c r="B145" s="428" t="s">
        <v>686</v>
      </c>
      <c r="C145" s="428"/>
      <c r="D145" s="480">
        <f>((D112/C112-1)-D143)/D132</f>
        <v>0.32214758548564276</v>
      </c>
      <c r="E145" s="480">
        <f>((E112/D112-1)-E143)/E132</f>
        <v>1.2940432129542943</v>
      </c>
      <c r="F145" s="480">
        <f t="shared" ref="F145:W145" si="116">((F112/E112-1)-F143)/F132</f>
        <v>1.0051134974798992</v>
      </c>
      <c r="G145" s="480">
        <f t="shared" si="116"/>
        <v>0.96765032502652393</v>
      </c>
      <c r="H145" s="480">
        <f t="shared" si="116"/>
        <v>0.56706887230255087</v>
      </c>
      <c r="I145" s="480">
        <f t="shared" si="116"/>
        <v>0.48267750881487109</v>
      </c>
      <c r="J145" s="480">
        <f t="shared" si="116"/>
        <v>1.060036533418985</v>
      </c>
      <c r="K145" s="480">
        <f t="shared" si="116"/>
        <v>0.72444098706670668</v>
      </c>
      <c r="L145" s="480">
        <f t="shared" si="116"/>
        <v>0.56585359601168217</v>
      </c>
      <c r="M145" s="480">
        <f t="shared" si="116"/>
        <v>3.445168986336133</v>
      </c>
      <c r="N145" s="480">
        <f t="shared" si="116"/>
        <v>2.3856277569008695</v>
      </c>
      <c r="O145" s="480">
        <f t="shared" si="116"/>
        <v>0.58903197042111344</v>
      </c>
      <c r="P145" s="480">
        <f t="shared" si="116"/>
        <v>0.50640924370481832</v>
      </c>
      <c r="Q145" s="480">
        <f t="shared" si="116"/>
        <v>0.28133168922661633</v>
      </c>
      <c r="R145" s="480">
        <f t="shared" si="116"/>
        <v>-3.7647746977147261</v>
      </c>
      <c r="S145" s="480">
        <f t="shared" si="116"/>
        <v>1.2086459273329233</v>
      </c>
      <c r="T145" s="480">
        <f t="shared" si="116"/>
        <v>-0.95692351593121494</v>
      </c>
      <c r="U145" s="480">
        <f t="shared" si="116"/>
        <v>-1.0599041100489153</v>
      </c>
      <c r="V145" s="480">
        <f t="shared" si="116"/>
        <v>0.89764281087519648</v>
      </c>
      <c r="W145" s="480">
        <f t="shared" si="116"/>
        <v>-1.8444004812860764</v>
      </c>
      <c r="X145" s="480">
        <f t="shared" ref="X145:AD145" si="117">((X112/W112-1)-X143)/X132</f>
        <v>-101.77663737509351</v>
      </c>
      <c r="Y145" s="480">
        <f t="shared" si="117"/>
        <v>31.067367813318313</v>
      </c>
      <c r="Z145" s="480">
        <f t="shared" si="117"/>
        <v>-17.655854266587909</v>
      </c>
      <c r="AA145" s="480">
        <f t="shared" si="117"/>
        <v>-3.2345829230801879</v>
      </c>
      <c r="AB145" s="480">
        <f t="shared" si="117"/>
        <v>138.05240887530798</v>
      </c>
      <c r="AC145" s="480">
        <f t="shared" si="117"/>
        <v>11.934152328420366</v>
      </c>
      <c r="AD145" s="480">
        <f t="shared" si="117"/>
        <v>6.5977474084650742</v>
      </c>
      <c r="AE145" s="419"/>
      <c r="AF145" s="404"/>
      <c r="AG145" s="404"/>
      <c r="AH145" s="425"/>
      <c r="AI145" s="418"/>
    </row>
    <row r="146" spans="1:35" ht="12.75" hidden="1" outlineLevel="1">
      <c r="A146" s="400"/>
      <c r="B146" s="400"/>
      <c r="C146" s="400"/>
      <c r="D146" s="400"/>
      <c r="E146" s="400"/>
      <c r="F146" s="400"/>
      <c r="G146" s="400"/>
      <c r="H146" s="458"/>
      <c r="I146" s="400"/>
      <c r="J146" s="400"/>
      <c r="K146" s="400"/>
      <c r="L146" s="400"/>
      <c r="M146" s="400"/>
      <c r="N146" s="400"/>
      <c r="O146" s="400"/>
      <c r="P146" s="400"/>
      <c r="Q146" s="400"/>
      <c r="R146" s="400"/>
      <c r="S146" s="400"/>
      <c r="T146" s="400"/>
      <c r="U146" s="400"/>
      <c r="V146" s="400"/>
      <c r="W146" s="400"/>
      <c r="X146" s="400"/>
      <c r="Y146" s="400"/>
      <c r="Z146" s="400"/>
      <c r="AA146" s="400"/>
      <c r="AB146" s="400"/>
      <c r="AC146" s="400"/>
      <c r="AD146" s="400"/>
      <c r="AE146" s="419"/>
      <c r="AF146" s="404"/>
      <c r="AG146" s="404"/>
      <c r="AH146" s="425"/>
      <c r="AI146" s="418"/>
    </row>
    <row r="147" spans="1:35" ht="12.75" hidden="1" outlineLevel="1">
      <c r="A147" s="400" t="s">
        <v>730</v>
      </c>
      <c r="B147" s="459"/>
      <c r="C147" s="459">
        <f>'yrP&amp;L'!B146</f>
        <v>0</v>
      </c>
      <c r="D147" s="459">
        <f>+'yrP&amp;L'!C33</f>
        <v>8.8589999999999698</v>
      </c>
      <c r="E147" s="459">
        <f>+'yrP&amp;L'!D33</f>
        <v>31.11999999999999</v>
      </c>
      <c r="F147" s="459">
        <f>+'yrP&amp;L'!E33</f>
        <v>87.053000000000011</v>
      </c>
      <c r="G147" s="459">
        <f>+'yrP&amp;L'!F33</f>
        <v>149.51400000000004</v>
      </c>
      <c r="H147" s="459">
        <f>+'yrP&amp;L'!G33</f>
        <v>146.55099999999987</v>
      </c>
      <c r="I147" s="459">
        <f>+'yrP&amp;L'!H33</f>
        <v>166.47300000000018</v>
      </c>
      <c r="J147" s="459">
        <f>+'yrP&amp;L'!I33</f>
        <v>141.08500000000004</v>
      </c>
      <c r="K147" s="459">
        <f>+'yrP&amp;L'!J33</f>
        <v>133.27099999999993</v>
      </c>
      <c r="L147" s="459">
        <f>+'yrP&amp;L'!K33</f>
        <v>360.96800000000002</v>
      </c>
      <c r="M147" s="459">
        <f>+'yrP&amp;L'!L33</f>
        <v>458.68900000000002</v>
      </c>
      <c r="N147" s="459">
        <f>+'yrP&amp;L'!M33</f>
        <v>586.78899999999953</v>
      </c>
      <c r="O147" s="459">
        <f>+'yrP&amp;L'!N33</f>
        <v>598.75499999999965</v>
      </c>
      <c r="P147" s="459">
        <f>+'yrP&amp;L'!O33</f>
        <v>308.83999999999997</v>
      </c>
      <c r="Q147" s="459">
        <f>+'yrP&amp;L'!P33</f>
        <v>310.39199999999983</v>
      </c>
      <c r="R147" s="459">
        <f>+'yrP&amp;L'!Q33</f>
        <v>339.55160000000001</v>
      </c>
      <c r="S147" s="459">
        <f>+'yrP&amp;L'!R33</f>
        <v>294.04900000000009</v>
      </c>
      <c r="T147" s="459">
        <f>+'yrP&amp;L'!S33</f>
        <v>437.12400000000019</v>
      </c>
      <c r="U147" s="459">
        <f>+'yrP&amp;L'!T33</f>
        <v>233.70799999999963</v>
      </c>
      <c r="V147" s="459">
        <f>+'yrP&amp;L'!U33</f>
        <v>206.98500000000007</v>
      </c>
      <c r="W147" s="459">
        <f>+'yrP&amp;L'!V33</f>
        <v>319.87999999999988</v>
      </c>
      <c r="X147" s="459">
        <f>+'yrP&amp;L'!W33</f>
        <v>352.64300000000026</v>
      </c>
      <c r="Y147" s="459">
        <f>+'yrP&amp;L'!X33</f>
        <v>325.0779999999998</v>
      </c>
      <c r="Z147" s="459">
        <f>+'yrP&amp;L'!AD33</f>
        <v>0</v>
      </c>
      <c r="AA147" s="459">
        <f>+'yrP&amp;L'!AE33</f>
        <v>3.7010400621770585</v>
      </c>
      <c r="AB147" s="459" t="str">
        <f>+'yrP&amp;L'!AF33</f>
        <v>%</v>
      </c>
      <c r="AC147" s="459">
        <f>+'yrP&amp;L'!AG33</f>
        <v>-4.3366410273649665</v>
      </c>
      <c r="AD147" s="459" t="str">
        <f>+'yrP&amp;L'!AH33</f>
        <v>%</v>
      </c>
      <c r="AE147" s="481"/>
      <c r="AF147" s="425">
        <f>RATE(5,,-O147,T147)*100</f>
        <v>-6.0988092058669094</v>
      </c>
      <c r="AG147" s="426" t="s">
        <v>697</v>
      </c>
      <c r="AH147" s="425">
        <f>RATE(5,,-T147,Y147)*100</f>
        <v>-5.7510359123400097</v>
      </c>
      <c r="AI147" s="427" t="s">
        <v>697</v>
      </c>
    </row>
    <row r="148" spans="1:35" ht="12.75" hidden="1" outlineLevel="1">
      <c r="A148" s="462" t="s">
        <v>731</v>
      </c>
      <c r="B148" s="458"/>
      <c r="C148" s="458">
        <f>C147/C119</f>
        <v>0</v>
      </c>
      <c r="D148" s="458">
        <f t="shared" ref="D148:W148" si="118">+D147/D114</f>
        <v>2.7141211504760877E-2</v>
      </c>
      <c r="E148" s="458">
        <f t="shared" si="118"/>
        <v>7.6704468429653463E-2</v>
      </c>
      <c r="F148" s="458">
        <f t="shared" si="118"/>
        <v>0.14815010211027912</v>
      </c>
      <c r="G148" s="458">
        <f t="shared" si="118"/>
        <v>0.17968186668974073</v>
      </c>
      <c r="H148" s="458">
        <f t="shared" si="118"/>
        <v>0.13857241600375186</v>
      </c>
      <c r="I148" s="458">
        <f t="shared" si="118"/>
        <v>0.13095746614023468</v>
      </c>
      <c r="J148" s="458">
        <f t="shared" si="118"/>
        <v>9.6426113409439046E-2</v>
      </c>
      <c r="K148" s="458">
        <f t="shared" si="118"/>
        <v>8.9246383663487291E-2</v>
      </c>
      <c r="L148" s="458">
        <f t="shared" si="118"/>
        <v>0.19187759569348106</v>
      </c>
      <c r="M148" s="458">
        <f t="shared" si="118"/>
        <v>0.19754371518569211</v>
      </c>
      <c r="N148" s="458">
        <f t="shared" si="118"/>
        <v>0.2099867986397122</v>
      </c>
      <c r="O148" s="458">
        <f t="shared" si="118"/>
        <v>0.1959649396694855</v>
      </c>
      <c r="P148" s="458">
        <f t="shared" si="118"/>
        <v>0.10333015933133168</v>
      </c>
      <c r="Q148" s="458">
        <f t="shared" si="118"/>
        <v>0.10556585128775629</v>
      </c>
      <c r="R148" s="458">
        <f t="shared" si="118"/>
        <v>0.11528614800423999</v>
      </c>
      <c r="S148" s="458">
        <f t="shared" si="118"/>
        <v>9.4244510931663319E-2</v>
      </c>
      <c r="T148" s="458">
        <f t="shared" si="118"/>
        <v>0.12576205434026455</v>
      </c>
      <c r="U148" s="458">
        <f t="shared" si="118"/>
        <v>7.0696309095341969E-2</v>
      </c>
      <c r="V148" s="458">
        <f t="shared" si="118"/>
        <v>6.3050071781768816E-2</v>
      </c>
      <c r="W148" s="458">
        <f t="shared" si="118"/>
        <v>9.0827315659278846E-2</v>
      </c>
      <c r="X148" s="458">
        <f t="shared" ref="X148:AC148" si="119">+X147/X114</f>
        <v>9.768869472958136E-2</v>
      </c>
      <c r="Y148" s="458">
        <f t="shared" si="119"/>
        <v>8.5647161978412031E-2</v>
      </c>
      <c r="Z148" s="458">
        <f t="shared" si="119"/>
        <v>0</v>
      </c>
      <c r="AA148" s="458">
        <f t="shared" si="119"/>
        <v>9.457777804509174E-4</v>
      </c>
      <c r="AB148" s="458">
        <f t="shared" si="119"/>
        <v>0</v>
      </c>
      <c r="AC148" s="458">
        <f t="shared" si="119"/>
        <v>-1.0909427773279706E-3</v>
      </c>
      <c r="AD148" s="458">
        <f>+AD147/AD114</f>
        <v>0</v>
      </c>
      <c r="AE148" s="455"/>
      <c r="AF148" s="402"/>
      <c r="AG148" s="402"/>
      <c r="AH148" s="456"/>
      <c r="AI148" s="457"/>
    </row>
    <row r="149" spans="1:35" ht="12.75" hidden="1" outlineLevel="1">
      <c r="A149" s="400"/>
      <c r="B149" s="400"/>
      <c r="C149" s="400"/>
      <c r="D149" s="400"/>
      <c r="E149" s="463"/>
      <c r="F149" s="400"/>
      <c r="G149" s="400"/>
      <c r="H149" s="400"/>
      <c r="I149" s="400"/>
      <c r="J149" s="400"/>
      <c r="K149" s="400"/>
      <c r="L149" s="203"/>
      <c r="M149" s="203"/>
      <c r="N149" s="203"/>
      <c r="O149" s="203"/>
      <c r="P149" s="203"/>
      <c r="Q149" s="203"/>
      <c r="R149" s="203"/>
      <c r="S149" s="203"/>
      <c r="T149" s="203"/>
      <c r="U149" s="203"/>
      <c r="V149" s="203"/>
      <c r="W149" s="203"/>
      <c r="X149" s="203"/>
      <c r="Y149" s="203"/>
      <c r="Z149" s="203"/>
      <c r="AA149" s="203"/>
      <c r="AB149" s="203"/>
      <c r="AC149" s="203"/>
      <c r="AD149" s="203"/>
      <c r="AE149" s="400"/>
      <c r="AF149" s="400"/>
      <c r="AG149" s="400"/>
      <c r="AH149" s="464"/>
      <c r="AI149" s="400"/>
    </row>
    <row r="150" spans="1:35" ht="12.75" hidden="1" outlineLevel="1">
      <c r="A150" s="400"/>
      <c r="B150" s="400"/>
      <c r="C150" s="400"/>
      <c r="D150" s="400"/>
      <c r="E150" s="463"/>
      <c r="F150" s="400"/>
      <c r="G150" s="400"/>
      <c r="H150" s="400"/>
      <c r="I150" s="400"/>
      <c r="J150" s="400"/>
      <c r="K150" s="400"/>
      <c r="L150" s="203"/>
      <c r="M150" s="203"/>
      <c r="N150" s="203"/>
      <c r="O150" s="203"/>
      <c r="P150" s="203"/>
      <c r="Q150" s="203"/>
      <c r="R150" s="203"/>
      <c r="S150" s="203"/>
      <c r="T150" s="203"/>
      <c r="U150" s="203"/>
      <c r="V150" s="203"/>
      <c r="W150" s="203"/>
      <c r="X150" s="203"/>
      <c r="Y150" s="203"/>
      <c r="Z150" s="203"/>
      <c r="AA150" s="203"/>
      <c r="AB150" s="203"/>
      <c r="AC150" s="203"/>
      <c r="AD150" s="203"/>
      <c r="AE150" s="400"/>
      <c r="AF150" s="400"/>
      <c r="AG150" s="400"/>
      <c r="AH150" s="464"/>
      <c r="AI150" s="400"/>
    </row>
    <row r="151" spans="1:35" ht="12.75" hidden="1" outlineLevel="1">
      <c r="A151" s="400"/>
      <c r="B151" s="400"/>
      <c r="C151" s="400"/>
      <c r="D151" s="400"/>
      <c r="E151" s="400"/>
      <c r="F151" s="400"/>
      <c r="G151" s="400"/>
      <c r="H151" s="400"/>
      <c r="I151" s="400"/>
      <c r="J151" s="400"/>
      <c r="K151" s="400"/>
      <c r="L151" s="203"/>
      <c r="M151" s="203"/>
      <c r="N151" s="203"/>
      <c r="O151" s="203"/>
      <c r="P151" s="203"/>
      <c r="Q151" s="203"/>
      <c r="R151" s="203"/>
      <c r="S151" s="203"/>
      <c r="T151" s="203"/>
      <c r="U151" s="203"/>
      <c r="V151" s="203"/>
      <c r="W151" s="203"/>
      <c r="X151" s="203"/>
      <c r="Y151" s="203"/>
      <c r="Z151" s="203"/>
      <c r="AA151" s="203"/>
      <c r="AB151" s="203"/>
      <c r="AC151" s="203"/>
      <c r="AD151" s="203"/>
      <c r="AE151" s="400"/>
      <c r="AF151" s="400"/>
      <c r="AG151" s="400"/>
      <c r="AH151" s="400"/>
      <c r="AI151" s="400"/>
    </row>
    <row r="152" spans="1:35" ht="12.75" hidden="1" outlineLevel="1">
      <c r="A152" s="469" t="s">
        <v>572</v>
      </c>
      <c r="B152" s="400"/>
      <c r="C152" s="400"/>
      <c r="D152" s="400"/>
      <c r="E152" s="400"/>
      <c r="F152" s="400"/>
      <c r="G152" s="400"/>
      <c r="H152" s="400"/>
      <c r="I152" s="400"/>
      <c r="J152" s="400"/>
      <c r="K152" s="400"/>
      <c r="L152" s="203"/>
      <c r="M152" s="203"/>
      <c r="N152" s="203"/>
      <c r="O152" s="203"/>
      <c r="P152" s="203"/>
      <c r="Q152" s="203"/>
      <c r="R152" s="203"/>
      <c r="S152" s="203"/>
      <c r="T152" s="203"/>
      <c r="U152" s="203"/>
      <c r="V152" s="203"/>
      <c r="W152" s="203"/>
      <c r="X152" s="203"/>
      <c r="Y152" s="203"/>
      <c r="Z152" s="203"/>
      <c r="AA152" s="203"/>
      <c r="AB152" s="203"/>
      <c r="AC152" s="203"/>
      <c r="AD152" s="203"/>
      <c r="AE152" s="400"/>
      <c r="AF152" s="400"/>
      <c r="AG152" s="400"/>
      <c r="AH152" s="400"/>
      <c r="AI152" s="400"/>
    </row>
    <row r="153" spans="1:35" hidden="1" outlineLevel="1"/>
    <row r="154" spans="1:35" collapsed="1"/>
  </sheetData>
  <phoneticPr fontId="0" type="noConversion"/>
  <dataValidations count="1">
    <dataValidation type="custom" allowBlank="1" showInputMessage="1" showErrorMessage="1" sqref="A1:XFD1048576">
      <formula1>-1</formula1>
    </dataValidation>
  </dataValidations>
  <printOptions horizontalCentered="1"/>
  <pageMargins left="0" right="0" top="0.5" bottom="0.25" header="0.5" footer="0.5"/>
  <pageSetup scale="69" orientation="landscape" horizontalDpi="300" verticalDpi="300" r:id="rId1"/>
  <headerFooter alignWithMargins="0">
    <oddFooter>&amp;R&amp;"Arial,Regular"&amp;8&amp;D
&amp;F/&amp;A</oddFooter>
  </headerFooter>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A1:AH100"/>
  <sheetViews>
    <sheetView showGridLines="0" topLeftCell="A7" zoomScaleNormal="100" workbookViewId="0">
      <pane ySplit="8670" topLeftCell="A45"/>
      <selection activeCell="Z34" sqref="Z34"/>
      <selection pane="bottomLeft" activeCell="Y53" sqref="Y53"/>
    </sheetView>
  </sheetViews>
  <sheetFormatPr defaultRowHeight="12" outlineLevelRow="1" outlineLevelCol="1"/>
  <cols>
    <col min="1" max="1" width="21.625" style="960" customWidth="1"/>
    <col min="2" max="2" width="9.375" style="960" hidden="1" customWidth="1" outlineLevel="1"/>
    <col min="3" max="3" width="8.375" style="960" hidden="1" customWidth="1" outlineLevel="1"/>
    <col min="4" max="4" width="8.375" style="960" hidden="1" customWidth="1" outlineLevel="1" collapsed="1"/>
    <col min="5" max="5" width="8.5" style="960" hidden="1" customWidth="1" outlineLevel="1"/>
    <col min="6" max="16" width="7.625" style="960" hidden="1" customWidth="1" outlineLevel="1"/>
    <col min="17" max="17" width="7.875" style="960" bestFit="1" customWidth="1" collapsed="1"/>
    <col min="18" max="18" width="7.625" style="960" bestFit="1" customWidth="1"/>
    <col min="19" max="24" width="7.625" style="960" customWidth="1"/>
    <col min="25" max="25" width="7.5" style="960" customWidth="1"/>
    <col min="26" max="28" width="7.625" style="960" customWidth="1"/>
    <col min="29" max="29" width="7.625" style="960" hidden="1" customWidth="1" outlineLevel="1"/>
    <col min="30" max="30" width="1.25" style="960" customWidth="1" collapsed="1"/>
    <col min="31" max="31" width="5.75" style="960" customWidth="1"/>
    <col min="32" max="32" width="1.875" style="960" customWidth="1"/>
    <col min="33" max="33" width="5.625" style="960" customWidth="1"/>
    <col min="34" max="34" width="2.125" style="960" customWidth="1"/>
    <col min="35" max="16384" width="9" style="960"/>
  </cols>
  <sheetData>
    <row r="1" spans="1:34" ht="12.75">
      <c r="A1" s="114" t="s">
        <v>85</v>
      </c>
      <c r="B1" s="952"/>
      <c r="C1" s="952"/>
      <c r="D1" s="1731"/>
      <c r="E1" s="1731"/>
      <c r="F1" s="1731"/>
      <c r="G1" s="1731"/>
      <c r="H1" s="1731"/>
      <c r="I1" s="1731"/>
      <c r="J1" s="1731"/>
      <c r="K1" s="1731"/>
      <c r="L1" s="1731"/>
      <c r="M1" s="1731"/>
      <c r="N1" s="1731"/>
      <c r="O1" s="1731"/>
      <c r="P1" s="1731"/>
      <c r="Q1" s="1732"/>
      <c r="R1" s="1731"/>
      <c r="S1" s="1731"/>
      <c r="T1" s="1731"/>
      <c r="U1" s="1731"/>
      <c r="V1" s="1731"/>
      <c r="W1" s="1731"/>
      <c r="X1" s="1731"/>
      <c r="Y1" s="1731"/>
      <c r="Z1" s="1731"/>
      <c r="AA1" s="1731"/>
      <c r="AB1" s="1731"/>
      <c r="AC1" s="1731"/>
      <c r="AD1" s="952"/>
      <c r="AE1" s="1731"/>
      <c r="AF1" s="1731"/>
      <c r="AG1" s="1731"/>
      <c r="AH1" s="1731"/>
    </row>
    <row r="2" spans="1:34" ht="12.75">
      <c r="A2" s="115" t="s">
        <v>464</v>
      </c>
      <c r="B2" s="1733"/>
      <c r="C2" s="1733"/>
      <c r="D2" s="1734"/>
      <c r="E2" s="1734"/>
      <c r="F2" s="1734"/>
      <c r="G2" s="1733"/>
      <c r="H2" s="1733"/>
      <c r="I2" s="1733"/>
      <c r="J2" s="1733"/>
      <c r="K2" s="1733"/>
      <c r="L2" s="1733"/>
      <c r="M2" s="1733"/>
      <c r="N2" s="1733"/>
      <c r="O2" s="1733"/>
      <c r="P2" s="1733"/>
      <c r="Q2" s="1733"/>
      <c r="R2" s="1733"/>
      <c r="S2" s="1733"/>
      <c r="T2" s="1733"/>
      <c r="U2" s="1733"/>
      <c r="V2" s="1733"/>
      <c r="W2" s="1733"/>
      <c r="X2" s="1733"/>
      <c r="Y2" s="1733"/>
      <c r="Z2" s="1733"/>
      <c r="AA2" s="1733"/>
      <c r="AB2" s="1733"/>
      <c r="AC2" s="1733"/>
      <c r="AD2" s="1733"/>
      <c r="AE2" s="1735"/>
      <c r="AF2" s="1735"/>
      <c r="AG2" s="1735"/>
      <c r="AH2" s="1734"/>
    </row>
    <row r="3" spans="1:34" ht="12.75">
      <c r="A3" s="117" t="s">
        <v>18</v>
      </c>
      <c r="B3" s="952"/>
      <c r="C3" s="952"/>
      <c r="D3" s="1731"/>
      <c r="E3" s="1731"/>
      <c r="F3" s="1731"/>
      <c r="G3" s="1731"/>
      <c r="H3" s="1731"/>
      <c r="I3" s="1731"/>
      <c r="J3" s="1731"/>
      <c r="K3" s="1731"/>
      <c r="L3" s="1731"/>
      <c r="M3" s="1731"/>
      <c r="N3" s="1731"/>
      <c r="O3" s="1736"/>
      <c r="P3" s="1737"/>
      <c r="Q3" s="1737"/>
      <c r="R3" s="1737"/>
      <c r="S3" s="1731"/>
      <c r="T3" s="1731"/>
      <c r="U3" s="1731"/>
      <c r="V3" s="1731"/>
      <c r="W3" s="1731"/>
      <c r="X3" s="1731"/>
      <c r="Y3" s="1731"/>
      <c r="Z3" s="1731"/>
      <c r="AA3" s="1731"/>
      <c r="AB3" s="1731"/>
      <c r="AC3" s="1731"/>
      <c r="AD3" s="952"/>
      <c r="AE3" s="1731"/>
      <c r="AF3" s="1731"/>
      <c r="AG3" s="1731"/>
      <c r="AH3" s="1731"/>
    </row>
    <row r="4" spans="1:34" ht="12.75">
      <c r="A4" s="27"/>
      <c r="B4" s="116"/>
      <c r="C4" s="116"/>
      <c r="D4" s="116"/>
      <c r="E4" s="116"/>
      <c r="F4" s="116"/>
      <c r="G4" s="27"/>
      <c r="H4" s="27"/>
      <c r="I4" s="27"/>
      <c r="J4" s="27"/>
      <c r="K4" s="27"/>
      <c r="L4" s="27"/>
      <c r="M4" s="27"/>
      <c r="N4" s="27"/>
      <c r="O4" s="27"/>
      <c r="P4" s="27"/>
      <c r="Q4" s="27"/>
      <c r="R4" s="654"/>
      <c r="S4" s="27"/>
      <c r="T4" s="654"/>
      <c r="U4" s="654"/>
      <c r="V4" s="654"/>
      <c r="W4" s="654"/>
      <c r="X4" s="654"/>
      <c r="Y4" s="654"/>
      <c r="Z4" s="654"/>
      <c r="AA4" s="654"/>
      <c r="AB4" s="654"/>
      <c r="AC4" s="654"/>
      <c r="AD4" s="121"/>
      <c r="AE4" s="118"/>
      <c r="AF4" s="113" t="s">
        <v>715</v>
      </c>
      <c r="AG4" s="118"/>
      <c r="AH4" s="119"/>
    </row>
    <row r="5" spans="1:34" ht="12.75">
      <c r="A5" s="27"/>
      <c r="B5" s="133" t="s">
        <v>151</v>
      </c>
      <c r="C5" s="133" t="s">
        <v>152</v>
      </c>
      <c r="D5" s="132" t="s">
        <v>153</v>
      </c>
      <c r="E5" s="132" t="s">
        <v>154</v>
      </c>
      <c r="F5" s="626">
        <v>1999</v>
      </c>
      <c r="G5" s="626">
        <v>2000</v>
      </c>
      <c r="H5" s="626">
        <v>2001</v>
      </c>
      <c r="I5" s="626">
        <v>2002</v>
      </c>
      <c r="J5" s="626">
        <v>2003</v>
      </c>
      <c r="K5" s="626">
        <v>2004</v>
      </c>
      <c r="L5" s="626">
        <v>2005</v>
      </c>
      <c r="M5" s="626">
        <v>2006</v>
      </c>
      <c r="N5" s="626">
        <f t="shared" ref="N5:S5" si="0">+M5+1</f>
        <v>2007</v>
      </c>
      <c r="O5" s="626">
        <f t="shared" si="0"/>
        <v>2008</v>
      </c>
      <c r="P5" s="626">
        <f t="shared" si="0"/>
        <v>2009</v>
      </c>
      <c r="Q5" s="626">
        <f t="shared" si="0"/>
        <v>2010</v>
      </c>
      <c r="R5" s="626">
        <f t="shared" si="0"/>
        <v>2011</v>
      </c>
      <c r="S5" s="878">
        <f t="shared" si="0"/>
        <v>2012</v>
      </c>
      <c r="T5" s="878">
        <f t="shared" ref="T5:AC5" si="1">+S5+1</f>
        <v>2013</v>
      </c>
      <c r="U5" s="878">
        <f t="shared" si="1"/>
        <v>2014</v>
      </c>
      <c r="V5" s="878">
        <f t="shared" si="1"/>
        <v>2015</v>
      </c>
      <c r="W5" s="878">
        <f t="shared" si="1"/>
        <v>2016</v>
      </c>
      <c r="X5" s="878">
        <f t="shared" si="1"/>
        <v>2017</v>
      </c>
      <c r="Y5" s="342">
        <f t="shared" si="1"/>
        <v>2018</v>
      </c>
      <c r="Z5" s="342">
        <f t="shared" si="1"/>
        <v>2019</v>
      </c>
      <c r="AA5" s="1794">
        <f t="shared" si="1"/>
        <v>2020</v>
      </c>
      <c r="AB5" s="1794">
        <f t="shared" si="1"/>
        <v>2021</v>
      </c>
      <c r="AC5" s="1794">
        <f t="shared" si="1"/>
        <v>2022</v>
      </c>
      <c r="AD5" s="122"/>
      <c r="AE5" s="655" t="s">
        <v>807</v>
      </c>
      <c r="AF5" s="1738"/>
      <c r="AG5" s="655" t="s">
        <v>861</v>
      </c>
      <c r="AH5" s="120"/>
    </row>
    <row r="6" spans="1:34" ht="11.25" customHeight="1">
      <c r="A6" s="1731"/>
      <c r="B6" s="28"/>
      <c r="C6" s="28"/>
      <c r="D6" s="1731"/>
      <c r="E6" s="1731"/>
      <c r="F6" s="1731"/>
      <c r="G6" s="1731"/>
      <c r="H6" s="1731"/>
      <c r="I6" s="1739"/>
      <c r="J6" s="1739" t="s">
        <v>669</v>
      </c>
      <c r="K6" s="1731"/>
      <c r="L6" s="1731"/>
      <c r="M6" s="1731"/>
      <c r="N6" s="1731"/>
      <c r="O6" s="1731"/>
      <c r="P6" s="1739" t="s">
        <v>669</v>
      </c>
      <c r="Q6" s="1739" t="s">
        <v>669</v>
      </c>
      <c r="R6" s="1739" t="s">
        <v>669</v>
      </c>
      <c r="S6" s="1731"/>
      <c r="T6" s="1731"/>
      <c r="U6" s="1731"/>
      <c r="V6" s="1731"/>
      <c r="W6" s="1731"/>
      <c r="X6" s="1731"/>
      <c r="Y6" s="1731"/>
      <c r="Z6" s="1731"/>
      <c r="AA6" s="1731"/>
      <c r="AB6" s="1731"/>
      <c r="AC6" s="1731"/>
      <c r="AD6" s="123"/>
      <c r="AE6" s="1731"/>
      <c r="AF6" s="1731"/>
      <c r="AG6" s="1731"/>
      <c r="AH6" s="1740"/>
    </row>
    <row r="7" spans="1:34" ht="12.75">
      <c r="A7" s="1731" t="s">
        <v>19</v>
      </c>
      <c r="B7" s="1741">
        <f>'qtrP&amp;L'!$C$14</f>
        <v>340.32299999999998</v>
      </c>
      <c r="C7" s="1741">
        <f>+yrSales!D9</f>
        <v>326.404</v>
      </c>
      <c r="D7" s="1741">
        <f>+yrSales!E9</f>
        <v>405.71299999999997</v>
      </c>
      <c r="E7" s="1741">
        <f>+yrSales!F9</f>
        <v>587.6</v>
      </c>
      <c r="F7" s="1741">
        <f>+yrSales!G9</f>
        <v>832.10400000000004</v>
      </c>
      <c r="G7" s="1741">
        <f>+'qtrP&amp;L'!W14</f>
        <v>1093.4769999999999</v>
      </c>
      <c r="H7" s="1741">
        <f>'qtrP&amp;L'!AB14</f>
        <v>1371.8990000000001</v>
      </c>
      <c r="I7" s="1741">
        <f>'qtrP&amp;L'!AF14</f>
        <v>1463.1410000000001</v>
      </c>
      <c r="J7" s="391">
        <v>1435.4359999999999</v>
      </c>
      <c r="K7" s="391">
        <v>1889.6469999999999</v>
      </c>
      <c r="L7" s="1741">
        <f>+'qtrP&amp;L'!AR14</f>
        <v>2321.962</v>
      </c>
      <c r="M7" s="1741">
        <f>'qtrP&amp;L'!AV14</f>
        <v>2794.4089999999997</v>
      </c>
      <c r="N7" s="1741">
        <f>+'qtrP&amp;L'!AZ14</f>
        <v>3055.4189999999999</v>
      </c>
      <c r="O7" s="1741">
        <f>'qtrP&amp;L'!BD14</f>
        <v>2988.866</v>
      </c>
      <c r="P7" s="1741">
        <f>'qtrP&amp;L'!BH14</f>
        <v>2940.2689999999998</v>
      </c>
      <c r="Q7" s="1741">
        <f>'qtrP&amp;L'!$BL$14</f>
        <v>2945.2939999999999</v>
      </c>
      <c r="R7" s="1741">
        <f>'qtrP&amp;L'!$BP$14</f>
        <v>3120.0650000000001</v>
      </c>
      <c r="S7" s="1741">
        <f>+'qtrP&amp;L'!BT14</f>
        <v>3475.8019999999997</v>
      </c>
      <c r="T7" s="1741">
        <f>'qtrP&amp;L'!BX14</f>
        <v>3305.8019999999997</v>
      </c>
      <c r="U7" s="1741">
        <f>'qtrP&amp;L'!CB14</f>
        <v>3282.8670000000002</v>
      </c>
      <c r="V7" s="1741">
        <f>'qtrP&amp;L'!CF14</f>
        <v>3521.848</v>
      </c>
      <c r="W7" s="1741">
        <f>'qtrP&amp;L'!CJ14</f>
        <v>3609.8650000000002</v>
      </c>
      <c r="X7" s="1741">
        <f>'qtrP&amp;L'!CN14</f>
        <v>3795.549</v>
      </c>
      <c r="Y7" s="1741">
        <f>'qtrP&amp;L'!CR14</f>
        <v>3846.3313542304768</v>
      </c>
      <c r="Z7" s="1741">
        <f>yrSales!AA9</f>
        <v>3913.2237388919393</v>
      </c>
      <c r="AA7" s="1741">
        <f>yrSales!AB9</f>
        <v>3974.8909109841375</v>
      </c>
      <c r="AB7" s="1741">
        <f>yrSales!AC9</f>
        <v>3975.1315261343361</v>
      </c>
      <c r="AC7" s="1741">
        <f>yrSales!AD9</f>
        <v>3974.661154859115</v>
      </c>
      <c r="AD7" s="1742"/>
      <c r="AE7" s="1743">
        <f>RATE(5,,-R7,W7)*100</f>
        <v>2.9592721596695073</v>
      </c>
      <c r="AF7" s="1744" t="s">
        <v>697</v>
      </c>
      <c r="AG7" s="1743">
        <f>RATE(6,,-W7,AC7)*100</f>
        <v>1.6174264014819311</v>
      </c>
      <c r="AH7" s="1745" t="s">
        <v>697</v>
      </c>
    </row>
    <row r="8" spans="1:34" ht="12.75">
      <c r="A8" s="1731" t="s">
        <v>20</v>
      </c>
      <c r="B8" s="952"/>
      <c r="C8" s="1584">
        <f t="shared" ref="C8:U8" si="2">(C7-B7)/B7</f>
        <v>-4.0899380882279436E-2</v>
      </c>
      <c r="D8" s="1584">
        <f t="shared" si="2"/>
        <v>0.24297802723005837</v>
      </c>
      <c r="E8" s="1584">
        <f t="shared" si="2"/>
        <v>0.44831444888381705</v>
      </c>
      <c r="F8" s="1584">
        <f t="shared" si="2"/>
        <v>0.4161061946902655</v>
      </c>
      <c r="G8" s="1584">
        <f t="shared" si="2"/>
        <v>0.3141109765125511</v>
      </c>
      <c r="H8" s="1584">
        <f t="shared" si="2"/>
        <v>0.25462081049715751</v>
      </c>
      <c r="I8" s="1584">
        <f>(I7-H7)/H7</f>
        <v>6.6507811435098318E-2</v>
      </c>
      <c r="J8" s="1584">
        <f t="shared" si="2"/>
        <v>-1.893529058375109E-2</v>
      </c>
      <c r="K8" s="1584">
        <f t="shared" si="2"/>
        <v>0.31642720399934238</v>
      </c>
      <c r="L8" s="1584">
        <f t="shared" si="2"/>
        <v>0.22878082520174406</v>
      </c>
      <c r="M8" s="1584">
        <f t="shared" si="2"/>
        <v>0.20346887675164352</v>
      </c>
      <c r="N8" s="1584">
        <f t="shared" si="2"/>
        <v>9.3404365645830753E-2</v>
      </c>
      <c r="O8" s="1584">
        <f t="shared" si="2"/>
        <v>-2.1781955273564736E-2</v>
      </c>
      <c r="P8" s="1584">
        <f t="shared" si="2"/>
        <v>-1.6259343844789362E-2</v>
      </c>
      <c r="Q8" s="1584">
        <f t="shared" si="2"/>
        <v>1.7090273032841863E-3</v>
      </c>
      <c r="R8" s="1584">
        <f t="shared" si="2"/>
        <v>5.9339067678812432E-2</v>
      </c>
      <c r="S8" s="1584">
        <f t="shared" si="2"/>
        <v>0.1140158938996462</v>
      </c>
      <c r="T8" s="1584">
        <f t="shared" si="2"/>
        <v>-4.8909575401590771E-2</v>
      </c>
      <c r="U8" s="1584">
        <f t="shared" si="2"/>
        <v>-6.9378020825202153E-3</v>
      </c>
      <c r="V8" s="1584">
        <f t="shared" ref="V8:AA8" si="3">(V7-U7)/U7</f>
        <v>7.2796430680865151E-2</v>
      </c>
      <c r="W8" s="1584">
        <f t="shared" si="3"/>
        <v>2.4991708898283026E-2</v>
      </c>
      <c r="X8" s="1584">
        <f t="shared" si="3"/>
        <v>5.1437934659606312E-2</v>
      </c>
      <c r="Y8" s="1584">
        <f>(Y7-X7)/X7</f>
        <v>1.3379448988928035E-2</v>
      </c>
      <c r="Z8" s="1584">
        <f t="shared" si="3"/>
        <v>1.7391217370778363E-2</v>
      </c>
      <c r="AA8" s="1584">
        <f t="shared" si="3"/>
        <v>1.575866247547085E-2</v>
      </c>
      <c r="AB8" s="1584">
        <f>(AB7-AA7)/AA7</f>
        <v>6.0533774532969673E-5</v>
      </c>
      <c r="AC8" s="1584">
        <f>(AC7-AB7)/AB7</f>
        <v>-1.1832848098955527E-4</v>
      </c>
      <c r="AD8" s="1746"/>
      <c r="AE8" s="1738"/>
      <c r="AF8" s="1747"/>
      <c r="AG8" s="1743"/>
      <c r="AH8" s="1748"/>
    </row>
    <row r="9" spans="1:34" ht="12.75">
      <c r="A9" s="1731" t="s">
        <v>616</v>
      </c>
      <c r="B9" s="1737">
        <f>yrSales!C43</f>
        <v>6.6000000000000003E-2</v>
      </c>
      <c r="C9" s="1737">
        <f>yrSales!D43</f>
        <v>-1.8000000000000002E-2</v>
      </c>
      <c r="D9" s="1737">
        <f>yrSales!E43</f>
        <v>0.151</v>
      </c>
      <c r="E9" s="1737">
        <f>yrSales!F43</f>
        <v>0.32100000000000001</v>
      </c>
      <c r="F9" s="1737">
        <f>yrSales!G43</f>
        <v>0.20899565631219172</v>
      </c>
      <c r="G9" s="1737">
        <f>yrSales!H43</f>
        <v>5.7999999999999996E-2</v>
      </c>
      <c r="H9" s="1737">
        <f>yrSales!I43</f>
        <v>2.3E-2</v>
      </c>
      <c r="I9" s="1737">
        <f>yrSales!J43</f>
        <v>-4.3418294478692096E-2</v>
      </c>
      <c r="J9" s="1737">
        <f>yrSales!K43</f>
        <v>-6.6115349058494643E-2</v>
      </c>
      <c r="K9" s="1737">
        <f>yrSales!L43</f>
        <v>0.214</v>
      </c>
      <c r="L9" s="1737">
        <f>yrSales!M43</f>
        <v>0.155</v>
      </c>
      <c r="M9" s="1737">
        <f>yrSales!N43</f>
        <v>0.12</v>
      </c>
      <c r="N9" s="1737">
        <f>yrSales!O43</f>
        <v>1.5272651879374904E-2</v>
      </c>
      <c r="O9" s="1737">
        <f>yrSales!P43</f>
        <v>-0.1</v>
      </c>
      <c r="P9" s="1737">
        <f>yrSales!Q43</f>
        <v>-0.04</v>
      </c>
      <c r="Q9" s="1737">
        <f>yrSales!R43</f>
        <v>-0.01</v>
      </c>
      <c r="R9" s="1737">
        <f>yrSales!S43</f>
        <v>0.04</v>
      </c>
      <c r="S9" s="1737">
        <f>yrSales!T43</f>
        <v>0.09</v>
      </c>
      <c r="T9" s="1737">
        <f>yrSales!U43</f>
        <v>-0.06</v>
      </c>
      <c r="U9" s="1737">
        <f>yrSales!V43</f>
        <v>-0.05</v>
      </c>
      <c r="V9" s="1737">
        <f>yrSales!W43</f>
        <v>7.0000000000000007E-2</v>
      </c>
      <c r="W9" s="1737">
        <f>yrSales!X43</f>
        <v>0.03</v>
      </c>
      <c r="X9" s="1737">
        <f>yrSales!Y43</f>
        <v>0.04</v>
      </c>
      <c r="Y9" s="1737">
        <f>yrSales!Z43</f>
        <v>2.0712879278911158E-2</v>
      </c>
      <c r="Z9" s="1737">
        <f>yrSales!AA43</f>
        <v>0.01</v>
      </c>
      <c r="AA9" s="1737">
        <f>yrSales!AB43</f>
        <v>0.01</v>
      </c>
      <c r="AB9" s="1737">
        <f>yrSales!AC43</f>
        <v>0</v>
      </c>
      <c r="AC9" s="1737">
        <f>yrSales!AD43</f>
        <v>0</v>
      </c>
      <c r="AD9" s="1746"/>
      <c r="AE9" s="1738"/>
      <c r="AF9" s="1747"/>
      <c r="AG9" s="1743"/>
      <c r="AH9" s="1748"/>
    </row>
    <row r="10" spans="1:34" ht="12.75">
      <c r="A10" s="1731"/>
      <c r="B10" s="952"/>
      <c r="C10" s="952"/>
      <c r="D10" s="952"/>
      <c r="E10" s="952"/>
      <c r="F10" s="952"/>
      <c r="G10" s="952"/>
      <c r="H10" s="952"/>
      <c r="I10" s="952"/>
      <c r="J10" s="952"/>
      <c r="K10" s="1731"/>
      <c r="L10" s="1737"/>
      <c r="M10" s="1731"/>
      <c r="N10" s="1731"/>
      <c r="O10" s="1731"/>
      <c r="P10" s="1749"/>
      <c r="Q10" s="1750"/>
      <c r="R10" s="1750"/>
      <c r="S10" s="1731"/>
      <c r="T10" s="1731"/>
      <c r="U10" s="1731"/>
      <c r="V10" s="1755"/>
      <c r="W10" s="1731"/>
      <c r="X10" s="1731"/>
      <c r="Y10" s="1731"/>
      <c r="Z10" s="1731"/>
      <c r="AA10" s="1731"/>
      <c r="AB10" s="1731"/>
      <c r="AC10" s="1731"/>
      <c r="AD10" s="1746"/>
      <c r="AE10" s="1738"/>
      <c r="AF10" s="1747"/>
      <c r="AG10" s="1743"/>
      <c r="AH10" s="1748"/>
    </row>
    <row r="11" spans="1:34" ht="12.75">
      <c r="A11" s="1731" t="s">
        <v>21</v>
      </c>
      <c r="B11" s="952">
        <f>'qtrP&amp;L'!$C$24</f>
        <v>249.41500000000002</v>
      </c>
      <c r="C11" s="952">
        <f>'qtrP&amp;L'!G$24</f>
        <v>227.64800000000002</v>
      </c>
      <c r="D11" s="952">
        <f>'qtrP&amp;L'!K$24</f>
        <v>268.74599999999998</v>
      </c>
      <c r="E11" s="1741">
        <f>'qtrP&amp;L'!O$24</f>
        <v>353.089</v>
      </c>
      <c r="F11" s="952">
        <f>'qtrP&amp;L'!S$24</f>
        <v>475.596</v>
      </c>
      <c r="G11" s="952">
        <f>'qtrP&amp;L'!W$24</f>
        <v>657.25199999999995</v>
      </c>
      <c r="H11" s="952">
        <f>'qtrP&amp;L'!AB24</f>
        <v>824.53099999999995</v>
      </c>
      <c r="I11" s="952">
        <f>'qtrP&amp;L'!AF24</f>
        <v>920.64300000000003</v>
      </c>
      <c r="J11" s="29">
        <v>885.93899999999996</v>
      </c>
      <c r="K11" s="29">
        <v>1008.4589999999999</v>
      </c>
      <c r="L11" s="29">
        <v>1244.213</v>
      </c>
      <c r="M11" s="952">
        <f>'qtrP&amp;L'!AV24</f>
        <v>1453.98</v>
      </c>
      <c r="N11" s="952">
        <f>+'qtrP&amp;L'!AZ24</f>
        <v>1632.2810000000002</v>
      </c>
      <c r="O11" s="952">
        <f>'qtrP&amp;L'!BD24</f>
        <v>1814.7660000000001</v>
      </c>
      <c r="P11" s="952">
        <f>'qtrP&amp;L'!$BH$24</f>
        <v>1766.8389999999999</v>
      </c>
      <c r="Q11" s="952">
        <f>'qtrP&amp;L'!$BL$24</f>
        <v>1763.1433999999999</v>
      </c>
      <c r="R11" s="952">
        <f>'qtrP&amp;L'!$BP$24</f>
        <v>1975.471</v>
      </c>
      <c r="S11" s="952">
        <f>+'qtrP&amp;L'!BT24</f>
        <v>2084.5869999999995</v>
      </c>
      <c r="T11" s="952">
        <f>'qtrP&amp;L'!BX24</f>
        <v>2163.1790000000001</v>
      </c>
      <c r="U11" s="952">
        <f>'qtrP&amp;L'!CB24</f>
        <v>2128.1930000000002</v>
      </c>
      <c r="V11" s="952">
        <f>'qtrP&amp;L'!CF24</f>
        <v>2219.114</v>
      </c>
      <c r="W11" s="952">
        <f>'qtrP&amp;L'!CJ24</f>
        <v>2243</v>
      </c>
      <c r="X11" s="952">
        <f>'qtrP&amp;L'!CN24</f>
        <v>2423.3650000000002</v>
      </c>
      <c r="Y11" s="952">
        <f>'qtrP&amp;L'!CR24</f>
        <v>2452.6299158005886</v>
      </c>
      <c r="Z11" s="952">
        <f>(1-(Z12))*Z7</f>
        <v>2500.5499691519494</v>
      </c>
      <c r="AA11" s="952">
        <f>(1-(AA12))*AA7</f>
        <v>2547.9050739408322</v>
      </c>
      <c r="AB11" s="952">
        <f>(1-(AB12))*AB7</f>
        <v>2552.0344397782437</v>
      </c>
      <c r="AC11" s="952">
        <f>(1-(AC12))*AC7</f>
        <v>2551.7324614195518</v>
      </c>
      <c r="AD11" s="1746"/>
      <c r="AE11" s="1743">
        <f>RATE(5,,-R11,W11)*100</f>
        <v>2.5726847630665892</v>
      </c>
      <c r="AF11" s="1744" t="s">
        <v>697</v>
      </c>
      <c r="AG11" s="1743">
        <f>RATE(6,,-W11,AC11)*100</f>
        <v>2.1725684139351031</v>
      </c>
      <c r="AH11" s="1751" t="s">
        <v>697</v>
      </c>
    </row>
    <row r="12" spans="1:34" ht="12.75">
      <c r="A12" s="1731" t="s">
        <v>731</v>
      </c>
      <c r="B12" s="1584">
        <f t="shared" ref="B12:Y12" si="4">(B7-B11)/B7</f>
        <v>0.26712270401941673</v>
      </c>
      <c r="C12" s="1584">
        <f t="shared" si="4"/>
        <v>0.30255756669648648</v>
      </c>
      <c r="D12" s="1584">
        <f t="shared" si="4"/>
        <v>0.33759578815566665</v>
      </c>
      <c r="E12" s="1584">
        <f t="shared" si="4"/>
        <v>0.39909972770592245</v>
      </c>
      <c r="F12" s="1584">
        <f t="shared" si="4"/>
        <v>0.42844163710305444</v>
      </c>
      <c r="G12" s="1584">
        <f>(G7-G11)/G7</f>
        <v>0.39893385960564326</v>
      </c>
      <c r="H12" s="1584">
        <f>(H7-H11)/H7</f>
        <v>0.39898563961341188</v>
      </c>
      <c r="I12" s="1584">
        <f>(I7-I11)/I7</f>
        <v>0.37077629565434911</v>
      </c>
      <c r="J12" s="1584">
        <f t="shared" si="4"/>
        <v>0.38280842893727063</v>
      </c>
      <c r="K12" s="1584">
        <f t="shared" si="4"/>
        <v>0.46632413355510316</v>
      </c>
      <c r="L12" s="1584">
        <f t="shared" si="4"/>
        <v>0.46415445214004364</v>
      </c>
      <c r="M12" s="1584">
        <f t="shared" si="4"/>
        <v>0.47968246595255021</v>
      </c>
      <c r="N12" s="1584">
        <f t="shared" si="4"/>
        <v>0.46577507045678507</v>
      </c>
      <c r="O12" s="1584">
        <f t="shared" si="4"/>
        <v>0.39282456958592321</v>
      </c>
      <c r="P12" s="1584">
        <f t="shared" si="4"/>
        <v>0.39908933502342808</v>
      </c>
      <c r="Q12" s="1584">
        <f t="shared" si="4"/>
        <v>0.40136930303052937</v>
      </c>
      <c r="R12" s="1584">
        <f t="shared" si="4"/>
        <v>0.36684940858603909</v>
      </c>
      <c r="S12" s="1584">
        <f t="shared" si="4"/>
        <v>0.40025726436661246</v>
      </c>
      <c r="T12" s="1584">
        <f t="shared" si="4"/>
        <v>0.34564169299915715</v>
      </c>
      <c r="U12" s="1584">
        <f t="shared" si="4"/>
        <v>0.35172731639752691</v>
      </c>
      <c r="V12" s="1584">
        <f t="shared" si="4"/>
        <v>0.36990068850217273</v>
      </c>
      <c r="W12" s="1584">
        <f t="shared" si="4"/>
        <v>0.37864712392291683</v>
      </c>
      <c r="X12" s="1584">
        <f t="shared" si="4"/>
        <v>0.36152451200076713</v>
      </c>
      <c r="Y12" s="1584">
        <f t="shared" si="4"/>
        <v>0.36234565097907995</v>
      </c>
      <c r="Z12" s="130">
        <v>0.36099999999999999</v>
      </c>
      <c r="AA12" s="130">
        <v>0.35899999999999999</v>
      </c>
      <c r="AB12" s="130">
        <v>0.35799999999999998</v>
      </c>
      <c r="AC12" s="130">
        <f>AB12</f>
        <v>0.35799999999999998</v>
      </c>
      <c r="AD12" s="1746"/>
      <c r="AE12" s="1738"/>
      <c r="AF12" s="1747"/>
      <c r="AG12" s="1752"/>
      <c r="AH12" s="1751"/>
    </row>
    <row r="13" spans="1:34" ht="12.75" outlineLevel="1">
      <c r="A13" s="1753" t="s">
        <v>565</v>
      </c>
      <c r="B13" s="29">
        <v>39.896000000000001</v>
      </c>
      <c r="C13" s="29">
        <v>43.411999999999999</v>
      </c>
      <c r="D13" s="29">
        <v>49.146000000000001</v>
      </c>
      <c r="E13" s="29">
        <v>59.658999999999999</v>
      </c>
      <c r="F13" s="29">
        <v>77.173000000000002</v>
      </c>
      <c r="G13" s="29">
        <v>103.58</v>
      </c>
      <c r="H13" s="29">
        <v>138.46700000000001</v>
      </c>
      <c r="I13" s="29">
        <v>108.114</v>
      </c>
      <c r="J13" s="29">
        <v>122.119</v>
      </c>
      <c r="K13" s="29">
        <v>142.56</v>
      </c>
      <c r="L13" s="29">
        <v>160.876</v>
      </c>
      <c r="M13" s="29">
        <f>177.197</f>
        <v>177.197</v>
      </c>
      <c r="N13" s="29">
        <f>167.051+17.626</f>
        <v>184.67699999999999</v>
      </c>
      <c r="O13" s="29">
        <f>197.82+11.767</f>
        <v>209.58699999999999</v>
      </c>
      <c r="P13" s="29">
        <v>226.65799999999999</v>
      </c>
      <c r="Q13" s="29">
        <f>229.187+8.182</f>
        <v>237.369</v>
      </c>
      <c r="R13" s="29">
        <f>246.096+7.618</f>
        <v>253.714</v>
      </c>
      <c r="S13" s="29">
        <f>250.844+9.758</f>
        <v>260.60199999999998</v>
      </c>
      <c r="T13" s="29">
        <f>260.668+6.576</f>
        <v>267.24400000000003</v>
      </c>
      <c r="U13" s="29">
        <f>279.64+6.733</f>
        <v>286.37299999999999</v>
      </c>
      <c r="V13" s="29">
        <f>282.3+9.035</f>
        <v>291.33500000000004</v>
      </c>
      <c r="W13" s="29">
        <f>286.85+8.519</f>
        <v>295.36900000000003</v>
      </c>
      <c r="X13" s="29">
        <f>W13*(1.02)*(1+yrSales!Y32)</f>
        <v>300.81376765628431</v>
      </c>
      <c r="Y13" s="29">
        <f>X13*(1.02)*(1+yrSales!Z32)</f>
        <v>307.81665840584321</v>
      </c>
      <c r="Z13" s="29">
        <f>Y13*(1.02)*(1+yrSales!AA32)</f>
        <v>315.87923154169937</v>
      </c>
      <c r="AA13" s="29">
        <f>Z13*(1.02)*(1+yrSales!AB32)</f>
        <v>322.17263253115158</v>
      </c>
      <c r="AB13" s="29">
        <f>AA13*(1.02)*(1+yrSales!AE32)</f>
        <v>328.61608518177462</v>
      </c>
      <c r="AC13" s="29">
        <f>AB13*(1.02)*(1+yrSales!AF32)</f>
        <v>335.18840688541013</v>
      </c>
      <c r="AD13" s="1746"/>
      <c r="AE13" s="1738"/>
      <c r="AF13" s="1747"/>
      <c r="AG13" s="1752"/>
      <c r="AH13" s="1751"/>
    </row>
    <row r="14" spans="1:34" ht="12.75">
      <c r="A14" s="298" t="s">
        <v>430</v>
      </c>
      <c r="B14" s="1584">
        <f>+B13/B7</f>
        <v>0.11722980815284305</v>
      </c>
      <c r="C14" s="1584">
        <f>+C13/yrSales!D112</f>
        <v>0.13300082106836925</v>
      </c>
      <c r="D14" s="1584">
        <f>+D13/yrSales!E112</f>
        <v>0.12113489092042899</v>
      </c>
      <c r="E14" s="1584">
        <f>+E13/yrSales!F112</f>
        <v>0.10152995234853641</v>
      </c>
      <c r="F14" s="1584">
        <f>+F13/yrSales!G112</f>
        <v>9.2744416563314197E-2</v>
      </c>
      <c r="G14" s="1584">
        <f>+G13/yrSales!H112</f>
        <v>9.8923001842271388E-2</v>
      </c>
      <c r="H14" s="1584">
        <f>+H13/yrSales!I112</f>
        <v>0.11173911534789813</v>
      </c>
      <c r="I14" s="1584">
        <f>+I13/yrSales!J7</f>
        <v>7.6282146715106497E-2</v>
      </c>
      <c r="J14" s="1584">
        <f>+J13/yrSales!K7</f>
        <v>8.4693524415473273E-2</v>
      </c>
      <c r="K14" s="1584">
        <f>+K13/yrSales!L7</f>
        <v>7.8448593224564059E-2</v>
      </c>
      <c r="L14" s="1584">
        <f>+L13/yrSales!M7</f>
        <v>7.2565970909740443E-2</v>
      </c>
      <c r="M14" s="1584">
        <f>+M13/yrSales!N7</f>
        <v>6.714528067164606E-2</v>
      </c>
      <c r="N14" s="1584">
        <f>+N13/yrSales!O7</f>
        <v>6.5676500638887539E-2</v>
      </c>
      <c r="O14" s="1584">
        <f>+O13/yrSales!P7</f>
        <v>7.8149691297029755E-2</v>
      </c>
      <c r="P14" s="1584">
        <f>+P13/yrSales!Q7</f>
        <v>8.696646432121935E-2</v>
      </c>
      <c r="Q14" s="1584">
        <f>+Q13/yrSales!R7</f>
        <v>9.0900909663944388E-2</v>
      </c>
      <c r="R14" s="1584">
        <f>+R13/yrSales!S7</f>
        <v>9.2777201810960927E-2</v>
      </c>
      <c r="S14" s="1584">
        <f>+S13/yrSales!T7</f>
        <v>8.6911018512488267E-2</v>
      </c>
      <c r="T14" s="1584">
        <f>+T13/yrSales!U7</f>
        <v>9.6675230957541144E-2</v>
      </c>
      <c r="U14" s="1584">
        <f>+U13/yrSales!V7</f>
        <v>0.10582250737359762</v>
      </c>
      <c r="V14" s="1584">
        <f>+V13/yrSales!W7</f>
        <v>0.10192078814608602</v>
      </c>
      <c r="W14" s="1584">
        <f>+W13/yrSales!X7</f>
        <v>0.10516416653454858</v>
      </c>
      <c r="X14" s="1584">
        <f>+X13/yrSales!Y7</f>
        <v>0.10793428684766974</v>
      </c>
      <c r="Y14" s="1584">
        <f>+Y13/yrSales!Z7</f>
        <v>0.11457865130864053</v>
      </c>
      <c r="Z14" s="1584">
        <f>+Z13/yrSales!AA7</f>
        <v>0.11872408097604892</v>
      </c>
      <c r="AA14" s="1584">
        <f>+AA13/yrSales!AB7</f>
        <v>0.12113332582955133</v>
      </c>
      <c r="AB14" s="1584">
        <f>+AB13/yrSales!AC7</f>
        <v>0.12667670717663437</v>
      </c>
      <c r="AC14" s="1584">
        <f>+AC13/yrSales!AD7</f>
        <v>0.13276831016258392</v>
      </c>
      <c r="AD14" s="1746"/>
      <c r="AE14" s="1738"/>
      <c r="AF14" s="1747"/>
      <c r="AG14" s="1752"/>
      <c r="AH14" s="1751"/>
    </row>
    <row r="15" spans="1:34" ht="12.75">
      <c r="A15" s="298" t="s">
        <v>566</v>
      </c>
      <c r="B15" s="1584">
        <f t="shared" ref="B15:H15" si="5">+B14+B12</f>
        <v>0.3843525121722598</v>
      </c>
      <c r="C15" s="1584">
        <f t="shared" si="5"/>
        <v>0.43555838776485573</v>
      </c>
      <c r="D15" s="1584">
        <f t="shared" si="5"/>
        <v>0.45873067907609566</v>
      </c>
      <c r="E15" s="1584">
        <f t="shared" si="5"/>
        <v>0.50062968005445885</v>
      </c>
      <c r="F15" s="1584">
        <f t="shared" si="5"/>
        <v>0.52118605366636861</v>
      </c>
      <c r="G15" s="1584">
        <f t="shared" si="5"/>
        <v>0.49785686144791463</v>
      </c>
      <c r="H15" s="1584">
        <f t="shared" si="5"/>
        <v>0.51072475496130998</v>
      </c>
      <c r="I15" s="1584">
        <f t="shared" ref="I15:X15" si="6">(I7-(I11-I13))/I7</f>
        <v>0.44466801217380969</v>
      </c>
      <c r="J15" s="1584">
        <f t="shared" si="6"/>
        <v>0.46788292894981037</v>
      </c>
      <c r="K15" s="1584">
        <f t="shared" si="6"/>
        <v>0.54176679559727292</v>
      </c>
      <c r="L15" s="1584">
        <f t="shared" si="6"/>
        <v>0.53343896239473343</v>
      </c>
      <c r="M15" s="1584">
        <f t="shared" si="6"/>
        <v>0.54309372751089768</v>
      </c>
      <c r="N15" s="1584">
        <f t="shared" si="6"/>
        <v>0.52621751713922038</v>
      </c>
      <c r="O15" s="1584">
        <f t="shared" si="6"/>
        <v>0.4629471511937972</v>
      </c>
      <c r="P15" s="1584">
        <f t="shared" si="6"/>
        <v>0.47617683960209078</v>
      </c>
      <c r="Q15" s="1584">
        <f t="shared" si="6"/>
        <v>0.48196193656728326</v>
      </c>
      <c r="R15" s="1584">
        <f t="shared" si="6"/>
        <v>0.44816630422763626</v>
      </c>
      <c r="S15" s="1584">
        <f t="shared" si="6"/>
        <v>0.47523334183017335</v>
      </c>
      <c r="T15" s="1584">
        <f>(T7-(T11-T13))/T7</f>
        <v>0.42648259030637647</v>
      </c>
      <c r="U15" s="1584">
        <f>(U7-(U11-U13))/U7</f>
        <v>0.43895990912821015</v>
      </c>
      <c r="V15" s="1584">
        <f>(V7-(V11-V13))/V7</f>
        <v>0.45262288434935294</v>
      </c>
      <c r="W15" s="1584">
        <f t="shared" si="6"/>
        <v>0.46046985136563284</v>
      </c>
      <c r="X15" s="1584">
        <f t="shared" si="6"/>
        <v>0.44077886167621178</v>
      </c>
      <c r="Y15" s="1584">
        <f>(Y7-(Y11-Y13))/Y7</f>
        <v>0.44237428867491541</v>
      </c>
      <c r="Z15" s="1584">
        <f>(Z7-(Z11-Z13))/Z7</f>
        <v>0.44172097396382015</v>
      </c>
      <c r="AA15" s="1584">
        <f>(AA7-(AA11-AA13))/AA7</f>
        <v>0.44005194324726393</v>
      </c>
      <c r="AB15" s="1584">
        <f>(AB7-(AB11-AB13))/AB7</f>
        <v>0.44066797790747347</v>
      </c>
      <c r="AC15" s="1584">
        <f>(AC7-(AC11-AC13))/AC7</f>
        <v>0.44233131626217609</v>
      </c>
      <c r="AD15" s="1746"/>
      <c r="AE15" s="1738"/>
      <c r="AF15" s="1747"/>
      <c r="AG15" s="1752"/>
      <c r="AH15" s="1751"/>
    </row>
    <row r="16" spans="1:34" ht="12.75">
      <c r="A16" s="1753" t="s">
        <v>427</v>
      </c>
      <c r="B16" s="1584"/>
      <c r="C16" s="1584"/>
      <c r="D16" s="1584"/>
      <c r="E16" s="952">
        <f>E13+17.8977</f>
        <v>77.556700000000006</v>
      </c>
      <c r="F16" s="952">
        <f>F13+23.1519</f>
        <v>100.3249</v>
      </c>
      <c r="G16" s="952">
        <f>G13+31.074</f>
        <v>134.654</v>
      </c>
      <c r="H16" s="952">
        <f>H13+41.5401</f>
        <v>180.00710000000001</v>
      </c>
      <c r="I16" s="952">
        <f>I13+32.4342</f>
        <v>140.54820000000001</v>
      </c>
      <c r="J16" s="952">
        <f>J13+36.6357</f>
        <v>158.75470000000001</v>
      </c>
      <c r="K16" s="952">
        <f>K13+42.768</f>
        <v>185.328</v>
      </c>
      <c r="L16" s="952">
        <f>L13+48.2628</f>
        <v>209.1388</v>
      </c>
      <c r="M16" s="952">
        <f>M13+52.803</f>
        <v>230</v>
      </c>
      <c r="N16" s="952">
        <f>N13+73.1</f>
        <v>257.77699999999999</v>
      </c>
      <c r="O16" s="952">
        <f>O13+82.4833514091727</f>
        <v>292.0703514091727</v>
      </c>
      <c r="P16" s="952">
        <f t="shared" ref="P16:X16" si="7">P13*1.47</f>
        <v>333.18725999999998</v>
      </c>
      <c r="Q16" s="952">
        <f t="shared" si="7"/>
        <v>348.93243000000001</v>
      </c>
      <c r="R16" s="952">
        <f t="shared" si="7"/>
        <v>372.95958000000002</v>
      </c>
      <c r="S16" s="952">
        <f t="shared" si="7"/>
        <v>383.08493999999996</v>
      </c>
      <c r="T16" s="952">
        <f t="shared" si="7"/>
        <v>392.84868000000006</v>
      </c>
      <c r="U16" s="952">
        <f t="shared" si="7"/>
        <v>420.96830999999997</v>
      </c>
      <c r="V16" s="952">
        <f t="shared" si="7"/>
        <v>428.26245000000006</v>
      </c>
      <c r="W16" s="952">
        <f t="shared" si="7"/>
        <v>434.19243000000006</v>
      </c>
      <c r="X16" s="952">
        <f t="shared" si="7"/>
        <v>442.19623845473791</v>
      </c>
      <c r="Y16" s="952">
        <f>Y13*1.47</f>
        <v>452.49048785658954</v>
      </c>
      <c r="Z16" s="952">
        <f>Z13*1.47</f>
        <v>464.34247036629807</v>
      </c>
      <c r="AA16" s="952">
        <f>AA13*1.47</f>
        <v>473.59376982079283</v>
      </c>
      <c r="AB16" s="952">
        <f>AB13*1.47</f>
        <v>483.06564521720867</v>
      </c>
      <c r="AC16" s="952">
        <f>AC13*1.47</f>
        <v>492.72695812155291</v>
      </c>
      <c r="AD16" s="1746"/>
      <c r="AE16" s="1738"/>
      <c r="AF16" s="1747"/>
      <c r="AG16" s="1752"/>
      <c r="AH16" s="1751"/>
    </row>
    <row r="17" spans="1:34" ht="12.75">
      <c r="A17" s="1753" t="s">
        <v>403</v>
      </c>
      <c r="B17" s="1584"/>
      <c r="C17" s="1584"/>
      <c r="D17" s="1584"/>
      <c r="E17" s="1584">
        <f>+E16/yrSales!F112</f>
        <v>0.13198893805309736</v>
      </c>
      <c r="F17" s="1584">
        <f>+F16/yrSales!G112</f>
        <v>0.12056774153230845</v>
      </c>
      <c r="G17" s="1584">
        <f>+G16/yrSales!H112</f>
        <v>0.12859990239495281</v>
      </c>
      <c r="H17" s="1584">
        <f>+H16/yrSales!I112</f>
        <v>0.14526084995226754</v>
      </c>
      <c r="I17" s="1584">
        <f>+I16/yrSales!J112</f>
        <v>9.9166790729638452E-2</v>
      </c>
      <c r="J17" s="1584">
        <f>+J16/yrSales!K112</f>
        <v>0.11010158174011526</v>
      </c>
      <c r="K17" s="1584">
        <f>+K16/yrSales!L112</f>
        <v>0.10198317119193327</v>
      </c>
      <c r="L17" s="1584">
        <f>+L16/yrSales!M112</f>
        <v>9.4335762182662583E-2</v>
      </c>
      <c r="M17" s="1584">
        <f>+M16/yrSales!N112</f>
        <v>8.7153927857009955E-2</v>
      </c>
      <c r="N17" s="1584">
        <f>+N16/yrSales!O112</f>
        <v>9.1672982045357634E-2</v>
      </c>
      <c r="O17" s="1584">
        <f>+O16/yrSales!P112</f>
        <v>0.10890564681798894</v>
      </c>
      <c r="P17" s="1584">
        <f>+P16/yrSales!Q112</f>
        <v>0.12784070255219246</v>
      </c>
      <c r="Q17" s="1584">
        <f>+Q16/yrSales!R112</f>
        <v>0.13362433720599826</v>
      </c>
      <c r="R17" s="1584">
        <f>+R16/yrSales!S112</f>
        <v>0.13638248666211258</v>
      </c>
      <c r="S17" s="1584">
        <f>+S16/yrSales!T112</f>
        <v>0.12775919721335777</v>
      </c>
      <c r="T17" s="1584">
        <f>+T16/yrSales!U112</f>
        <v>0.14211258950758549</v>
      </c>
      <c r="U17" s="1584">
        <f>+U16/yrSales!V112</f>
        <v>0.15555908583918851</v>
      </c>
      <c r="V17" s="1584">
        <f>+V16/yrSales!W112</f>
        <v>0.14982355857474644</v>
      </c>
      <c r="W17" s="1584">
        <f>+W16/yrSales!X112</f>
        <v>0.15459132480578641</v>
      </c>
      <c r="X17" s="1584">
        <f>+X16/yrSales!Y112</f>
        <v>0.15866340166607451</v>
      </c>
      <c r="Y17" s="1584">
        <f>+Y16/yrSales!Z112</f>
        <v>0.16843061742370158</v>
      </c>
      <c r="Z17" s="1584">
        <f>+Z16/yrSales!AA112</f>
        <v>0.17452439903479192</v>
      </c>
      <c r="AA17" s="1584">
        <f>+AA16/yrSales!AB112</f>
        <v>0.17806598896944045</v>
      </c>
      <c r="AB17" s="1584">
        <f>+AB16/yrSales!AC112</f>
        <v>0.18621475954965253</v>
      </c>
      <c r="AC17" s="1584">
        <f>+AC16/yrSales!AD112</f>
        <v>0.19516941593899836</v>
      </c>
      <c r="AD17" s="1746"/>
      <c r="AE17" s="1738"/>
      <c r="AF17" s="1747"/>
      <c r="AG17" s="1752"/>
      <c r="AH17" s="1751"/>
    </row>
    <row r="18" spans="1:34" ht="12.75">
      <c r="A18" s="1731"/>
      <c r="B18" s="1754"/>
      <c r="C18" s="1754"/>
      <c r="D18" s="1754"/>
      <c r="E18" s="1754"/>
      <c r="F18" s="1754"/>
      <c r="G18" s="1754"/>
      <c r="H18" s="1754"/>
      <c r="I18" s="1754"/>
      <c r="J18" s="1754"/>
      <c r="K18" s="1754"/>
      <c r="L18" s="1754"/>
      <c r="M18" s="1754"/>
      <c r="N18" s="1754"/>
      <c r="O18" s="1754"/>
      <c r="P18" s="1754"/>
      <c r="Q18" s="1754"/>
      <c r="R18" s="1754"/>
      <c r="S18" s="1755"/>
      <c r="T18" s="1755"/>
      <c r="U18" s="1755"/>
      <c r="V18" s="1755"/>
      <c r="W18" s="1737"/>
      <c r="X18" s="1755"/>
      <c r="Y18" s="1755"/>
      <c r="Z18" s="1755"/>
      <c r="AA18" s="1755"/>
      <c r="AB18" s="1755"/>
      <c r="AC18" s="1755"/>
      <c r="AD18" s="1746"/>
      <c r="AE18" s="1743"/>
      <c r="AF18" s="1744"/>
      <c r="AG18" s="1743"/>
      <c r="AH18" s="1745"/>
    </row>
    <row r="19" spans="1:34" ht="12.75">
      <c r="A19" s="1731" t="s">
        <v>22</v>
      </c>
      <c r="B19" s="952">
        <f>'qtrP&amp;L'!$C$34</f>
        <v>82.679000000000002</v>
      </c>
      <c r="C19" s="952">
        <f>'qtrP&amp;L'!G$34</f>
        <v>83.81</v>
      </c>
      <c r="D19" s="952">
        <f>'qtrP&amp;L'!K$34</f>
        <v>98.528999999999996</v>
      </c>
      <c r="E19" s="952">
        <f>'qtrP&amp;L'!O$34</f>
        <v>138.84700000000001</v>
      </c>
      <c r="F19" s="952">
        <f>'qtrP&amp;L'!S$34</f>
        <v>194.79499999999999</v>
      </c>
      <c r="G19" s="952">
        <f>'qtrP&amp;L'!W$34</f>
        <v>266.47400000000005</v>
      </c>
      <c r="H19" s="952">
        <f>'qtrP&amp;L'!AB34</f>
        <v>339.02</v>
      </c>
      <c r="I19" s="952">
        <f>'qtrP&amp;L'!AF34</f>
        <v>350.75200000000001</v>
      </c>
      <c r="J19" s="29">
        <v>356.26100000000002</v>
      </c>
      <c r="K19" s="29">
        <v>450.77699999999999</v>
      </c>
      <c r="L19" s="29">
        <v>540.33199999999999</v>
      </c>
      <c r="M19" s="952">
        <f>'qtrP&amp;L'!AV34</f>
        <v>665.60700000000008</v>
      </c>
      <c r="N19" s="952">
        <f>+'qtrP&amp;L'!AZ34</f>
        <v>715.18000000000006</v>
      </c>
      <c r="O19" s="952">
        <f>'qtrP&amp;L'!BD34</f>
        <v>734.04099999999994</v>
      </c>
      <c r="P19" s="952">
        <f>'qtrP&amp;L'!$BH$34</f>
        <v>725.27800000000002</v>
      </c>
      <c r="Q19" s="952">
        <f>'qtrP&amp;L'!$BL$34</f>
        <v>702.92399999999998</v>
      </c>
      <c r="R19" s="952">
        <f>'qtrP&amp;L'!$BP$34</f>
        <v>712.58699999999999</v>
      </c>
      <c r="S19" s="952">
        <f>+'qtrP&amp;L'!BT34</f>
        <v>828.55499999999995</v>
      </c>
      <c r="T19" s="952">
        <f>'qtrP&amp;L'!BX34</f>
        <v>788.66499999999996</v>
      </c>
      <c r="U19" s="952">
        <f>'qtrP&amp;L'!CB34</f>
        <v>806.49799999999993</v>
      </c>
      <c r="V19" s="952">
        <f>'qtrP&amp;L'!CF34</f>
        <v>834.7</v>
      </c>
      <c r="W19" s="952">
        <f>'qtrP&amp;L'!CJ34</f>
        <v>857.5</v>
      </c>
      <c r="X19" s="952">
        <f>'qtrP&amp;L'!CN34</f>
        <v>879.68499999999995</v>
      </c>
      <c r="Y19" s="952">
        <f>'qtrP&amp;L'!CR34</f>
        <v>895.68117492419356</v>
      </c>
      <c r="Z19" s="952">
        <f>Z20*Z7</f>
        <v>913.34642065737864</v>
      </c>
      <c r="AA19" s="952">
        <f>AA20*AA7</f>
        <v>933.30438589907556</v>
      </c>
      <c r="AB19" s="952">
        <f>AB20*AB7</f>
        <v>939.72109277815707</v>
      </c>
      <c r="AC19" s="952">
        <f>AC20*AC7</f>
        <v>961.86799947590578</v>
      </c>
      <c r="AD19" s="1746"/>
      <c r="AE19" s="1743">
        <f>RATE(5,,-R19,W19)*100</f>
        <v>3.7717753319437364</v>
      </c>
      <c r="AF19" s="1744" t="s">
        <v>697</v>
      </c>
      <c r="AG19" s="1743">
        <f>RATE(6,,-W19,AC19)*100</f>
        <v>1.9327070313102102</v>
      </c>
      <c r="AH19" s="1756" t="s">
        <v>697</v>
      </c>
    </row>
    <row r="20" spans="1:34" ht="12.75">
      <c r="A20" s="1731" t="s">
        <v>23</v>
      </c>
      <c r="B20" s="1584">
        <f t="shared" ref="B20:P20" si="8">(B19/B7)</f>
        <v>0.24294273381464082</v>
      </c>
      <c r="C20" s="1584">
        <f t="shared" si="8"/>
        <v>0.25676768667050648</v>
      </c>
      <c r="D20" s="1584">
        <f t="shared" si="8"/>
        <v>0.24285393862163648</v>
      </c>
      <c r="E20" s="1584">
        <f t="shared" si="8"/>
        <v>0.23629509870660315</v>
      </c>
      <c r="F20" s="1584">
        <f t="shared" si="8"/>
        <v>0.23409934335131183</v>
      </c>
      <c r="G20" s="1584">
        <f t="shared" si="8"/>
        <v>0.24369419750026758</v>
      </c>
      <c r="H20" s="1584">
        <f t="shared" si="8"/>
        <v>0.24711731694534361</v>
      </c>
      <c r="I20" s="1584">
        <f>(I19/I7)</f>
        <v>0.23972535797985292</v>
      </c>
      <c r="J20" s="1584">
        <f t="shared" si="8"/>
        <v>0.24819009694615438</v>
      </c>
      <c r="K20" s="1584">
        <f t="shared" si="8"/>
        <v>0.23855090395190212</v>
      </c>
      <c r="L20" s="1584">
        <f t="shared" si="8"/>
        <v>0.23270492798762427</v>
      </c>
      <c r="M20" s="1584">
        <f t="shared" si="8"/>
        <v>0.23819240490565274</v>
      </c>
      <c r="N20" s="1584">
        <f t="shared" si="8"/>
        <v>0.23406936986383867</v>
      </c>
      <c r="O20" s="1584">
        <f t="shared" si="8"/>
        <v>0.24559180639078498</v>
      </c>
      <c r="P20" s="1584">
        <f t="shared" si="8"/>
        <v>0.2466706277554877</v>
      </c>
      <c r="Q20" s="1584">
        <f t="shared" ref="Q20:Y20" si="9">Q19/Q7</f>
        <v>0.23866004548272601</v>
      </c>
      <c r="R20" s="1584">
        <f t="shared" si="9"/>
        <v>0.22838851113678721</v>
      </c>
      <c r="S20" s="1584">
        <f t="shared" si="9"/>
        <v>0.23837807792273555</v>
      </c>
      <c r="T20" s="1584">
        <f t="shared" si="9"/>
        <v>0.23856994460043282</v>
      </c>
      <c r="U20" s="1584">
        <f t="shared" si="9"/>
        <v>0.24566880108149367</v>
      </c>
      <c r="V20" s="1584">
        <f t="shared" si="9"/>
        <v>0.23700625353507593</v>
      </c>
      <c r="W20" s="1584">
        <f t="shared" si="9"/>
        <v>0.23754350924480555</v>
      </c>
      <c r="X20" s="1584">
        <f t="shared" si="9"/>
        <v>0.23176752559379418</v>
      </c>
      <c r="Y20" s="1584">
        <f t="shared" si="9"/>
        <v>0.23286635820885734</v>
      </c>
      <c r="Z20" s="130">
        <v>0.2334</v>
      </c>
      <c r="AA20" s="130">
        <v>0.23480000000000001</v>
      </c>
      <c r="AB20" s="130">
        <v>0.2364</v>
      </c>
      <c r="AC20" s="130">
        <v>0.24199999999999999</v>
      </c>
      <c r="AD20" s="1746"/>
      <c r="AE20" s="1738"/>
      <c r="AF20" s="1747"/>
      <c r="AG20" s="1743"/>
      <c r="AH20" s="1751"/>
    </row>
    <row r="21" spans="1:34" ht="12.75" outlineLevel="1">
      <c r="A21" s="1731" t="s">
        <v>799</v>
      </c>
      <c r="B21" s="1584"/>
      <c r="C21" s="1584"/>
      <c r="D21" s="1584"/>
      <c r="E21" s="1584"/>
      <c r="F21" s="1584"/>
      <c r="G21" s="1584"/>
      <c r="H21" s="1584"/>
      <c r="I21" s="1584"/>
      <c r="J21" s="1584"/>
      <c r="K21" s="1584"/>
      <c r="L21" s="1584"/>
      <c r="M21" s="1584"/>
      <c r="N21" s="1584"/>
      <c r="O21" s="1584"/>
      <c r="P21" s="1584"/>
      <c r="Q21" s="1584">
        <f t="shared" ref="Q21:W21" si="10">Q22/Q7</f>
        <v>2.0609148017141924E-2</v>
      </c>
      <c r="R21" s="1584">
        <f t="shared" si="10"/>
        <v>2.1313658529549865E-2</v>
      </c>
      <c r="S21" s="1584">
        <f t="shared" si="10"/>
        <v>2.5893304624371585E-2</v>
      </c>
      <c r="T21" s="1584">
        <f t="shared" si="10"/>
        <v>2.6317365649848361E-2</v>
      </c>
      <c r="U21" s="1584">
        <f t="shared" si="10"/>
        <v>2.8694430813066749E-2</v>
      </c>
      <c r="V21" s="1584">
        <f t="shared" si="10"/>
        <v>2.9558345504973525E-2</v>
      </c>
      <c r="W21" s="1584">
        <f t="shared" si="10"/>
        <v>3.4488824374318702E-2</v>
      </c>
      <c r="X21" s="130"/>
      <c r="Y21" s="130"/>
      <c r="Z21" s="130"/>
      <c r="AA21" s="130"/>
      <c r="AB21" s="130"/>
      <c r="AC21" s="130"/>
      <c r="AD21" s="1746"/>
      <c r="AE21" s="1738"/>
      <c r="AF21" s="1747"/>
      <c r="AG21" s="1743"/>
      <c r="AH21" s="1751"/>
    </row>
    <row r="22" spans="1:34" ht="12.75" outlineLevel="1">
      <c r="A22" s="1731" t="s">
        <v>668</v>
      </c>
      <c r="B22" s="1584"/>
      <c r="C22" s="1584"/>
      <c r="D22" s="1584"/>
      <c r="E22" s="1584"/>
      <c r="F22" s="29">
        <v>27.2</v>
      </c>
      <c r="G22" s="29">
        <v>36.299999999999997</v>
      </c>
      <c r="H22" s="29">
        <v>45.3</v>
      </c>
      <c r="I22" s="29">
        <v>44.4</v>
      </c>
      <c r="J22" s="29">
        <v>44.8</v>
      </c>
      <c r="K22" s="29">
        <v>41.4</v>
      </c>
      <c r="L22" s="29">
        <v>53.3</v>
      </c>
      <c r="M22" s="29">
        <v>64.3</v>
      </c>
      <c r="N22" s="29">
        <v>74.900000000000006</v>
      </c>
      <c r="O22" s="29">
        <v>70.900000000000006</v>
      </c>
      <c r="P22" s="29">
        <v>60.9</v>
      </c>
      <c r="Q22" s="29">
        <v>60.7</v>
      </c>
      <c r="R22" s="29">
        <v>66.5</v>
      </c>
      <c r="S22" s="29">
        <v>90</v>
      </c>
      <c r="T22" s="29">
        <v>87</v>
      </c>
      <c r="U22" s="29">
        <v>94.2</v>
      </c>
      <c r="V22" s="29">
        <v>104.1</v>
      </c>
      <c r="W22" s="29">
        <v>124.5</v>
      </c>
      <c r="X22" s="130"/>
      <c r="Y22" s="130"/>
      <c r="Z22" s="130"/>
      <c r="AA22" s="130"/>
      <c r="AB22" s="130"/>
      <c r="AC22" s="130"/>
      <c r="AD22" s="1746"/>
      <c r="AE22" s="1738"/>
      <c r="AF22" s="1747"/>
      <c r="AG22" s="1743"/>
      <c r="AH22" s="1751"/>
    </row>
    <row r="23" spans="1:34" ht="12.75">
      <c r="A23" s="1731" t="s">
        <v>100</v>
      </c>
      <c r="B23" s="1584"/>
      <c r="C23" s="1584"/>
      <c r="D23" s="1584"/>
      <c r="E23" s="1584"/>
      <c r="F23" s="1584">
        <f>F19/E19-1</f>
        <v>0.40294712885406225</v>
      </c>
      <c r="G23" s="1584">
        <f t="shared" ref="G23:AC23" si="11">G19/F19-1</f>
        <v>0.36797145717292579</v>
      </c>
      <c r="H23" s="1584">
        <f t="shared" si="11"/>
        <v>0.27224419643192177</v>
      </c>
      <c r="I23" s="1584">
        <f t="shared" si="11"/>
        <v>3.4605627986549647E-2</v>
      </c>
      <c r="J23" s="1584">
        <f t="shared" si="11"/>
        <v>1.5706253991424113E-2</v>
      </c>
      <c r="K23" s="1584">
        <f t="shared" si="11"/>
        <v>0.265299878459893</v>
      </c>
      <c r="L23" s="1584">
        <f t="shared" si="11"/>
        <v>0.19866807756385096</v>
      </c>
      <c r="M23" s="1584">
        <f t="shared" si="11"/>
        <v>0.23184819703441595</v>
      </c>
      <c r="N23" s="1584">
        <f t="shared" si="11"/>
        <v>7.4477882594383704E-2</v>
      </c>
      <c r="O23" s="1584">
        <f>O19/N19-1</f>
        <v>2.6372381778013709E-2</v>
      </c>
      <c r="P23" s="1584">
        <f t="shared" si="11"/>
        <v>-1.1938025260169294E-2</v>
      </c>
      <c r="Q23" s="1584">
        <f t="shared" si="11"/>
        <v>-3.0821285079652316E-2</v>
      </c>
      <c r="R23" s="1584">
        <f t="shared" si="11"/>
        <v>1.3746863103265783E-2</v>
      </c>
      <c r="S23" s="1584">
        <f t="shared" si="11"/>
        <v>0.16274223357989959</v>
      </c>
      <c r="T23" s="1584">
        <f t="shared" si="11"/>
        <v>-4.814405802873678E-2</v>
      </c>
      <c r="U23" s="1584">
        <f t="shared" si="11"/>
        <v>2.2611628511471915E-2</v>
      </c>
      <c r="V23" s="1584">
        <f t="shared" si="11"/>
        <v>3.4968468613685522E-2</v>
      </c>
      <c r="W23" s="1584">
        <f>W19/V19-1</f>
        <v>2.7315203066970106E-2</v>
      </c>
      <c r="X23" s="1584">
        <f t="shared" si="11"/>
        <v>2.5871720116618091E-2</v>
      </c>
      <c r="Y23" s="1584">
        <f t="shared" si="11"/>
        <v>1.8183980543255318E-2</v>
      </c>
      <c r="Z23" s="1584">
        <f t="shared" si="11"/>
        <v>1.9722693998431184E-2</v>
      </c>
      <c r="AA23" s="1584">
        <f t="shared" si="11"/>
        <v>2.1851473647131803E-2</v>
      </c>
      <c r="AB23" s="1584">
        <f t="shared" si="11"/>
        <v>6.8752563215483953E-3</v>
      </c>
      <c r="AC23" s="1584">
        <f t="shared" si="11"/>
        <v>2.3567531758039495E-2</v>
      </c>
      <c r="AD23" s="1746"/>
      <c r="AE23" s="1738"/>
      <c r="AF23" s="1747"/>
      <c r="AG23" s="1743"/>
      <c r="AH23" s="1751"/>
    </row>
    <row r="24" spans="1:34" ht="12.75">
      <c r="A24" s="1731"/>
      <c r="B24" s="952"/>
      <c r="C24" s="952"/>
      <c r="D24" s="952"/>
      <c r="E24" s="952"/>
      <c r="F24" s="952"/>
      <c r="G24" s="952"/>
      <c r="H24" s="952"/>
      <c r="I24" s="952"/>
      <c r="J24" s="1737"/>
      <c r="K24" s="952"/>
      <c r="L24" s="952"/>
      <c r="M24" s="952"/>
      <c r="N24" s="952"/>
      <c r="O24" s="952"/>
      <c r="P24" s="952"/>
      <c r="Q24" s="952"/>
      <c r="R24" s="952"/>
      <c r="S24" s="952"/>
      <c r="T24" s="952"/>
      <c r="U24" s="952"/>
      <c r="V24" s="952"/>
      <c r="W24" s="952"/>
      <c r="X24" s="952"/>
      <c r="Y24" s="952"/>
      <c r="Z24" s="952"/>
      <c r="AA24" s="952"/>
      <c r="AB24" s="952"/>
      <c r="AC24" s="952"/>
      <c r="AD24" s="1746"/>
      <c r="AE24" s="1738"/>
      <c r="AF24" s="1747"/>
      <c r="AG24" s="1743"/>
      <c r="AH24" s="1751"/>
    </row>
    <row r="25" spans="1:34" ht="14.25">
      <c r="A25" s="1731" t="s">
        <v>636</v>
      </c>
      <c r="B25" s="952"/>
      <c r="C25" s="952"/>
      <c r="D25" s="952"/>
      <c r="E25" s="952"/>
      <c r="F25" s="496"/>
      <c r="G25" s="496"/>
      <c r="H25" s="496">
        <f>11.785/(1-H43)</f>
        <v>18.906605289350193</v>
      </c>
      <c r="I25" s="496">
        <f>7.897/(1-I43)</f>
        <v>12.780885344001803</v>
      </c>
      <c r="J25" s="496">
        <f>13.696/(1-J43)</f>
        <v>22.294974635414167</v>
      </c>
      <c r="K25" s="496">
        <f>9.647/(1-K43)</f>
        <v>15.782124072389312</v>
      </c>
      <c r="L25" s="496">
        <v>18</v>
      </c>
      <c r="M25" s="496">
        <f>12.6</f>
        <v>12.6</v>
      </c>
      <c r="N25" s="496">
        <f t="shared" ref="N25:S25" si="12">+M25</f>
        <v>12.6</v>
      </c>
      <c r="O25" s="496">
        <f t="shared" si="12"/>
        <v>12.6</v>
      </c>
      <c r="P25" s="496">
        <f t="shared" si="12"/>
        <v>12.6</v>
      </c>
      <c r="Q25" s="496">
        <f t="shared" si="12"/>
        <v>12.6</v>
      </c>
      <c r="R25" s="496">
        <f t="shared" si="12"/>
        <v>12.6</v>
      </c>
      <c r="S25" s="496">
        <f t="shared" si="12"/>
        <v>12.6</v>
      </c>
      <c r="T25" s="496">
        <f t="shared" ref="T25:AC25" si="13">+S25</f>
        <v>12.6</v>
      </c>
      <c r="U25" s="496">
        <f t="shared" si="13"/>
        <v>12.6</v>
      </c>
      <c r="V25" s="496">
        <f t="shared" si="13"/>
        <v>12.6</v>
      </c>
      <c r="W25" s="496">
        <f t="shared" si="13"/>
        <v>12.6</v>
      </c>
      <c r="X25" s="496">
        <f t="shared" si="13"/>
        <v>12.6</v>
      </c>
      <c r="Y25" s="496">
        <f t="shared" si="13"/>
        <v>12.6</v>
      </c>
      <c r="Z25" s="496">
        <f t="shared" si="13"/>
        <v>12.6</v>
      </c>
      <c r="AA25" s="496">
        <f t="shared" si="13"/>
        <v>12.6</v>
      </c>
      <c r="AB25" s="496">
        <f t="shared" si="13"/>
        <v>12.6</v>
      </c>
      <c r="AC25" s="496">
        <f t="shared" si="13"/>
        <v>12.6</v>
      </c>
      <c r="AD25" s="1746"/>
      <c r="AE25" s="1738"/>
      <c r="AF25" s="1747"/>
      <c r="AG25" s="1743"/>
      <c r="AH25" s="1751"/>
    </row>
    <row r="26" spans="1:34" ht="12.75">
      <c r="A26" s="1731" t="s">
        <v>731</v>
      </c>
      <c r="B26" s="952"/>
      <c r="C26" s="952"/>
      <c r="D26" s="952"/>
      <c r="E26" s="952"/>
      <c r="F26" s="952"/>
      <c r="G26" s="564"/>
      <c r="H26" s="564">
        <f>(H25/H7)</f>
        <v>1.3781339070405468E-2</v>
      </c>
      <c r="I26" s="564">
        <f>(I25/I7)</f>
        <v>8.7352383290481249E-3</v>
      </c>
      <c r="J26" s="564">
        <f>(J25/J7)</f>
        <v>1.5531848605868996E-2</v>
      </c>
      <c r="K26" s="564">
        <f>(K25/K7)</f>
        <v>8.3518901003146687E-3</v>
      </c>
      <c r="L26" s="564">
        <v>8.0000000000000002E-3</v>
      </c>
      <c r="M26" s="1584">
        <v>8.0000000000000002E-3</v>
      </c>
      <c r="N26" s="1584">
        <v>8.0000000000000002E-3</v>
      </c>
      <c r="O26" s="1584">
        <v>8.0000000000000002E-3</v>
      </c>
      <c r="P26" s="1584">
        <v>8.0000000000000002E-3</v>
      </c>
      <c r="Q26" s="1584">
        <v>8.0000000000000002E-3</v>
      </c>
      <c r="R26" s="1584">
        <v>8.0000000000000002E-3</v>
      </c>
      <c r="S26" s="1584">
        <v>8.0000000000000002E-3</v>
      </c>
      <c r="T26" s="1584">
        <v>8.0000000000000002E-3</v>
      </c>
      <c r="U26" s="1584">
        <v>8.0000000000000002E-3</v>
      </c>
      <c r="V26" s="1584">
        <v>8.0000000000000002E-3</v>
      </c>
      <c r="W26" s="1584">
        <v>8.0000000000000002E-3</v>
      </c>
      <c r="X26" s="1584">
        <v>8.0000000000000002E-3</v>
      </c>
      <c r="Y26" s="1584">
        <v>8.0000000000000002E-3</v>
      </c>
      <c r="Z26" s="1584">
        <v>8.0000000000000002E-3</v>
      </c>
      <c r="AA26" s="1584">
        <v>8.0000000000000002E-3</v>
      </c>
      <c r="AB26" s="1584">
        <v>8.0000000000000002E-3</v>
      </c>
      <c r="AC26" s="1584">
        <v>8.0000000000000002E-3</v>
      </c>
      <c r="AD26" s="1746"/>
      <c r="AE26" s="1738"/>
      <c r="AF26" s="1747"/>
      <c r="AG26" s="1743"/>
      <c r="AH26" s="1751"/>
    </row>
    <row r="27" spans="1:34" ht="12.75">
      <c r="A27" s="1731"/>
      <c r="B27" s="952"/>
      <c r="C27" s="952"/>
      <c r="D27" s="952"/>
      <c r="E27" s="952"/>
      <c r="F27" s="952"/>
      <c r="G27" s="952"/>
      <c r="H27" s="952"/>
      <c r="I27" s="952"/>
      <c r="J27" s="1737"/>
      <c r="K27" s="952"/>
      <c r="L27" s="952"/>
      <c r="M27" s="952"/>
      <c r="N27" s="952"/>
      <c r="O27" s="952"/>
      <c r="P27" s="952"/>
      <c r="Q27" s="952"/>
      <c r="R27" s="952"/>
      <c r="S27" s="952"/>
      <c r="T27" s="952"/>
      <c r="U27" s="952"/>
      <c r="V27" s="952"/>
      <c r="W27" s="952"/>
      <c r="X27" s="952"/>
      <c r="Y27" s="952"/>
      <c r="Z27" s="952"/>
      <c r="AA27" s="952"/>
      <c r="AB27" s="952"/>
      <c r="AC27" s="952"/>
      <c r="AD27" s="1746"/>
      <c r="AE27" s="1738"/>
      <c r="AF27" s="1747"/>
      <c r="AG27" s="1743"/>
      <c r="AH27" s="1751"/>
    </row>
    <row r="28" spans="1:34" ht="12.75">
      <c r="A28" s="1731" t="s">
        <v>24</v>
      </c>
      <c r="B28" s="952">
        <f>'qtrP&amp;L'!$C$54</f>
        <v>6.2210000000000001</v>
      </c>
      <c r="C28" s="952">
        <f>'qtrP&amp;L'!G$54</f>
        <v>6.0869999999999997</v>
      </c>
      <c r="D28" s="952">
        <f>'qtrP&amp;L'!K$54</f>
        <v>7.3179999999999987</v>
      </c>
      <c r="E28" s="952">
        <f>'qtrP&amp;L'!O$54</f>
        <v>8.6110000000000007</v>
      </c>
      <c r="F28" s="952">
        <f>'qtrP&amp;L'!S$54</f>
        <v>12.199</v>
      </c>
      <c r="G28" s="952">
        <f>'qtrP&amp;L'!W$54</f>
        <v>23.2</v>
      </c>
      <c r="H28" s="952">
        <f>'qtrP&amp;L'!AB54</f>
        <v>41.875</v>
      </c>
      <c r="I28" s="952">
        <f>'qtrP&amp;L'!AF54</f>
        <v>50.661000000000001</v>
      </c>
      <c r="J28" s="29">
        <v>59.965000000000003</v>
      </c>
      <c r="K28" s="29">
        <v>69.442999999999998</v>
      </c>
      <c r="L28" s="29">
        <v>78.727999999999994</v>
      </c>
      <c r="M28" s="952">
        <f>'qtrP&amp;L'!AV54</f>
        <v>88.033000000000001</v>
      </c>
      <c r="N28" s="952">
        <f>+'qtrP&amp;L'!AZ54</f>
        <v>109.203</v>
      </c>
      <c r="O28" s="952">
        <f>'qtrP&amp;L'!BD54</f>
        <v>131.21899999999999</v>
      </c>
      <c r="P28" s="952">
        <f>'qtrP&amp;L'!$BH$54</f>
        <v>137.76000000000002</v>
      </c>
      <c r="Q28" s="952">
        <f>'qtrP&amp;L'!$BL$54</f>
        <v>139.67499999999998</v>
      </c>
      <c r="R28" s="952">
        <f>'qtrP&amp;L'!$BP$54</f>
        <v>137.95799999999997</v>
      </c>
      <c r="S28" s="952">
        <f>+'qtrP&amp;L'!BT54</f>
        <v>125.536</v>
      </c>
      <c r="T28" s="952">
        <f>'qtrP&amp;L'!BX54</f>
        <v>120.25</v>
      </c>
      <c r="U28" s="952">
        <f>'qtrP&amp;L'!CB54</f>
        <v>141.19099999999997</v>
      </c>
      <c r="V28" s="952">
        <f>'qtrP&amp;L'!CF54</f>
        <v>148.154</v>
      </c>
      <c r="W28" s="952">
        <f>'qtrP&amp;L'!CJ54</f>
        <v>156.72199999999998</v>
      </c>
      <c r="X28" s="952">
        <f>'qtrP&amp;L'!CN54</f>
        <v>167.42099999999999</v>
      </c>
      <c r="Y28" s="952">
        <f>'qtrP&amp;L'!CR54</f>
        <v>178.04414514290619</v>
      </c>
      <c r="Z28" s="952">
        <f>+Z29*Z7</f>
        <v>178.83432486736163</v>
      </c>
      <c r="AA28" s="952">
        <f>+AA29*AA7</f>
        <v>186.81987281625447</v>
      </c>
      <c r="AB28" s="952">
        <f>+AB29*AB7</f>
        <v>190.80631325444813</v>
      </c>
      <c r="AC28" s="952">
        <f>+AC29*AC7</f>
        <v>190.78373543323752</v>
      </c>
      <c r="AD28" s="1746"/>
      <c r="AE28" s="1743">
        <f>RATE(5,,-R28,W28)*100</f>
        <v>2.5832880352332648</v>
      </c>
      <c r="AF28" s="1744" t="s">
        <v>697</v>
      </c>
      <c r="AG28" s="1743">
        <f>RATE(6,,-W28,AC28)*100</f>
        <v>3.3320940161214674</v>
      </c>
      <c r="AH28" s="1751" t="s">
        <v>697</v>
      </c>
    </row>
    <row r="29" spans="1:34" ht="12.75">
      <c r="A29" s="1731" t="s">
        <v>731</v>
      </c>
      <c r="B29" s="1584">
        <f t="shared" ref="B29:I29" si="14">B28/B7</f>
        <v>1.8279693115070095E-2</v>
      </c>
      <c r="C29" s="1584">
        <f t="shared" si="14"/>
        <v>1.8648668521219103E-2</v>
      </c>
      <c r="D29" s="1584">
        <f t="shared" si="14"/>
        <v>1.8037381104376738E-2</v>
      </c>
      <c r="E29" s="1584">
        <f t="shared" si="14"/>
        <v>1.4654526889040164E-2</v>
      </c>
      <c r="F29" s="1584">
        <f t="shared" si="14"/>
        <v>1.4660427062001864E-2</v>
      </c>
      <c r="G29" s="1584">
        <f t="shared" si="14"/>
        <v>2.1216724265805318E-2</v>
      </c>
      <c r="H29" s="1584">
        <f t="shared" si="14"/>
        <v>3.0523384010047384E-2</v>
      </c>
      <c r="I29" s="1584">
        <f t="shared" si="14"/>
        <v>3.4624824265057162E-2</v>
      </c>
      <c r="J29" s="1584">
        <f t="shared" ref="J29:X29" si="15">J28/J7</f>
        <v>4.1774763904486166E-2</v>
      </c>
      <c r="K29" s="1584">
        <f t="shared" si="15"/>
        <v>3.6749191780263722E-2</v>
      </c>
      <c r="L29" s="1584">
        <f t="shared" si="15"/>
        <v>3.3905808966727277E-2</v>
      </c>
      <c r="M29" s="1584">
        <f t="shared" si="15"/>
        <v>3.1503262407185206E-2</v>
      </c>
      <c r="N29" s="1584">
        <f t="shared" si="15"/>
        <v>3.5740760923460908E-2</v>
      </c>
      <c r="O29" s="1584">
        <f t="shared" si="15"/>
        <v>4.3902603863806539E-2</v>
      </c>
      <c r="P29" s="1584">
        <f t="shared" si="15"/>
        <v>4.6852855980184134E-2</v>
      </c>
      <c r="Q29" s="1584">
        <f t="shared" si="15"/>
        <v>4.7423109543563387E-2</v>
      </c>
      <c r="R29" s="1584">
        <f t="shared" si="15"/>
        <v>4.4216386517588566E-2</v>
      </c>
      <c r="S29" s="1584">
        <f t="shared" si="15"/>
        <v>3.6117132103612351E-2</v>
      </c>
      <c r="T29" s="1584">
        <f t="shared" si="15"/>
        <v>3.6375439303382356E-2</v>
      </c>
      <c r="U29" s="1584">
        <f t="shared" si="15"/>
        <v>4.3008443534264397E-2</v>
      </c>
      <c r="V29" s="1584">
        <f t="shared" si="15"/>
        <v>4.2067119307817938E-2</v>
      </c>
      <c r="W29" s="1584">
        <f t="shared" si="15"/>
        <v>4.3414919948529924E-2</v>
      </c>
      <c r="X29" s="1584">
        <f t="shared" si="15"/>
        <v>4.4109824428560929E-2</v>
      </c>
      <c r="Y29" s="1584">
        <v>4.4999999999999998E-2</v>
      </c>
      <c r="Z29" s="130">
        <v>4.5699999999999998E-2</v>
      </c>
      <c r="AA29" s="130">
        <v>4.7E-2</v>
      </c>
      <c r="AB29" s="130">
        <v>4.8000000000000001E-2</v>
      </c>
      <c r="AC29" s="130">
        <v>4.8000000000000001E-2</v>
      </c>
      <c r="AD29" s="1746"/>
      <c r="AE29" s="1743"/>
      <c r="AF29" s="1747"/>
      <c r="AG29" s="1743"/>
      <c r="AH29" s="1751"/>
    </row>
    <row r="30" spans="1:34" ht="12.75">
      <c r="A30" s="1731"/>
      <c r="B30" s="1584"/>
      <c r="C30" s="1584"/>
      <c r="D30" s="1584"/>
      <c r="E30" s="1584"/>
      <c r="F30" s="1584"/>
      <c r="G30" s="1584"/>
      <c r="H30" s="1584"/>
      <c r="I30" s="1584"/>
      <c r="J30" s="1584"/>
      <c r="K30" s="1584"/>
      <c r="L30" s="1682"/>
      <c r="M30" s="1682"/>
      <c r="N30" s="1757"/>
      <c r="O30" s="1757"/>
      <c r="P30" s="1757"/>
      <c r="Q30" s="1757"/>
      <c r="R30" s="1584"/>
      <c r="S30" s="1584"/>
      <c r="T30" s="1584"/>
      <c r="U30" s="1584"/>
      <c r="V30" s="1584"/>
      <c r="W30" s="1584"/>
      <c r="X30" s="1584"/>
      <c r="Y30" s="1584"/>
      <c r="Z30" s="1584"/>
      <c r="AA30" s="1584"/>
      <c r="AB30" s="1584"/>
      <c r="AC30" s="1584"/>
      <c r="AD30" s="1746"/>
      <c r="AE30" s="1738"/>
      <c r="AF30" s="1747"/>
      <c r="AG30" s="1743"/>
      <c r="AH30" s="1751"/>
    </row>
    <row r="31" spans="1:34" ht="12.75" hidden="1" customHeight="1" outlineLevel="1">
      <c r="A31" s="1753" t="s">
        <v>583</v>
      </c>
      <c r="B31" s="1584"/>
      <c r="C31" s="1584"/>
      <c r="D31" s="1584"/>
      <c r="E31" s="1584"/>
      <c r="F31" s="1584"/>
      <c r="G31" s="1584"/>
      <c r="H31" s="1584"/>
      <c r="I31" s="952"/>
      <c r="J31" s="952"/>
      <c r="K31" s="29">
        <v>-14.12</v>
      </c>
      <c r="L31" s="1584"/>
      <c r="M31" s="1584"/>
      <c r="N31" s="1584"/>
      <c r="O31" s="1584"/>
      <c r="P31" s="1584"/>
      <c r="Q31" s="1584"/>
      <c r="R31" s="1584"/>
      <c r="S31" s="1584"/>
      <c r="T31" s="1584"/>
      <c r="U31" s="1584"/>
      <c r="V31" s="1584"/>
      <c r="W31" s="1584"/>
      <c r="X31" s="1584"/>
      <c r="Y31" s="1584"/>
      <c r="Z31" s="1584"/>
      <c r="AA31" s="1584"/>
      <c r="AB31" s="1584"/>
      <c r="AC31" s="1584"/>
      <c r="AD31" s="1746"/>
      <c r="AE31" s="1738"/>
      <c r="AF31" s="1747"/>
      <c r="AG31" s="1743"/>
      <c r="AH31" s="1751"/>
    </row>
    <row r="32" spans="1:34" ht="12.75" hidden="1" customHeight="1" outlineLevel="1">
      <c r="A32" s="1753"/>
      <c r="B32" s="1584"/>
      <c r="C32" s="1584"/>
      <c r="D32" s="1584"/>
      <c r="E32" s="1584"/>
      <c r="F32" s="1584"/>
      <c r="G32" s="1584"/>
      <c r="H32" s="1584"/>
      <c r="I32" s="952"/>
      <c r="J32" s="952"/>
      <c r="K32" s="29"/>
      <c r="L32" s="1584"/>
      <c r="M32" s="1584"/>
      <c r="N32" s="1584"/>
      <c r="O32" s="1584"/>
      <c r="P32" s="1584"/>
      <c r="Q32" s="1584"/>
      <c r="R32" s="1584"/>
      <c r="S32" s="1584"/>
      <c r="T32" s="1584"/>
      <c r="U32" s="1584"/>
      <c r="V32" s="1584"/>
      <c r="W32" s="1584"/>
      <c r="X32" s="1584"/>
      <c r="Y32" s="1584"/>
      <c r="Z32" s="1584"/>
      <c r="AA32" s="1584"/>
      <c r="AB32" s="1584"/>
      <c r="AC32" s="1584"/>
      <c r="AD32" s="1746"/>
      <c r="AE32" s="1738"/>
      <c r="AF32" s="1747"/>
      <c r="AG32" s="1743"/>
      <c r="AH32" s="1751"/>
    </row>
    <row r="33" spans="1:34" ht="12.75" collapsed="1">
      <c r="A33" s="1731" t="s">
        <v>173</v>
      </c>
      <c r="B33" s="952">
        <f>B7-B11-B19-B28-'qtrP&amp;L'!C102</f>
        <v>-1.0730000000000435</v>
      </c>
      <c r="C33" s="952">
        <f t="shared" ref="C33:H33" si="16">C7-C11-C19-C28</f>
        <v>8.8589999999999698</v>
      </c>
      <c r="D33" s="952">
        <f t="shared" si="16"/>
        <v>31.11999999999999</v>
      </c>
      <c r="E33" s="952">
        <f t="shared" si="16"/>
        <v>87.053000000000011</v>
      </c>
      <c r="F33" s="952">
        <f t="shared" si="16"/>
        <v>149.51400000000004</v>
      </c>
      <c r="G33" s="952">
        <f t="shared" si="16"/>
        <v>146.55099999999987</v>
      </c>
      <c r="H33" s="952">
        <f t="shared" si="16"/>
        <v>166.47300000000018</v>
      </c>
      <c r="I33" s="952">
        <f>I7-I11-I19-I28-I31</f>
        <v>141.08500000000004</v>
      </c>
      <c r="J33" s="952">
        <f>J7-J11-J19-J28-J31</f>
        <v>133.27099999999993</v>
      </c>
      <c r="K33" s="952">
        <f t="shared" ref="K33:Q33" si="17">K7-K11-K19-K28</f>
        <v>360.96800000000002</v>
      </c>
      <c r="L33" s="952">
        <f t="shared" si="17"/>
        <v>458.68900000000002</v>
      </c>
      <c r="M33" s="952">
        <f t="shared" si="17"/>
        <v>586.78899999999953</v>
      </c>
      <c r="N33" s="952">
        <f t="shared" si="17"/>
        <v>598.75499999999965</v>
      </c>
      <c r="O33" s="952">
        <f t="shared" si="17"/>
        <v>308.83999999999997</v>
      </c>
      <c r="P33" s="952">
        <f t="shared" si="17"/>
        <v>310.39199999999983</v>
      </c>
      <c r="Q33" s="952">
        <f t="shared" si="17"/>
        <v>339.55160000000001</v>
      </c>
      <c r="R33" s="952">
        <f t="shared" ref="R33:X33" si="18">R7-R11-R19-R28</f>
        <v>294.04900000000009</v>
      </c>
      <c r="S33" s="952">
        <f t="shared" si="18"/>
        <v>437.12400000000019</v>
      </c>
      <c r="T33" s="952">
        <f t="shared" si="18"/>
        <v>233.70799999999963</v>
      </c>
      <c r="U33" s="952">
        <f>U7-U11-U19-U28</f>
        <v>206.98500000000007</v>
      </c>
      <c r="V33" s="952">
        <f t="shared" si="18"/>
        <v>319.87999999999988</v>
      </c>
      <c r="W33" s="952">
        <f t="shared" si="18"/>
        <v>352.64300000000026</v>
      </c>
      <c r="X33" s="952">
        <f t="shared" si="18"/>
        <v>325.0779999999998</v>
      </c>
      <c r="Y33" s="952">
        <f>Y7-Y11-Y19-Y28</f>
        <v>319.97611836278844</v>
      </c>
      <c r="Z33" s="952">
        <f>Z7-Z11-Z19-Z28</f>
        <v>320.49302421524965</v>
      </c>
      <c r="AA33" s="952">
        <f>AA7-AA11-AA19-AA28</f>
        <v>306.86157832797528</v>
      </c>
      <c r="AB33" s="952">
        <f>AB7-AB11-AB19-AB28</f>
        <v>292.5696803234872</v>
      </c>
      <c r="AC33" s="952">
        <f>AC7-AC11-AC19-AC28</f>
        <v>270.27695853041985</v>
      </c>
      <c r="AD33" s="1746"/>
      <c r="AE33" s="1743">
        <f>RATE(5,,-R33,W33)*100</f>
        <v>3.7010400621770585</v>
      </c>
      <c r="AF33" s="1744" t="s">
        <v>697</v>
      </c>
      <c r="AG33" s="1743">
        <f>RATE(6,,-W33,AC33)*100</f>
        <v>-4.3366410273649665</v>
      </c>
      <c r="AH33" s="1745" t="s">
        <v>697</v>
      </c>
    </row>
    <row r="34" spans="1:34" ht="12.75">
      <c r="A34" s="1731" t="s">
        <v>589</v>
      </c>
      <c r="B34" s="1584">
        <f t="shared" ref="B34:V34" si="19">B33/B7</f>
        <v>-3.1528871101866272E-3</v>
      </c>
      <c r="C34" s="1584">
        <f t="shared" si="19"/>
        <v>2.7141211504760877E-2</v>
      </c>
      <c r="D34" s="1584">
        <f t="shared" si="19"/>
        <v>7.6704468429653463E-2</v>
      </c>
      <c r="E34" s="1584">
        <f t="shared" si="19"/>
        <v>0.14815010211027912</v>
      </c>
      <c r="F34" s="1584">
        <f t="shared" si="19"/>
        <v>0.17968186668974073</v>
      </c>
      <c r="G34" s="1584">
        <f t="shared" si="19"/>
        <v>0.13402293783957037</v>
      </c>
      <c r="H34" s="1584">
        <f t="shared" si="19"/>
        <v>0.12134493865802087</v>
      </c>
      <c r="I34" s="1584">
        <f t="shared" si="19"/>
        <v>9.6426113409439032E-2</v>
      </c>
      <c r="J34" s="1584">
        <f t="shared" si="19"/>
        <v>9.2843568086630079E-2</v>
      </c>
      <c r="K34" s="1584">
        <f t="shared" si="19"/>
        <v>0.19102403782293731</v>
      </c>
      <c r="L34" s="1584">
        <f t="shared" si="19"/>
        <v>0.19754371518569211</v>
      </c>
      <c r="M34" s="1584">
        <f t="shared" si="19"/>
        <v>0.20998679863971223</v>
      </c>
      <c r="N34" s="1584">
        <f t="shared" si="19"/>
        <v>0.1959649396694855</v>
      </c>
      <c r="O34" s="1584">
        <f t="shared" si="19"/>
        <v>0.10333015933133168</v>
      </c>
      <c r="P34" s="1584">
        <f t="shared" si="19"/>
        <v>0.10556585128775628</v>
      </c>
      <c r="Q34" s="1584">
        <f t="shared" si="19"/>
        <v>0.11528614800423999</v>
      </c>
      <c r="R34" s="1584">
        <f t="shared" si="19"/>
        <v>9.4244510931663306E-2</v>
      </c>
      <c r="S34" s="1584">
        <f t="shared" si="19"/>
        <v>0.12576205434026455</v>
      </c>
      <c r="T34" s="1584">
        <f t="shared" si="19"/>
        <v>7.0696309095341969E-2</v>
      </c>
      <c r="U34" s="1584">
        <f t="shared" si="19"/>
        <v>6.3050071781768816E-2</v>
      </c>
      <c r="V34" s="1584">
        <f t="shared" si="19"/>
        <v>9.0827315659278846E-2</v>
      </c>
      <c r="W34" s="1584">
        <f t="shared" ref="W34:AB34" si="20">W33/W7</f>
        <v>9.768869472958136E-2</v>
      </c>
      <c r="X34" s="1584">
        <f t="shared" si="20"/>
        <v>8.5647161978412031E-2</v>
      </c>
      <c r="Y34" s="1584">
        <f t="shared" si="20"/>
        <v>8.3189951383376079E-2</v>
      </c>
      <c r="Z34" s="1584">
        <f t="shared" si="20"/>
        <v>8.1899999999999959E-2</v>
      </c>
      <c r="AA34" s="1584">
        <f t="shared" si="20"/>
        <v>7.7199999999999963E-2</v>
      </c>
      <c r="AB34" s="1584">
        <f t="shared" si="20"/>
        <v>7.3600000000000013E-2</v>
      </c>
      <c r="AC34" s="1584">
        <f>AC33/AC7</f>
        <v>6.8000000000000005E-2</v>
      </c>
      <c r="AD34" s="1746"/>
      <c r="AE34" s="125"/>
      <c r="AF34" s="1747"/>
      <c r="AG34" s="1743"/>
      <c r="AH34" s="1751"/>
    </row>
    <row r="35" spans="1:34" ht="12.75">
      <c r="A35" s="1731"/>
      <c r="B35" s="952"/>
      <c r="C35" s="952"/>
      <c r="D35" s="952"/>
      <c r="E35" s="952"/>
      <c r="F35" s="952"/>
      <c r="G35" s="952"/>
      <c r="H35" s="952"/>
      <c r="I35" s="952"/>
      <c r="J35" s="952"/>
      <c r="K35" s="1731"/>
      <c r="L35" s="952"/>
      <c r="M35" s="952"/>
      <c r="N35" s="952"/>
      <c r="O35" s="952"/>
      <c r="P35" s="952"/>
      <c r="Q35" s="952"/>
      <c r="R35" s="952"/>
      <c r="S35" s="952"/>
      <c r="T35" s="952"/>
      <c r="U35" s="952"/>
      <c r="V35" s="952"/>
      <c r="W35" s="952"/>
      <c r="X35" s="952"/>
      <c r="Y35" s="952"/>
      <c r="Z35" s="952"/>
      <c r="AA35" s="952"/>
      <c r="AB35" s="952"/>
      <c r="AC35" s="952"/>
      <c r="AD35" s="1746"/>
      <c r="AE35" s="125"/>
      <c r="AF35" s="1747"/>
      <c r="AG35" s="1743"/>
      <c r="AH35" s="1751"/>
    </row>
    <row r="36" spans="1:34" ht="12.75">
      <c r="A36" s="1731" t="s">
        <v>176</v>
      </c>
      <c r="B36" s="952">
        <f>'qtrP&amp;L'!$C$84</f>
        <v>1.3660000000000001</v>
      </c>
      <c r="C36" s="952">
        <f>'qtrP&amp;L'!$G$84</f>
        <v>-0.97299999999999986</v>
      </c>
      <c r="D36" s="952">
        <f>'qtrP&amp;L'!K$84</f>
        <v>-1.1579999999999999</v>
      </c>
      <c r="E36" s="952">
        <f>'qtrP&amp;L'!O$84</f>
        <v>-2.4359999999999999</v>
      </c>
      <c r="F36" s="952">
        <f>'qtrP&amp;L'!S$84</f>
        <v>0.1599999999999997</v>
      </c>
      <c r="G36" s="952">
        <f>'qtrP&amp;L'!W$84</f>
        <v>-6.2490000000000006</v>
      </c>
      <c r="H36" s="952">
        <f>'qtrP&amp;L'!AB84</f>
        <v>-2.7719999999999998</v>
      </c>
      <c r="I36" s="952">
        <f>'qtrP&amp;L'!AF84</f>
        <v>-2.528</v>
      </c>
      <c r="J36" s="29">
        <v>-2.016</v>
      </c>
      <c r="K36" s="29">
        <v>-5.867</v>
      </c>
      <c r="L36" s="29">
        <v>-18.277999999999999</v>
      </c>
      <c r="M36" s="952">
        <f>'qtrP&amp;L'!AV84</f>
        <v>-42.277999999999992</v>
      </c>
      <c r="N36" s="952">
        <f>+'qtrP&amp;L'!AZ84</f>
        <v>-37.626000000000005</v>
      </c>
      <c r="O36" s="952">
        <f>'qtrP&amp;L'!BD84</f>
        <v>-17.805999999999997</v>
      </c>
      <c r="P36" s="952">
        <f>'qtrP&amp;L'!$BH$84</f>
        <v>3.2679999999999998</v>
      </c>
      <c r="Q36" s="952">
        <f>'qtrP&amp;L'!$BL$84</f>
        <v>-2.024</v>
      </c>
      <c r="R36" s="952">
        <f>'qtrP&amp;L'!$BP$84</f>
        <v>-5.8739999999999997</v>
      </c>
      <c r="S36" s="952">
        <f>+'qtrP&amp;L'!BT84</f>
        <v>-7.4320000000000004</v>
      </c>
      <c r="T36" s="952">
        <f>'qtrP&amp;L'!BX84</f>
        <v>-2.5369999999999999</v>
      </c>
      <c r="U36" s="952">
        <f>'qtrP&amp;L'!CB84</f>
        <v>-3.6080000000000001</v>
      </c>
      <c r="V36" s="952">
        <f>'qtrP&amp;L'!CF84</f>
        <v>-1.9919999999999995</v>
      </c>
      <c r="W36" s="952">
        <f>'qtrP&amp;L'!CJ84</f>
        <v>-3.7839999999999998</v>
      </c>
      <c r="X36" s="952">
        <f>'qtrP&amp;L'!CN84</f>
        <v>7.6509999999999998</v>
      </c>
      <c r="Y36" s="952">
        <f>'qtrP&amp;L'!CR84</f>
        <v>-2</v>
      </c>
      <c r="Z36" s="952">
        <f>Z37*Z7</f>
        <v>-6.3853062776180705E-2</v>
      </c>
      <c r="AA36" s="952">
        <f>AA37*AA7</f>
        <v>-6.4859301640495581E-2</v>
      </c>
      <c r="AB36" s="952">
        <f>AB37*AB7</f>
        <v>-6.4863227818837452E-2</v>
      </c>
      <c r="AC36" s="952">
        <f>AC37*AC7</f>
        <v>-6.4855552651617576E-2</v>
      </c>
      <c r="AD36" s="124"/>
      <c r="AE36" s="953" t="s">
        <v>714</v>
      </c>
      <c r="AF36" s="1758" t="s">
        <v>697</v>
      </c>
      <c r="AG36" s="1743">
        <f>RATE(6,,-W36,AC36)*100</f>
        <v>-49.223120688908978</v>
      </c>
      <c r="AH36" s="1756" t="s">
        <v>697</v>
      </c>
    </row>
    <row r="37" spans="1:34" ht="12.75">
      <c r="A37" s="1731" t="s">
        <v>731</v>
      </c>
      <c r="B37" s="1584">
        <f t="shared" ref="B37:V37" si="21">B36/B7</f>
        <v>4.0138339166027577E-3</v>
      </c>
      <c r="C37" s="1584">
        <f t="shared" si="21"/>
        <v>-2.9809683704856552E-3</v>
      </c>
      <c r="D37" s="1584">
        <f t="shared" si="21"/>
        <v>-2.8542343972216815E-3</v>
      </c>
      <c r="E37" s="1584">
        <f t="shared" si="21"/>
        <v>-4.1456773315180391E-3</v>
      </c>
      <c r="F37" s="1584">
        <f t="shared" si="21"/>
        <v>1.922836568505856E-4</v>
      </c>
      <c r="G37" s="1584">
        <f t="shared" si="21"/>
        <v>-5.7147978421128211E-3</v>
      </c>
      <c r="H37" s="1759">
        <f t="shared" si="21"/>
        <v>-2.0205569068860022E-3</v>
      </c>
      <c r="I37" s="1759">
        <f t="shared" si="21"/>
        <v>-1.7277897345505319E-3</v>
      </c>
      <c r="J37" s="1759">
        <f t="shared" si="21"/>
        <v>-1.4044513304668409E-3</v>
      </c>
      <c r="K37" s="1759">
        <f t="shared" si="21"/>
        <v>-3.1048126978213391E-3</v>
      </c>
      <c r="L37" s="1759">
        <f t="shared" si="21"/>
        <v>-7.871791183490514E-3</v>
      </c>
      <c r="M37" s="1759">
        <f t="shared" si="21"/>
        <v>-1.5129496075914441E-2</v>
      </c>
      <c r="N37" s="1759">
        <f t="shared" si="21"/>
        <v>-1.2314513983188559E-2</v>
      </c>
      <c r="O37" s="1759">
        <f t="shared" si="21"/>
        <v>-5.9574433915739276E-3</v>
      </c>
      <c r="P37" s="1759">
        <f t="shared" si="21"/>
        <v>1.1114629307726607E-3</v>
      </c>
      <c r="Q37" s="1759">
        <f t="shared" si="21"/>
        <v>-6.8719795035741772E-4</v>
      </c>
      <c r="R37" s="1759">
        <f t="shared" si="21"/>
        <v>-1.882653085753021E-3</v>
      </c>
      <c r="S37" s="1759">
        <f t="shared" si="21"/>
        <v>-2.1382115552036627E-3</v>
      </c>
      <c r="T37" s="1759">
        <f t="shared" si="21"/>
        <v>-7.6743858222603773E-4</v>
      </c>
      <c r="U37" s="1759">
        <f t="shared" si="21"/>
        <v>-1.0990393457913463E-3</v>
      </c>
      <c r="V37" s="1759">
        <f t="shared" si="21"/>
        <v>-5.6561214453321087E-4</v>
      </c>
      <c r="W37" s="1759">
        <f>W36/W7</f>
        <v>-1.04823864604355E-3</v>
      </c>
      <c r="X37" s="1759">
        <f>X36/X7</f>
        <v>2.0157821701155747E-3</v>
      </c>
      <c r="Y37" s="1759">
        <f>Y36/Y7</f>
        <v>-5.199760020155969E-4</v>
      </c>
      <c r="Z37" s="131">
        <v>-1.6317253251218702E-5</v>
      </c>
      <c r="AA37" s="131">
        <v>-1.6317253251218702E-5</v>
      </c>
      <c r="AB37" s="131">
        <v>-1.6317253251218702E-5</v>
      </c>
      <c r="AC37" s="131">
        <v>-1.6317253251218702E-5</v>
      </c>
      <c r="AD37" s="1746"/>
      <c r="AE37" s="125"/>
      <c r="AF37" s="1747"/>
      <c r="AG37" s="1743"/>
      <c r="AH37" s="1751"/>
    </row>
    <row r="38" spans="1:34" ht="12.75">
      <c r="A38" s="1731"/>
      <c r="B38" s="952"/>
      <c r="C38" s="952"/>
      <c r="D38" s="952"/>
      <c r="E38" s="952"/>
      <c r="F38" s="952"/>
      <c r="G38" s="952"/>
      <c r="H38" s="952"/>
      <c r="I38" s="952"/>
      <c r="J38" s="952"/>
      <c r="K38" s="952"/>
      <c r="L38" s="952"/>
      <c r="M38" s="952"/>
      <c r="N38" s="952"/>
      <c r="O38" s="952"/>
      <c r="P38" s="952"/>
      <c r="Q38" s="952"/>
      <c r="R38" s="952"/>
      <c r="S38" s="952"/>
      <c r="T38" s="952"/>
      <c r="U38" s="952"/>
      <c r="V38" s="952"/>
      <c r="W38" s="952"/>
      <c r="X38" s="952"/>
      <c r="Y38" s="952"/>
      <c r="Z38" s="952"/>
      <c r="AA38" s="952"/>
      <c r="AB38" s="952"/>
      <c r="AC38" s="952"/>
      <c r="AD38" s="1746"/>
      <c r="AE38" s="125"/>
      <c r="AF38" s="1747"/>
      <c r="AG38" s="1743"/>
      <c r="AH38" s="1751"/>
    </row>
    <row r="39" spans="1:34" ht="12.75">
      <c r="A39" s="1731" t="s">
        <v>25</v>
      </c>
      <c r="B39" s="952">
        <f t="shared" ref="B39:L39" si="22">B33-B36</f>
        <v>-2.4390000000000436</v>
      </c>
      <c r="C39" s="952">
        <f t="shared" si="22"/>
        <v>9.8319999999999688</v>
      </c>
      <c r="D39" s="952">
        <f t="shared" si="22"/>
        <v>32.277999999999992</v>
      </c>
      <c r="E39" s="952">
        <f t="shared" si="22"/>
        <v>89.489000000000004</v>
      </c>
      <c r="F39" s="952">
        <f t="shared" si="22"/>
        <v>149.35400000000004</v>
      </c>
      <c r="G39" s="952">
        <f t="shared" si="22"/>
        <v>152.79999999999987</v>
      </c>
      <c r="H39" s="952">
        <f>H33-H36</f>
        <v>169.24500000000018</v>
      </c>
      <c r="I39" s="952">
        <f>I33-I36</f>
        <v>143.61300000000003</v>
      </c>
      <c r="J39" s="952">
        <f>J33-J36</f>
        <v>135.28699999999992</v>
      </c>
      <c r="K39" s="952">
        <f t="shared" si="22"/>
        <v>366.83500000000004</v>
      </c>
      <c r="L39" s="952">
        <f t="shared" si="22"/>
        <v>476.96700000000004</v>
      </c>
      <c r="M39" s="952">
        <f t="shared" ref="M39:R39" si="23">M33-M36</f>
        <v>629.06699999999955</v>
      </c>
      <c r="N39" s="952">
        <f t="shared" si="23"/>
        <v>636.38099999999963</v>
      </c>
      <c r="O39" s="952">
        <f t="shared" si="23"/>
        <v>326.64599999999996</v>
      </c>
      <c r="P39" s="952">
        <f t="shared" si="23"/>
        <v>307.12399999999985</v>
      </c>
      <c r="Q39" s="952">
        <f t="shared" si="23"/>
        <v>341.57560000000001</v>
      </c>
      <c r="R39" s="952">
        <f t="shared" si="23"/>
        <v>299.92300000000012</v>
      </c>
      <c r="S39" s="952">
        <f t="shared" ref="S39:X39" si="24">S33-S36</f>
        <v>444.55600000000021</v>
      </c>
      <c r="T39" s="952">
        <f t="shared" si="24"/>
        <v>236.24499999999964</v>
      </c>
      <c r="U39" s="952">
        <f t="shared" si="24"/>
        <v>210.59300000000007</v>
      </c>
      <c r="V39" s="952">
        <f t="shared" si="24"/>
        <v>321.8719999999999</v>
      </c>
      <c r="W39" s="952">
        <f t="shared" si="24"/>
        <v>356.42700000000025</v>
      </c>
      <c r="X39" s="952">
        <f t="shared" si="24"/>
        <v>317.42699999999979</v>
      </c>
      <c r="Y39" s="952">
        <f>Y33-Y36</f>
        <v>321.97611836278844</v>
      </c>
      <c r="Z39" s="952">
        <f>Z33-Z36</f>
        <v>320.55687727802581</v>
      </c>
      <c r="AA39" s="952">
        <f>AA33-AA36</f>
        <v>306.92643762961575</v>
      </c>
      <c r="AB39" s="952">
        <f>AB33-AB36</f>
        <v>292.63454355130602</v>
      </c>
      <c r="AC39" s="952">
        <f>AC33-AC36</f>
        <v>270.34181408307148</v>
      </c>
      <c r="AD39" s="1746"/>
      <c r="AE39" s="1743">
        <f>RATE(5,,-R39,W39)*100</f>
        <v>3.5123491493072265</v>
      </c>
      <c r="AF39" s="1744" t="s">
        <v>697</v>
      </c>
      <c r="AG39" s="1743">
        <f>RATE(6,,-W39,AC39)*100</f>
        <v>-4.5028439935757083</v>
      </c>
      <c r="AH39" s="1745" t="s">
        <v>697</v>
      </c>
    </row>
    <row r="40" spans="1:34" ht="12.75">
      <c r="A40" s="1731" t="s">
        <v>26</v>
      </c>
      <c r="B40" s="1584">
        <f t="shared" ref="B40:V40" si="25">B39/B7</f>
        <v>-7.166721026789385E-3</v>
      </c>
      <c r="C40" s="1584">
        <f t="shared" si="25"/>
        <v>3.012217987524653E-2</v>
      </c>
      <c r="D40" s="1584">
        <f t="shared" si="25"/>
        <v>7.9558702826875147E-2</v>
      </c>
      <c r="E40" s="1584">
        <f t="shared" si="25"/>
        <v>0.15229577944179715</v>
      </c>
      <c r="F40" s="1584">
        <f t="shared" si="25"/>
        <v>0.17948958303289017</v>
      </c>
      <c r="G40" s="1584">
        <f t="shared" si="25"/>
        <v>0.13973773568168318</v>
      </c>
      <c r="H40" s="1584">
        <f t="shared" si="25"/>
        <v>0.12336549556490686</v>
      </c>
      <c r="I40" s="1584">
        <f t="shared" si="25"/>
        <v>9.8153903143989557E-2</v>
      </c>
      <c r="J40" s="1584">
        <f t="shared" si="25"/>
        <v>9.4248019417096915E-2</v>
      </c>
      <c r="K40" s="1584">
        <f t="shared" si="25"/>
        <v>0.19412885052075868</v>
      </c>
      <c r="L40" s="1584">
        <f t="shared" si="25"/>
        <v>0.20541550636918263</v>
      </c>
      <c r="M40" s="1584">
        <f t="shared" si="25"/>
        <v>0.22511629471562669</v>
      </c>
      <c r="N40" s="1584">
        <f t="shared" si="25"/>
        <v>0.20827945365267403</v>
      </c>
      <c r="O40" s="1584">
        <f t="shared" si="25"/>
        <v>0.10928760272290559</v>
      </c>
      <c r="P40" s="1584">
        <f t="shared" si="25"/>
        <v>0.10445438835698362</v>
      </c>
      <c r="Q40" s="1584">
        <f t="shared" si="25"/>
        <v>0.11597334595459741</v>
      </c>
      <c r="R40" s="1584">
        <f t="shared" si="25"/>
        <v>9.6127164017416333E-2</v>
      </c>
      <c r="S40" s="1584">
        <f t="shared" si="25"/>
        <v>0.12790026589546821</v>
      </c>
      <c r="T40" s="1584">
        <f t="shared" si="25"/>
        <v>7.1463747677567996E-2</v>
      </c>
      <c r="U40" s="1584">
        <f t="shared" si="25"/>
        <v>6.4149111127560166E-2</v>
      </c>
      <c r="V40" s="1584">
        <f t="shared" si="25"/>
        <v>9.1392927803812057E-2</v>
      </c>
      <c r="W40" s="1584">
        <f t="shared" ref="W40:AB40" si="26">W39/W7</f>
        <v>9.8736933375624919E-2</v>
      </c>
      <c r="X40" s="1584">
        <f t="shared" si="26"/>
        <v>8.3631379808296449E-2</v>
      </c>
      <c r="Y40" s="1584">
        <f t="shared" si="26"/>
        <v>8.370992738539168E-2</v>
      </c>
      <c r="Z40" s="1584">
        <f t="shared" si="26"/>
        <v>8.1916317253251172E-2</v>
      </c>
      <c r="AA40" s="1584">
        <f t="shared" si="26"/>
        <v>7.7216317253251177E-2</v>
      </c>
      <c r="AB40" s="1584">
        <f t="shared" si="26"/>
        <v>7.3616317253251226E-2</v>
      </c>
      <c r="AC40" s="1584">
        <f>AC39/AC7</f>
        <v>6.8016317253251232E-2</v>
      </c>
      <c r="AD40" s="1746"/>
      <c r="AE40" s="125"/>
      <c r="AF40" s="1747"/>
      <c r="AG40" s="1743"/>
      <c r="AH40" s="1751"/>
    </row>
    <row r="41" spans="1:34" ht="12.75">
      <c r="A41" s="1731"/>
      <c r="B41" s="952"/>
      <c r="C41" s="952"/>
      <c r="D41" s="952"/>
      <c r="E41" s="952"/>
      <c r="F41" s="952"/>
      <c r="G41" s="952"/>
      <c r="H41" s="952"/>
      <c r="I41" s="952"/>
      <c r="J41" s="952"/>
      <c r="K41" s="952"/>
      <c r="L41" s="952"/>
      <c r="M41" s="952"/>
      <c r="N41" s="952"/>
      <c r="O41" s="952"/>
      <c r="P41" s="952"/>
      <c r="Q41" s="952"/>
      <c r="R41" s="952"/>
      <c r="S41" s="952"/>
      <c r="T41" s="952"/>
      <c r="U41" s="952"/>
      <c r="V41" s="952"/>
      <c r="W41" s="952"/>
      <c r="X41" s="952"/>
      <c r="Y41" s="952"/>
      <c r="Z41" s="952"/>
      <c r="AA41" s="952"/>
      <c r="AB41" s="952"/>
      <c r="AC41" s="952"/>
      <c r="AD41" s="1746"/>
      <c r="AE41" s="125"/>
      <c r="AF41" s="1747"/>
      <c r="AG41" s="1743"/>
      <c r="AH41" s="1751"/>
    </row>
    <row r="42" spans="1:34" ht="12.75">
      <c r="A42" s="1731" t="s">
        <v>27</v>
      </c>
      <c r="B42" s="952">
        <f>'qtrP&amp;L'!$C$114</f>
        <v>-1.1049999999999986</v>
      </c>
      <c r="C42" s="952">
        <f>'qtrP&amp;L'!G$114</f>
        <v>3.9070000000000045</v>
      </c>
      <c r="D42" s="952">
        <f>'qtrP&amp;L'!K$114</f>
        <v>12.741</v>
      </c>
      <c r="E42" s="952">
        <f>'qtrP&amp;L'!O$114</f>
        <v>35.371000000000002</v>
      </c>
      <c r="F42" s="952">
        <f>'qtrP&amp;L'!S$114</f>
        <v>58.694000000000003</v>
      </c>
      <c r="G42" s="952">
        <f>'qtrP&amp;L'!W$114</f>
        <v>59.042000000000002</v>
      </c>
      <c r="H42" s="952">
        <f>'qtrP&amp;L'!AB114</f>
        <v>63.75</v>
      </c>
      <c r="I42" s="952">
        <f>'qtrP&amp;L'!AF114</f>
        <v>54.878</v>
      </c>
      <c r="J42" s="29">
        <v>52.179000000000002</v>
      </c>
      <c r="K42" s="29">
        <v>142.60300000000001</v>
      </c>
      <c r="L42" s="952">
        <f>'qtrP&amp;L'!AR114</f>
        <v>183.25600000000003</v>
      </c>
      <c r="M42" s="952">
        <f>'qtrP&amp;L'!AV114</f>
        <v>241.708</v>
      </c>
      <c r="N42" s="952">
        <f>+'qtrP&amp;L'!AZ114</f>
        <v>236.36200000000002</v>
      </c>
      <c r="O42" s="952">
        <f>'qtrP&amp;L'!BD114</f>
        <v>121.6679</v>
      </c>
      <c r="P42" s="952">
        <f>'qtrP&amp;L'!$BH$114</f>
        <v>99.248999999999995</v>
      </c>
      <c r="Q42" s="952">
        <f>'qtrP&amp;L'!$BL$114</f>
        <v>121.64400000000001</v>
      </c>
      <c r="R42" s="952">
        <f>'qtrP&amp;L'!$BP$114</f>
        <v>109.40304</v>
      </c>
      <c r="S42" s="952">
        <f>+'qtrP&amp;L'!BT114</f>
        <v>165.86799999999999</v>
      </c>
      <c r="T42" s="952">
        <f>'qtrP&amp;L'!BX114</f>
        <v>91.656999999999996</v>
      </c>
      <c r="U42" s="952">
        <f>'qtrP&amp;L'!CB114</f>
        <v>87.737111999999996</v>
      </c>
      <c r="V42" s="952">
        <f>'qtrP&amp;L'!CF114</f>
        <v>108.58099999999999</v>
      </c>
      <c r="W42" s="952">
        <f>'qtrP&amp;L'!CJ114</f>
        <v>125.90100000000001</v>
      </c>
      <c r="X42" s="952">
        <f>'qtrP&amp;L'!CN114</f>
        <v>109.17010000000002</v>
      </c>
      <c r="Y42" s="952">
        <f>'qtrP&amp;L'!CR114</f>
        <v>80.494029590697252</v>
      </c>
      <c r="Z42" s="952">
        <f>Z43*Z39</f>
        <v>80.139219319506594</v>
      </c>
      <c r="AA42" s="952">
        <f>AA43*AA39</f>
        <v>76.731609407404079</v>
      </c>
      <c r="AB42" s="952">
        <f>AB43*AB39</f>
        <v>73.158635887826634</v>
      </c>
      <c r="AC42" s="952">
        <f>AC43*AC39</f>
        <v>67.585453520767985</v>
      </c>
      <c r="AD42" s="1746"/>
      <c r="AE42" s="1743">
        <f>RATE(5,,-R42,W42)*100</f>
        <v>2.8489726518723515</v>
      </c>
      <c r="AF42" s="1744" t="s">
        <v>697</v>
      </c>
      <c r="AG42" s="1743">
        <f>RATE(6,,-W42,AC42)*100</f>
        <v>-9.8489736440409779</v>
      </c>
      <c r="AH42" s="1751" t="s">
        <v>697</v>
      </c>
    </row>
    <row r="43" spans="1:34" ht="12.75">
      <c r="A43" s="1731" t="s">
        <v>28</v>
      </c>
      <c r="B43" s="1584">
        <f t="shared" ref="B43:Y43" si="27">B42/B39</f>
        <v>0.45305453054529682</v>
      </c>
      <c r="C43" s="1584">
        <f t="shared" si="27"/>
        <v>0.39737591537835809</v>
      </c>
      <c r="D43" s="1584">
        <f t="shared" si="27"/>
        <v>0.39472705867773727</v>
      </c>
      <c r="E43" s="1584">
        <f t="shared" si="27"/>
        <v>0.3952552827721843</v>
      </c>
      <c r="F43" s="1584">
        <f t="shared" si="27"/>
        <v>0.39298579214483703</v>
      </c>
      <c r="G43" s="1584">
        <f t="shared" si="27"/>
        <v>0.38640052356020976</v>
      </c>
      <c r="H43" s="1584">
        <f t="shared" si="27"/>
        <v>0.37667287069041883</v>
      </c>
      <c r="I43" s="1584">
        <f>I42/I39</f>
        <v>0.38212418095854822</v>
      </c>
      <c r="J43" s="1584">
        <f t="shared" si="27"/>
        <v>0.38569116027408423</v>
      </c>
      <c r="K43" s="1584">
        <f t="shared" si="27"/>
        <v>0.38873880627530089</v>
      </c>
      <c r="L43" s="1584">
        <f t="shared" si="27"/>
        <v>0.38421106701302188</v>
      </c>
      <c r="M43" s="1584">
        <f t="shared" si="27"/>
        <v>0.38423252213198306</v>
      </c>
      <c r="N43" s="1584">
        <f t="shared" si="27"/>
        <v>0.37141586565280887</v>
      </c>
      <c r="O43" s="1584">
        <f t="shared" si="27"/>
        <v>0.37247631993044461</v>
      </c>
      <c r="P43" s="1584">
        <f t="shared" si="27"/>
        <v>0.32315611935244409</v>
      </c>
      <c r="Q43" s="1584">
        <f t="shared" si="27"/>
        <v>0.35612614015755223</v>
      </c>
      <c r="R43" s="1584">
        <f t="shared" si="27"/>
        <v>0.36477042440893148</v>
      </c>
      <c r="S43" s="1584">
        <f t="shared" si="27"/>
        <v>0.37310934955326197</v>
      </c>
      <c r="T43" s="1584">
        <f t="shared" si="27"/>
        <v>0.38797434866346436</v>
      </c>
      <c r="U43" s="1584">
        <f t="shared" si="27"/>
        <v>0.41661931783107686</v>
      </c>
      <c r="V43" s="1584">
        <f t="shared" si="27"/>
        <v>0.33734217328627536</v>
      </c>
      <c r="W43" s="1584">
        <f t="shared" si="27"/>
        <v>0.35323081584728411</v>
      </c>
      <c r="X43" s="1584">
        <f t="shared" si="27"/>
        <v>0.34392190960441327</v>
      </c>
      <c r="Y43" s="1584">
        <f t="shared" si="27"/>
        <v>0.25000000000000044</v>
      </c>
      <c r="Z43" s="130">
        <f>Y43</f>
        <v>0.25000000000000044</v>
      </c>
      <c r="AA43" s="130">
        <f>Z43</f>
        <v>0.25000000000000044</v>
      </c>
      <c r="AB43" s="130">
        <f>AA43</f>
        <v>0.25000000000000044</v>
      </c>
      <c r="AC43" s="130">
        <f>AB43</f>
        <v>0.25000000000000044</v>
      </c>
      <c r="AD43" s="1746"/>
      <c r="AE43" s="125"/>
      <c r="AF43" s="1747"/>
      <c r="AG43" s="1743"/>
      <c r="AH43" s="1751"/>
    </row>
    <row r="44" spans="1:34" ht="12.75">
      <c r="A44" s="1731"/>
      <c r="B44" s="952"/>
      <c r="C44" s="952"/>
      <c r="D44" s="952"/>
      <c r="E44" s="952"/>
      <c r="F44" s="952"/>
      <c r="G44" s="952"/>
      <c r="H44" s="952"/>
      <c r="I44" s="952"/>
      <c r="J44" s="952"/>
      <c r="K44" s="952"/>
      <c r="L44" s="952"/>
      <c r="M44" s="952"/>
      <c r="N44" s="952"/>
      <c r="O44" s="952"/>
      <c r="P44" s="952"/>
      <c r="Q44" s="952"/>
      <c r="R44" s="952"/>
      <c r="S44" s="952"/>
      <c r="T44" s="952"/>
      <c r="U44" s="952"/>
      <c r="V44" s="952"/>
      <c r="W44" s="952"/>
      <c r="X44" s="952"/>
      <c r="Y44" s="952"/>
      <c r="Z44" s="952"/>
      <c r="AA44" s="952"/>
      <c r="AB44" s="952"/>
      <c r="AC44" s="952"/>
      <c r="AD44" s="1746"/>
      <c r="AE44" s="126"/>
      <c r="AF44" s="1760"/>
      <c r="AG44" s="1743"/>
      <c r="AH44" s="1756"/>
    </row>
    <row r="45" spans="1:34" ht="12.75">
      <c r="A45" s="1731" t="s">
        <v>673</v>
      </c>
      <c r="B45" s="952">
        <f t="shared" ref="B45:J45" si="28">B39-B42</f>
        <v>-1.3340000000000449</v>
      </c>
      <c r="C45" s="952">
        <f t="shared" si="28"/>
        <v>5.9249999999999643</v>
      </c>
      <c r="D45" s="952">
        <f>D39-D42</f>
        <v>19.536999999999992</v>
      </c>
      <c r="E45" s="952">
        <f t="shared" si="28"/>
        <v>54.118000000000002</v>
      </c>
      <c r="F45" s="952">
        <f t="shared" si="28"/>
        <v>90.660000000000039</v>
      </c>
      <c r="G45" s="952">
        <f t="shared" si="28"/>
        <v>93.757999999999868</v>
      </c>
      <c r="H45" s="952">
        <f>H39-H42</f>
        <v>105.49500000000018</v>
      </c>
      <c r="I45" s="952">
        <f>I39-I42</f>
        <v>88.735000000000028</v>
      </c>
      <c r="J45" s="952">
        <f t="shared" si="28"/>
        <v>83.107999999999919</v>
      </c>
      <c r="K45" s="952">
        <f t="shared" ref="K45:P45" si="29">K39-K42</f>
        <v>224.23200000000003</v>
      </c>
      <c r="L45" s="952">
        <f>L39-L42</f>
        <v>293.71100000000001</v>
      </c>
      <c r="M45" s="952">
        <f>M39-M42</f>
        <v>387.35899999999958</v>
      </c>
      <c r="N45" s="952">
        <f t="shared" si="29"/>
        <v>400.01899999999961</v>
      </c>
      <c r="O45" s="952">
        <f t="shared" si="29"/>
        <v>204.97809999999996</v>
      </c>
      <c r="P45" s="952">
        <f t="shared" si="29"/>
        <v>207.87499999999986</v>
      </c>
      <c r="Q45" s="952">
        <f t="shared" ref="Q45:X45" si="30">Q39-Q42</f>
        <v>219.9316</v>
      </c>
      <c r="R45" s="952">
        <f t="shared" si="30"/>
        <v>190.51996000000011</v>
      </c>
      <c r="S45" s="952">
        <f t="shared" si="30"/>
        <v>278.68800000000022</v>
      </c>
      <c r="T45" s="952">
        <f t="shared" si="30"/>
        <v>144.58799999999962</v>
      </c>
      <c r="U45" s="952">
        <f t="shared" si="30"/>
        <v>122.85588800000008</v>
      </c>
      <c r="V45" s="952">
        <f t="shared" si="30"/>
        <v>213.29099999999991</v>
      </c>
      <c r="W45" s="952">
        <f t="shared" si="30"/>
        <v>230.52600000000024</v>
      </c>
      <c r="X45" s="952">
        <f t="shared" si="30"/>
        <v>208.25689999999977</v>
      </c>
      <c r="Y45" s="952">
        <f>Y39-Y42</f>
        <v>241.48208877209117</v>
      </c>
      <c r="Z45" s="952">
        <f>Z39-Z42</f>
        <v>240.41765795851921</v>
      </c>
      <c r="AA45" s="952">
        <f>AA39-AA42</f>
        <v>230.19482822221167</v>
      </c>
      <c r="AB45" s="952">
        <f>AB39-AB42</f>
        <v>219.4759076634794</v>
      </c>
      <c r="AC45" s="952">
        <f>AC39-AC42</f>
        <v>202.75636056230348</v>
      </c>
      <c r="AD45" s="1746"/>
      <c r="AE45" s="1743">
        <f>RATE(5,,-R45,W45)*100</f>
        <v>3.8857277755024371</v>
      </c>
      <c r="AF45" s="1744" t="s">
        <v>697</v>
      </c>
      <c r="AG45" s="1743">
        <f>RATE(6,,-W45,AC45)*100</f>
        <v>-2.116588918788838</v>
      </c>
      <c r="AH45" s="1751" t="s">
        <v>697</v>
      </c>
    </row>
    <row r="46" spans="1:34" ht="12.75">
      <c r="A46" s="1761" t="s">
        <v>29</v>
      </c>
      <c r="B46" s="1584">
        <f t="shared" ref="B46:V46" si="31">B45/B7</f>
        <v>-3.9198055964482122E-3</v>
      </c>
      <c r="C46" s="1584">
        <f t="shared" si="31"/>
        <v>1.8152351074128884E-2</v>
      </c>
      <c r="D46" s="1584">
        <f t="shared" si="31"/>
        <v>4.8154730067806538E-2</v>
      </c>
      <c r="E46" s="1584">
        <f t="shared" si="31"/>
        <v>9.2100068073519406E-2</v>
      </c>
      <c r="F46" s="1584">
        <f t="shared" si="31"/>
        <v>0.10895272706296333</v>
      </c>
      <c r="G46" s="1584">
        <f t="shared" si="31"/>
        <v>8.5743001453162604E-2</v>
      </c>
      <c r="H46" s="1584">
        <f t="shared" si="31"/>
        <v>7.6897060206327264E-2</v>
      </c>
      <c r="I46" s="1584">
        <f t="shared" si="31"/>
        <v>6.0646923297207875E-2</v>
      </c>
      <c r="J46" s="1584">
        <f t="shared" si="31"/>
        <v>5.7897391454582385E-2</v>
      </c>
      <c r="K46" s="1584">
        <f t="shared" si="31"/>
        <v>0.11866343290572262</v>
      </c>
      <c r="L46" s="1584">
        <f t="shared" si="31"/>
        <v>0.12649259548605879</v>
      </c>
      <c r="M46" s="1584">
        <f t="shared" si="31"/>
        <v>0.13861929302403464</v>
      </c>
      <c r="N46" s="1584">
        <f t="shared" si="31"/>
        <v>0.13092116007657204</v>
      </c>
      <c r="O46" s="1584">
        <f t="shared" si="31"/>
        <v>6.8580558646657283E-2</v>
      </c>
      <c r="P46" s="1584">
        <f t="shared" si="31"/>
        <v>7.0699313566207678E-2</v>
      </c>
      <c r="Q46" s="1584">
        <f t="shared" si="31"/>
        <v>7.4672205898630162E-2</v>
      </c>
      <c r="R46" s="1584">
        <f t="shared" si="31"/>
        <v>6.1062817601556414E-2</v>
      </c>
      <c r="S46" s="1584">
        <f t="shared" si="31"/>
        <v>8.0179480879520829E-2</v>
      </c>
      <c r="T46" s="1584">
        <f t="shared" si="31"/>
        <v>4.3737646719313392E-2</v>
      </c>
      <c r="U46" s="1584">
        <f t="shared" si="31"/>
        <v>3.7423352210126111E-2</v>
      </c>
      <c r="V46" s="1584">
        <f t="shared" si="31"/>
        <v>6.056223891547844E-2</v>
      </c>
      <c r="W46" s="1584">
        <f t="shared" ref="W46:AB46" si="32">W45/W7</f>
        <v>6.3860005845093992E-2</v>
      </c>
      <c r="X46" s="1584">
        <f t="shared" si="32"/>
        <v>5.4868715961775165E-2</v>
      </c>
      <c r="Y46" s="1584">
        <f t="shared" si="32"/>
        <v>6.2782445539043719E-2</v>
      </c>
      <c r="Z46" s="1584">
        <f t="shared" si="32"/>
        <v>6.1437237939938341E-2</v>
      </c>
      <c r="AA46" s="1584">
        <f t="shared" si="32"/>
        <v>5.7912237939938348E-2</v>
      </c>
      <c r="AB46" s="1584">
        <f t="shared" si="32"/>
        <v>5.5212237939938395E-2</v>
      </c>
      <c r="AC46" s="1584">
        <f>AC45/AC7</f>
        <v>5.1012237939938393E-2</v>
      </c>
      <c r="AD46" s="1746"/>
      <c r="AE46" s="127"/>
      <c r="AF46" s="1747"/>
      <c r="AG46" s="1743"/>
      <c r="AH46" s="1751"/>
    </row>
    <row r="47" spans="1:34" ht="12.75">
      <c r="A47" s="1761"/>
      <c r="B47" s="952"/>
      <c r="C47" s="952"/>
      <c r="D47" s="952"/>
      <c r="E47" s="952"/>
      <c r="F47" s="952"/>
      <c r="G47" s="952"/>
      <c r="H47" s="952"/>
      <c r="I47" s="1737"/>
      <c r="J47" s="952"/>
      <c r="K47" s="952"/>
      <c r="L47" s="952"/>
      <c r="M47" s="952"/>
      <c r="N47" s="952"/>
      <c r="O47" s="952"/>
      <c r="P47" s="952"/>
      <c r="Q47" s="952"/>
      <c r="R47" s="952"/>
      <c r="S47" s="952"/>
      <c r="T47" s="952"/>
      <c r="U47" s="952"/>
      <c r="V47" s="952"/>
      <c r="W47" s="952"/>
      <c r="X47" s="952"/>
      <c r="Y47" s="952"/>
      <c r="Z47" s="952"/>
      <c r="AA47" s="952"/>
      <c r="AB47" s="952"/>
      <c r="AC47" s="952"/>
      <c r="AD47" s="1746"/>
      <c r="AE47" s="1738"/>
      <c r="AF47" s="1747"/>
      <c r="AG47" s="1743"/>
      <c r="AH47" s="1751"/>
    </row>
    <row r="48" spans="1:34" ht="12" customHeight="1">
      <c r="A48" s="1761" t="s">
        <v>674</v>
      </c>
      <c r="B48" s="952"/>
      <c r="C48" s="952"/>
      <c r="D48" s="952"/>
      <c r="E48" s="952"/>
      <c r="F48" s="952"/>
      <c r="G48" s="952"/>
      <c r="H48" s="952"/>
      <c r="I48" s="29"/>
      <c r="J48" s="29">
        <v>-23.486000000000001</v>
      </c>
      <c r="K48" s="29">
        <v>-10.888999999999999</v>
      </c>
      <c r="L48" s="29">
        <v>0.442</v>
      </c>
      <c r="M48" s="952"/>
      <c r="N48" s="952"/>
      <c r="O48" s="952">
        <f>'qtrP&amp;L'!BD134</f>
        <v>-25.917099999999849</v>
      </c>
      <c r="P48" s="952">
        <f>'qtrP&amp;L'!BH134</f>
        <v>-38.852999999999874</v>
      </c>
      <c r="Q48" s="952"/>
      <c r="R48" s="952">
        <f>'qtrP&amp;L'!BP134</f>
        <v>-17.107199999999999</v>
      </c>
      <c r="S48" s="952"/>
      <c r="T48" s="952"/>
      <c r="U48" s="952"/>
      <c r="V48" s="952"/>
      <c r="W48" s="952"/>
      <c r="X48" s="952"/>
      <c r="Y48" s="952"/>
      <c r="Z48" s="952"/>
      <c r="AA48" s="952"/>
      <c r="AB48" s="952"/>
      <c r="AC48" s="952"/>
      <c r="AD48" s="1746"/>
      <c r="AE48" s="1738"/>
      <c r="AF48" s="1747"/>
      <c r="AG48" s="1743"/>
      <c r="AH48" s="1751"/>
    </row>
    <row r="49" spans="1:34" ht="12.75">
      <c r="A49" s="1761"/>
      <c r="B49" s="952"/>
      <c r="C49" s="952"/>
      <c r="D49" s="952"/>
      <c r="E49" s="952"/>
      <c r="F49" s="952"/>
      <c r="G49" s="952"/>
      <c r="H49" s="952"/>
      <c r="I49" s="1737"/>
      <c r="J49" s="952"/>
      <c r="K49" s="952"/>
      <c r="L49" s="952"/>
      <c r="M49" s="1762"/>
      <c r="N49" s="1762"/>
      <c r="O49" s="952"/>
      <c r="P49" s="952"/>
      <c r="Q49" s="952"/>
      <c r="R49" s="952"/>
      <c r="S49" s="952"/>
      <c r="T49" s="952"/>
      <c r="U49" s="952"/>
      <c r="V49" s="952"/>
      <c r="W49" s="952"/>
      <c r="X49" s="952"/>
      <c r="Y49" s="952"/>
      <c r="Z49" s="952"/>
      <c r="AA49" s="952"/>
      <c r="AB49" s="952"/>
      <c r="AC49" s="952"/>
      <c r="AD49" s="1746"/>
      <c r="AE49" s="1738"/>
      <c r="AF49" s="1747"/>
      <c r="AG49" s="1743"/>
      <c r="AH49" s="1751"/>
    </row>
    <row r="50" spans="1:34" ht="12.75">
      <c r="A50" s="1731" t="s">
        <v>680</v>
      </c>
      <c r="B50" s="1763"/>
      <c r="C50" s="1763"/>
      <c r="D50" s="952">
        <f>D45+D48</f>
        <v>19.536999999999992</v>
      </c>
      <c r="E50" s="952">
        <f t="shared" ref="E50:N50" si="33">E45+E48</f>
        <v>54.118000000000002</v>
      </c>
      <c r="F50" s="952">
        <f t="shared" si="33"/>
        <v>90.660000000000039</v>
      </c>
      <c r="G50" s="952">
        <f t="shared" si="33"/>
        <v>93.757999999999868</v>
      </c>
      <c r="H50" s="952">
        <f t="shared" si="33"/>
        <v>105.49500000000018</v>
      </c>
      <c r="I50" s="952">
        <f>I45+I48</f>
        <v>88.735000000000028</v>
      </c>
      <c r="J50" s="952">
        <f>J45+J48</f>
        <v>59.621999999999915</v>
      </c>
      <c r="K50" s="952">
        <f>K45</f>
        <v>224.23200000000003</v>
      </c>
      <c r="L50" s="952">
        <f t="shared" si="33"/>
        <v>294.15300000000002</v>
      </c>
      <c r="M50" s="952">
        <f t="shared" si="33"/>
        <v>387.35899999999958</v>
      </c>
      <c r="N50" s="952">
        <f t="shared" si="33"/>
        <v>400.01899999999961</v>
      </c>
      <c r="O50" s="952">
        <f>O45</f>
        <v>204.97809999999996</v>
      </c>
      <c r="P50" s="952">
        <f>P45</f>
        <v>207.87499999999986</v>
      </c>
      <c r="Q50" s="952">
        <f t="shared" ref="Q50:X50" si="34">Q45+Q48</f>
        <v>219.9316</v>
      </c>
      <c r="R50" s="952">
        <f>R45</f>
        <v>190.51996000000011</v>
      </c>
      <c r="S50" s="952">
        <f t="shared" si="34"/>
        <v>278.68800000000022</v>
      </c>
      <c r="T50" s="952">
        <f t="shared" si="34"/>
        <v>144.58799999999962</v>
      </c>
      <c r="U50" s="952">
        <f t="shared" si="34"/>
        <v>122.85588800000008</v>
      </c>
      <c r="V50" s="952">
        <f t="shared" si="34"/>
        <v>213.29099999999991</v>
      </c>
      <c r="W50" s="952">
        <f t="shared" si="34"/>
        <v>230.52600000000024</v>
      </c>
      <c r="X50" s="952">
        <f t="shared" si="34"/>
        <v>208.25689999999977</v>
      </c>
      <c r="Y50" s="952">
        <f>Y45+Y48</f>
        <v>241.48208877209117</v>
      </c>
      <c r="Z50" s="952">
        <f>Z45+Z48</f>
        <v>240.41765795851921</v>
      </c>
      <c r="AA50" s="952">
        <f>AA45+AA48</f>
        <v>230.19482822221167</v>
      </c>
      <c r="AB50" s="952">
        <f>AB45+AB48</f>
        <v>219.4759076634794</v>
      </c>
      <c r="AC50" s="952">
        <f>AC45+AC48</f>
        <v>202.75636056230348</v>
      </c>
      <c r="AD50" s="1764"/>
      <c r="AE50" s="1743">
        <f>RATE(5,,-R50,W50)*100</f>
        <v>3.8857277755024371</v>
      </c>
      <c r="AF50" s="1744" t="s">
        <v>697</v>
      </c>
      <c r="AG50" s="1743">
        <f>RATE(6,,-W50,AC50)*100</f>
        <v>-2.116588918788838</v>
      </c>
      <c r="AH50" s="1745" t="s">
        <v>697</v>
      </c>
    </row>
    <row r="51" spans="1:34" ht="12.75">
      <c r="A51" s="1731" t="s">
        <v>30</v>
      </c>
      <c r="B51" s="952"/>
      <c r="C51" s="1584" t="e">
        <f>C50/B50-1</f>
        <v>#DIV/0!</v>
      </c>
      <c r="D51" s="1584">
        <f t="shared" ref="D51:V51" si="35">D50/D7</f>
        <v>4.8154730067806538E-2</v>
      </c>
      <c r="E51" s="1584">
        <f t="shared" si="35"/>
        <v>9.2100068073519406E-2</v>
      </c>
      <c r="F51" s="1584">
        <f t="shared" si="35"/>
        <v>0.10895272706296333</v>
      </c>
      <c r="G51" s="1584">
        <f t="shared" si="35"/>
        <v>8.5743001453162604E-2</v>
      </c>
      <c r="H51" s="1584">
        <f t="shared" si="35"/>
        <v>7.6897060206327264E-2</v>
      </c>
      <c r="I51" s="1584">
        <f t="shared" si="35"/>
        <v>6.0646923297207875E-2</v>
      </c>
      <c r="J51" s="1584">
        <f t="shared" si="35"/>
        <v>4.1535812115621955E-2</v>
      </c>
      <c r="K51" s="1584">
        <f t="shared" si="35"/>
        <v>0.11866343290572262</v>
      </c>
      <c r="L51" s="1584">
        <f t="shared" si="35"/>
        <v>0.12668295174511901</v>
      </c>
      <c r="M51" s="1584">
        <f t="shared" si="35"/>
        <v>0.13861929302403464</v>
      </c>
      <c r="N51" s="1584">
        <f t="shared" si="35"/>
        <v>0.13092116007657204</v>
      </c>
      <c r="O51" s="1584">
        <f t="shared" si="35"/>
        <v>6.8580558646657283E-2</v>
      </c>
      <c r="P51" s="1584">
        <f t="shared" si="35"/>
        <v>7.0699313566207678E-2</v>
      </c>
      <c r="Q51" s="1584">
        <f t="shared" si="35"/>
        <v>7.4672205898630162E-2</v>
      </c>
      <c r="R51" s="1584">
        <f t="shared" si="35"/>
        <v>6.1062817601556414E-2</v>
      </c>
      <c r="S51" s="1584">
        <f t="shared" si="35"/>
        <v>8.0179480879520829E-2</v>
      </c>
      <c r="T51" s="1584">
        <f t="shared" si="35"/>
        <v>4.3737646719313392E-2</v>
      </c>
      <c r="U51" s="1584">
        <f t="shared" si="35"/>
        <v>3.7423352210126111E-2</v>
      </c>
      <c r="V51" s="1584">
        <f t="shared" si="35"/>
        <v>6.056223891547844E-2</v>
      </c>
      <c r="W51" s="1584">
        <f t="shared" ref="W51:AB51" si="36">W50/W7</f>
        <v>6.3860005845093992E-2</v>
      </c>
      <c r="X51" s="1584">
        <f t="shared" si="36"/>
        <v>5.4868715961775165E-2</v>
      </c>
      <c r="Y51" s="1584">
        <f t="shared" si="36"/>
        <v>6.2782445539043719E-2</v>
      </c>
      <c r="Z51" s="1584">
        <f t="shared" si="36"/>
        <v>6.1437237939938341E-2</v>
      </c>
      <c r="AA51" s="1584">
        <f t="shared" si="36"/>
        <v>5.7912237939938348E-2</v>
      </c>
      <c r="AB51" s="1584">
        <f t="shared" si="36"/>
        <v>5.5212237939938395E-2</v>
      </c>
      <c r="AC51" s="1584">
        <f>AC50/AC7</f>
        <v>5.1012237939938393E-2</v>
      </c>
      <c r="AD51" s="1764"/>
      <c r="AE51" s="1738"/>
      <c r="AF51" s="1747"/>
      <c r="AG51" s="1743"/>
      <c r="AH51" s="1751"/>
    </row>
    <row r="52" spans="1:34" ht="12.75">
      <c r="A52" s="1731"/>
      <c r="B52" s="952"/>
      <c r="C52" s="1584"/>
      <c r="D52" s="1584"/>
      <c r="E52" s="1584"/>
      <c r="F52" s="1584"/>
      <c r="G52" s="1584"/>
      <c r="H52" s="1584"/>
      <c r="I52" s="1584"/>
      <c r="J52" s="1584"/>
      <c r="K52" s="1584"/>
      <c r="L52" s="1765"/>
      <c r="M52" s="1765"/>
      <c r="N52" s="1765"/>
      <c r="O52" s="1765"/>
      <c r="P52" s="1765"/>
      <c r="Q52" s="1765"/>
      <c r="R52" s="1765"/>
      <c r="S52" s="1765"/>
      <c r="T52" s="1765"/>
      <c r="U52" s="1765"/>
      <c r="V52" s="1765"/>
      <c r="W52" s="1765"/>
      <c r="X52" s="1765"/>
      <c r="Y52" s="1765"/>
      <c r="Z52" s="1765"/>
      <c r="AA52" s="1765"/>
      <c r="AB52" s="1765"/>
      <c r="AC52" s="1765"/>
      <c r="AD52" s="1764"/>
      <c r="AE52" s="1738"/>
      <c r="AF52" s="1747"/>
      <c r="AG52" s="1743"/>
      <c r="AH52" s="1751"/>
    </row>
    <row r="53" spans="1:34" ht="12.75">
      <c r="A53" s="1731" t="s">
        <v>681</v>
      </c>
      <c r="B53" s="1763">
        <f>'qtrP&amp;L'!C171</f>
        <v>8.7363650570401619E-3</v>
      </c>
      <c r="C53" s="1763">
        <f>C45/C59</f>
        <v>4.3987861577437851E-2</v>
      </c>
      <c r="D53" s="1763">
        <f t="shared" ref="D53:I53" si="37">D50/D59</f>
        <v>9.5975142845738839E-2</v>
      </c>
      <c r="E53" s="1763">
        <f t="shared" si="37"/>
        <v>0.25079709338968598</v>
      </c>
      <c r="F53" s="1763">
        <f t="shared" si="37"/>
        <v>0.41333278623500624</v>
      </c>
      <c r="G53" s="1763">
        <f t="shared" si="37"/>
        <v>0.43327048559123027</v>
      </c>
      <c r="H53" s="1763">
        <f t="shared" si="37"/>
        <v>0.47650988522568749</v>
      </c>
      <c r="I53" s="1763">
        <f t="shared" si="37"/>
        <v>0.40639068646982596</v>
      </c>
      <c r="J53" s="1763">
        <f t="shared" ref="J53:O53" si="38">J50/J59</f>
        <v>0.27523647291813774</v>
      </c>
      <c r="K53" s="1763">
        <f>K50/K59</f>
        <v>0.99496818508559426</v>
      </c>
      <c r="L53" s="1763">
        <f>L50/L59</f>
        <v>1.2622912831340036</v>
      </c>
      <c r="M53" s="1763">
        <f>M50/M59</f>
        <v>1.6960864158610043</v>
      </c>
      <c r="N53" s="1763">
        <f t="shared" si="38"/>
        <v>1.815956963864171</v>
      </c>
      <c r="O53" s="1763">
        <f t="shared" si="38"/>
        <v>0.98745604146794985</v>
      </c>
      <c r="P53" s="1763">
        <f>P50/P59</f>
        <v>0.99218660506319378</v>
      </c>
      <c r="Q53" s="1763">
        <f t="shared" ref="Q53:X53" si="39">Q50/Q59</f>
        <v>1.0897521529298675</v>
      </c>
      <c r="R53" s="1763">
        <f>R50/R59</f>
        <v>0.9706675633574452</v>
      </c>
      <c r="S53" s="1763">
        <f t="shared" si="39"/>
        <v>1.3888221662970635</v>
      </c>
      <c r="T53" s="1763">
        <f t="shared" si="39"/>
        <v>0.74347859622059198</v>
      </c>
      <c r="U53" s="1763">
        <f t="shared" si="39"/>
        <v>0.62959432187972475</v>
      </c>
      <c r="V53" s="1763">
        <f t="shared" si="39"/>
        <v>1.0869051198295934</v>
      </c>
      <c r="W53" s="1763">
        <f t="shared" si="39"/>
        <v>1.2539831914488548</v>
      </c>
      <c r="X53" s="1763">
        <f t="shared" si="39"/>
        <v>1.155980927640488</v>
      </c>
      <c r="Y53" s="1763">
        <f>Y50/Y59</f>
        <v>1.3533033068560751</v>
      </c>
      <c r="Z53" s="1763">
        <f>Z50/Z59</f>
        <v>1.3549313170076434</v>
      </c>
      <c r="AA53" s="1763">
        <f>AA50/AA59</f>
        <v>1.3046708960162532</v>
      </c>
      <c r="AB53" s="1763">
        <f>AB50/AB59</f>
        <v>1.251009796359301</v>
      </c>
      <c r="AC53" s="1763">
        <f>AC50/AC59</f>
        <v>1.1623338849815894</v>
      </c>
      <c r="AD53" s="1764"/>
      <c r="AE53" s="1743">
        <f>RATE(5,,-R53,W53)*100</f>
        <v>5.2553645154701352</v>
      </c>
      <c r="AF53" s="1744" t="s">
        <v>697</v>
      </c>
      <c r="AG53" s="1743">
        <f>RATE(6,,-W53,AC53)*100</f>
        <v>-1.2569516121416551</v>
      </c>
      <c r="AH53" s="1745" t="s">
        <v>697</v>
      </c>
    </row>
    <row r="54" spans="1:34" ht="12.75">
      <c r="A54" s="1731" t="s">
        <v>30</v>
      </c>
      <c r="B54" s="952"/>
      <c r="C54" s="1584">
        <f t="shared" ref="C54:U54" si="40">C53/B53-1</f>
        <v>4.0350301630299228</v>
      </c>
      <c r="D54" s="1584">
        <f t="shared" si="40"/>
        <v>1.181855161946908</v>
      </c>
      <c r="E54" s="1584">
        <f>E53/D53-1</f>
        <v>1.6131463413687537</v>
      </c>
      <c r="F54" s="1584">
        <f t="shared" si="40"/>
        <v>0.64807646152730314</v>
      </c>
      <c r="G54" s="1584">
        <f t="shared" si="40"/>
        <v>4.8236433257167644E-2</v>
      </c>
      <c r="H54" s="1584">
        <f t="shared" si="40"/>
        <v>9.9797703911111757E-2</v>
      </c>
      <c r="I54" s="1584">
        <f t="shared" si="40"/>
        <v>-0.14715161412160682</v>
      </c>
      <c r="J54" s="1584">
        <f t="shared" si="40"/>
        <v>-0.3227293782024856</v>
      </c>
      <c r="K54" s="1584">
        <f t="shared" si="40"/>
        <v>2.6149576200299691</v>
      </c>
      <c r="L54" s="1584">
        <f t="shared" si="40"/>
        <v>0.268675021026338</v>
      </c>
      <c r="M54" s="1584">
        <f t="shared" si="40"/>
        <v>0.34365691859170466</v>
      </c>
      <c r="N54" s="1584">
        <f t="shared" si="40"/>
        <v>7.0674788078127104E-2</v>
      </c>
      <c r="O54" s="1584">
        <f t="shared" si="40"/>
        <v>-0.45623378685872373</v>
      </c>
      <c r="P54" s="1584">
        <f t="shared" si="40"/>
        <v>4.790657403048959E-3</v>
      </c>
      <c r="Q54" s="1584">
        <f t="shared" si="40"/>
        <v>9.8333869222573922E-2</v>
      </c>
      <c r="R54" s="1584">
        <f t="shared" si="40"/>
        <v>-0.10927676467741387</v>
      </c>
      <c r="S54" s="1584">
        <f t="shared" si="40"/>
        <v>0.43079074517877358</v>
      </c>
      <c r="T54" s="1584">
        <f t="shared" si="40"/>
        <v>-0.46466969331078134</v>
      </c>
      <c r="U54" s="1584">
        <f t="shared" si="40"/>
        <v>-0.15317760984618511</v>
      </c>
      <c r="V54" s="1584">
        <f t="shared" ref="V54:AC54" si="41">V53/U53-1</f>
        <v>0.72635788166658766</v>
      </c>
      <c r="W54" s="1584">
        <f t="shared" si="41"/>
        <v>0.15371909522834537</v>
      </c>
      <c r="X54" s="1584">
        <f t="shared" si="41"/>
        <v>-7.8152773080741866E-2</v>
      </c>
      <c r="Y54" s="1584">
        <f t="shared" si="41"/>
        <v>0.17069691592433855</v>
      </c>
      <c r="Z54" s="1584">
        <f t="shared" si="41"/>
        <v>1.202989856982084E-3</v>
      </c>
      <c r="AA54" s="1584">
        <f t="shared" si="41"/>
        <v>-3.7094441880928697E-2</v>
      </c>
      <c r="AB54" s="1584">
        <f t="shared" si="41"/>
        <v>-4.1129989042296922E-2</v>
      </c>
      <c r="AC54" s="1584">
        <f t="shared" si="41"/>
        <v>-7.0883466808794759E-2</v>
      </c>
      <c r="AD54" s="1764"/>
      <c r="AE54" s="1738"/>
      <c r="AF54" s="1747"/>
      <c r="AG54" s="1743"/>
      <c r="AH54" s="1751"/>
    </row>
    <row r="55" spans="1:34" ht="12.75">
      <c r="A55" s="1731"/>
      <c r="B55" s="952"/>
      <c r="C55" s="1584"/>
      <c r="D55" s="952"/>
      <c r="E55" s="952"/>
      <c r="F55" s="952"/>
      <c r="G55" s="952"/>
      <c r="H55" s="952"/>
      <c r="I55" s="1309"/>
      <c r="J55" s="1309"/>
      <c r="K55" s="1754"/>
      <c r="L55" s="952"/>
      <c r="M55" s="952"/>
      <c r="N55" s="952"/>
      <c r="O55" s="952"/>
      <c r="P55" s="1309">
        <f>AVERAGE(O54:Q54)</f>
        <v>-0.11770308674436696</v>
      </c>
      <c r="Q55" s="1766"/>
      <c r="R55" s="1766"/>
      <c r="S55" s="952"/>
      <c r="T55" s="952"/>
      <c r="U55" s="1762"/>
      <c r="V55" s="1762"/>
      <c r="W55" s="1762"/>
      <c r="X55" s="1762"/>
      <c r="Y55" s="1762"/>
      <c r="Z55" s="1762"/>
      <c r="AA55" s="1762"/>
      <c r="AB55" s="1762"/>
      <c r="AC55" s="1762"/>
      <c r="AD55" s="1746"/>
      <c r="AE55" s="1731"/>
      <c r="AF55" s="1767"/>
      <c r="AG55" s="1731"/>
      <c r="AH55" s="1768"/>
    </row>
    <row r="56" spans="1:34" ht="12.75" hidden="1" outlineLevel="1">
      <c r="A56" s="497" t="s">
        <v>637</v>
      </c>
      <c r="B56" s="566">
        <f>'qtrP&amp;L'!C174</f>
        <v>0</v>
      </c>
      <c r="C56" s="566">
        <f>C45/C59</f>
        <v>4.3987861577437851E-2</v>
      </c>
      <c r="D56" s="566">
        <f>D50/D59</f>
        <v>9.5975142845738839E-2</v>
      </c>
      <c r="E56" s="566">
        <f t="shared" ref="E56:L56" si="42">E50/E59</f>
        <v>0.25079709338968598</v>
      </c>
      <c r="F56" s="566">
        <f t="shared" si="42"/>
        <v>0.41333278623500624</v>
      </c>
      <c r="G56" s="566">
        <f t="shared" si="42"/>
        <v>0.43327048559123027</v>
      </c>
      <c r="H56" s="566">
        <f t="shared" si="42"/>
        <v>0.47650988522568749</v>
      </c>
      <c r="I56" s="566">
        <f t="shared" si="42"/>
        <v>0.40639068646982596</v>
      </c>
      <c r="J56" s="566">
        <f t="shared" si="42"/>
        <v>0.27523647291813774</v>
      </c>
      <c r="K56" s="566">
        <f t="shared" si="42"/>
        <v>0.99496818508559426</v>
      </c>
      <c r="L56" s="566">
        <f t="shared" si="42"/>
        <v>1.2622912831340036</v>
      </c>
      <c r="M56" s="566">
        <f t="shared" ref="M56:R56" si="43">(M50+(M25*(1-M43)))/M59</f>
        <v>1.7300584551506963</v>
      </c>
      <c r="N56" s="566">
        <f t="shared" si="43"/>
        <v>1.8519119306917298</v>
      </c>
      <c r="O56" s="566">
        <f t="shared" si="43"/>
        <v>1.0255460414143633</v>
      </c>
      <c r="P56" s="566">
        <f t="shared" si="43"/>
        <v>1.0328918290893079</v>
      </c>
      <c r="Q56" s="566">
        <f t="shared" si="43"/>
        <v>1.1299508003944883</v>
      </c>
      <c r="R56" s="566">
        <f t="shared" si="43"/>
        <v>1.011446067501188</v>
      </c>
      <c r="S56" s="566">
        <f t="shared" ref="S56:X56" si="44">(S50+(S25*(1-S43)))/S59</f>
        <v>1.4281853945412959</v>
      </c>
      <c r="T56" s="566">
        <f t="shared" si="44"/>
        <v>0.78313162723661134</v>
      </c>
      <c r="U56" s="566">
        <f t="shared" si="44"/>
        <v>0.66726361029712</v>
      </c>
      <c r="V56" s="566">
        <f t="shared" si="44"/>
        <v>1.1294531032200494</v>
      </c>
      <c r="W56" s="566">
        <f t="shared" si="44"/>
        <v>1.2983125722540563</v>
      </c>
      <c r="X56" s="566">
        <f t="shared" si="44"/>
        <v>1.2018666263626199</v>
      </c>
      <c r="Y56" s="566">
        <f>(Y50+(Y25*(1-Y43)))/Y59</f>
        <v>1.406262581454117</v>
      </c>
      <c r="Z56" s="566">
        <f>(Z50+(Z25*(1-Z43)))/Z59</f>
        <v>1.4081890562870576</v>
      </c>
      <c r="AA56" s="566">
        <f>(AA50+(AA25*(1-AA43)))/AA59</f>
        <v>1.3582304831823557</v>
      </c>
      <c r="AB56" s="566">
        <f>(AB50+(AB25*(1-AB43)))/AB59</f>
        <v>1.3048746724700859</v>
      </c>
      <c r="AC56" s="566">
        <f>(AC50+(AC25*(1-AC43)))/AC59</f>
        <v>1.2165075502743279</v>
      </c>
      <c r="AD56" s="1764"/>
      <c r="AE56" s="1743">
        <f>RATE(5,,-N56,S56)*100</f>
        <v>-5.063579807418285</v>
      </c>
      <c r="AF56" s="1744" t="s">
        <v>697</v>
      </c>
      <c r="AG56" s="1743">
        <f>RATE(6,,-W56,AC56)*100</f>
        <v>-1.0788269696475592</v>
      </c>
      <c r="AH56" s="1745" t="s">
        <v>697</v>
      </c>
    </row>
    <row r="57" spans="1:34" ht="12.75" hidden="1" outlineLevel="1">
      <c r="A57" s="497" t="s">
        <v>30</v>
      </c>
      <c r="B57" s="496"/>
      <c r="C57" s="564" t="e">
        <f t="shared" ref="C57:U57" si="45">C56/B56-1</f>
        <v>#DIV/0!</v>
      </c>
      <c r="D57" s="564">
        <f t="shared" si="45"/>
        <v>1.181855161946908</v>
      </c>
      <c r="E57" s="564">
        <f t="shared" si="45"/>
        <v>1.6131463413687537</v>
      </c>
      <c r="F57" s="564">
        <f t="shared" si="45"/>
        <v>0.64807646152730314</v>
      </c>
      <c r="G57" s="564">
        <f t="shared" si="45"/>
        <v>4.8236433257167644E-2</v>
      </c>
      <c r="H57" s="564">
        <f t="shared" si="45"/>
        <v>9.9797703911111757E-2</v>
      </c>
      <c r="I57" s="564">
        <f t="shared" si="45"/>
        <v>-0.14715161412160682</v>
      </c>
      <c r="J57" s="564">
        <f t="shared" si="45"/>
        <v>-0.3227293782024856</v>
      </c>
      <c r="K57" s="564">
        <f t="shared" si="45"/>
        <v>2.6149576200299691</v>
      </c>
      <c r="L57" s="564">
        <f t="shared" si="45"/>
        <v>0.268675021026338</v>
      </c>
      <c r="M57" s="564">
        <f t="shared" si="45"/>
        <v>0.37056991382791238</v>
      </c>
      <c r="N57" s="564">
        <f t="shared" si="45"/>
        <v>7.0433155121581992E-2</v>
      </c>
      <c r="O57" s="564">
        <f t="shared" si="45"/>
        <v>-0.44622310358392725</v>
      </c>
      <c r="P57" s="564">
        <f t="shared" si="45"/>
        <v>7.1628063278501575E-3</v>
      </c>
      <c r="Q57" s="564">
        <f t="shared" si="45"/>
        <v>9.3968185798077641E-2</v>
      </c>
      <c r="R57" s="564">
        <f t="shared" si="45"/>
        <v>-0.10487601128467527</v>
      </c>
      <c r="S57" s="564">
        <f t="shared" si="45"/>
        <v>0.41202328075650785</v>
      </c>
      <c r="T57" s="564">
        <f t="shared" si="45"/>
        <v>-0.45165968631955011</v>
      </c>
      <c r="U57" s="564">
        <f t="shared" si="45"/>
        <v>-0.14795471528630211</v>
      </c>
      <c r="V57" s="564">
        <f t="shared" ref="V57:AC57" si="46">V56/U56-1</f>
        <v>0.69266401732461502</v>
      </c>
      <c r="W57" s="564">
        <f t="shared" si="46"/>
        <v>0.14950551603478868</v>
      </c>
      <c r="X57" s="564">
        <f t="shared" si="46"/>
        <v>-7.4285613459008859E-2</v>
      </c>
      <c r="Y57" s="564">
        <f t="shared" si="46"/>
        <v>0.17006542207606645</v>
      </c>
      <c r="Z57" s="564">
        <f t="shared" si="46"/>
        <v>1.3699254025152374E-3</v>
      </c>
      <c r="AA57" s="564">
        <f t="shared" si="46"/>
        <v>-3.5477177500886525E-2</v>
      </c>
      <c r="AB57" s="564">
        <f t="shared" si="46"/>
        <v>-3.9283325895658194E-2</v>
      </c>
      <c r="AC57" s="564">
        <f t="shared" si="46"/>
        <v>-6.7720773542551682E-2</v>
      </c>
      <c r="AD57" s="1764"/>
      <c r="AE57" s="1738"/>
      <c r="AF57" s="1747"/>
      <c r="AG57" s="1743"/>
      <c r="AH57" s="1751"/>
    </row>
    <row r="58" spans="1:34" ht="12.75" hidden="1" outlineLevel="1">
      <c r="A58" s="1731"/>
      <c r="B58" s="952"/>
      <c r="C58" s="1584"/>
      <c r="D58" s="952"/>
      <c r="E58" s="952"/>
      <c r="F58" s="952"/>
      <c r="G58" s="952"/>
      <c r="H58" s="952"/>
      <c r="I58" s="1309"/>
      <c r="J58" s="1309"/>
      <c r="K58" s="1754"/>
      <c r="L58" s="952"/>
      <c r="M58" s="952"/>
      <c r="N58" s="952"/>
      <c r="O58" s="952"/>
      <c r="P58" s="952"/>
      <c r="Q58" s="952"/>
      <c r="R58" s="952"/>
      <c r="S58" s="952"/>
      <c r="T58" s="952"/>
      <c r="U58" s="952"/>
      <c r="V58" s="952"/>
      <c r="W58" s="952"/>
      <c r="X58" s="952"/>
      <c r="Y58" s="952"/>
      <c r="Z58" s="952"/>
      <c r="AA58" s="952"/>
      <c r="AB58" s="952"/>
      <c r="AC58" s="952"/>
      <c r="AD58" s="1746"/>
      <c r="AE58" s="1731"/>
      <c r="AF58" s="1767"/>
      <c r="AG58" s="1731"/>
      <c r="AH58" s="1768"/>
    </row>
    <row r="59" spans="1:34" ht="12.75" collapsed="1">
      <c r="A59" s="1731" t="s">
        <v>682</v>
      </c>
      <c r="B59" s="952">
        <f>'qtrP&amp;L'!$C$181</f>
        <v>199.96875</v>
      </c>
      <c r="C59" s="952">
        <f>'qtrP&amp;L'!G$181</f>
        <v>134.69625000000002</v>
      </c>
      <c r="D59" s="952">
        <f>'qtrP&amp;L'!K$181</f>
        <v>203.56312500000001</v>
      </c>
      <c r="E59" s="952">
        <f>'qtrP&amp;L'!O$181</f>
        <v>215.78399999999999</v>
      </c>
      <c r="F59" s="952">
        <f>'qtrP&amp;L'!S$181</f>
        <v>219.339</v>
      </c>
      <c r="G59" s="952">
        <f>'qtrP&amp;L'!W$181</f>
        <v>216.39600000000002</v>
      </c>
      <c r="H59" s="952">
        <f>'qtrP&amp;L'!AB181</f>
        <v>221.39099999999999</v>
      </c>
      <c r="I59" s="952">
        <f>+'qtrP&amp;L'!AF181</f>
        <v>218.34899999999999</v>
      </c>
      <c r="J59" s="952">
        <f>+'qtrP&amp;L'!AJ181</f>
        <v>216.62099999999998</v>
      </c>
      <c r="K59" s="952">
        <f>+'qtrP&amp;L'!AN181</f>
        <v>225.36599999999999</v>
      </c>
      <c r="L59" s="952">
        <f>'qtrP&amp;L'!AR181</f>
        <v>233.03100000000001</v>
      </c>
      <c r="M59" s="952">
        <f>'qtrP&amp;L'!AV181</f>
        <v>228.38399999999999</v>
      </c>
      <c r="N59" s="952">
        <f>+'qtrP&amp;L'!AZ181</f>
        <v>220.28</v>
      </c>
      <c r="O59" s="952">
        <f>'qtrP&amp;L'!BD181</f>
        <v>207.58199999999999</v>
      </c>
      <c r="P59" s="952">
        <f>'qtrP&amp;L'!$BH$181</f>
        <v>209.512</v>
      </c>
      <c r="Q59" s="952">
        <f>'qtrP&amp;L'!$BL$181</f>
        <v>201.81800000000001</v>
      </c>
      <c r="R59" s="952">
        <f>'qtrP&amp;L'!$BP$181</f>
        <v>196.27725000000001</v>
      </c>
      <c r="S59" s="952">
        <f>+'qtrP&amp;L'!BT181</f>
        <v>200.66499999999999</v>
      </c>
      <c r="T59" s="952">
        <f>'qtrP&amp;L'!BX181</f>
        <v>194.47499999999999</v>
      </c>
      <c r="U59" s="952">
        <f>'qtrP&amp;L'!CB181</f>
        <v>195.13499999999999</v>
      </c>
      <c r="V59" s="952">
        <f>'qtrP&amp;L'!CF181</f>
        <v>196.23699999999999</v>
      </c>
      <c r="W59" s="952">
        <f>'qtrP&amp;L'!CJ181</f>
        <v>183.83500000000001</v>
      </c>
      <c r="X59" s="952">
        <f>'qtrP&amp;L'!CN181</f>
        <v>180.15600000000001</v>
      </c>
      <c r="Y59" s="952">
        <f>+'qtrP&amp;L'!CR181</f>
        <v>178.43899999999999</v>
      </c>
      <c r="Z59" s="29">
        <f>+Y59+2-3</f>
        <v>177.43899999999999</v>
      </c>
      <c r="AA59" s="29">
        <f>+Z59+2-3</f>
        <v>176.43899999999999</v>
      </c>
      <c r="AB59" s="29">
        <f>+AA59+2-3</f>
        <v>175.43899999999999</v>
      </c>
      <c r="AC59" s="29">
        <f>+AB59+2-3</f>
        <v>174.43899999999999</v>
      </c>
      <c r="AD59" s="1769"/>
      <c r="AE59" s="1770">
        <f>RATE(5,,-R59,W59)*100</f>
        <v>-1.3012512438621819</v>
      </c>
      <c r="AF59" s="1771" t="s">
        <v>697</v>
      </c>
      <c r="AG59" s="1770">
        <f>RATE(6,,-W59,AC59)*100</f>
        <v>-0.87058007698513606</v>
      </c>
      <c r="AH59" s="1772" t="s">
        <v>697</v>
      </c>
    </row>
    <row r="60" spans="1:34" ht="12.75">
      <c r="A60" s="1755" t="s">
        <v>30</v>
      </c>
      <c r="B60" s="1755"/>
      <c r="C60" s="1737">
        <f t="shared" ref="C60:K60" si="47">C59/B59-1</f>
        <v>-0.32641350210970455</v>
      </c>
      <c r="D60" s="1737">
        <f t="shared" si="47"/>
        <v>0.51127536958155839</v>
      </c>
      <c r="E60" s="1737">
        <f t="shared" si="47"/>
        <v>6.0034817209649205E-2</v>
      </c>
      <c r="F60" s="1737">
        <f t="shared" si="47"/>
        <v>1.647480814147495E-2</v>
      </c>
      <c r="G60" s="1737">
        <f t="shared" si="47"/>
        <v>-1.3417586475729326E-2</v>
      </c>
      <c r="H60" s="1737">
        <f t="shared" si="47"/>
        <v>2.3082681750124623E-2</v>
      </c>
      <c r="I60" s="1737">
        <f t="shared" si="47"/>
        <v>-1.3740395951054918E-2</v>
      </c>
      <c r="J60" s="1737">
        <f t="shared" si="47"/>
        <v>-7.9139359465809633E-3</v>
      </c>
      <c r="K60" s="1737">
        <f t="shared" si="47"/>
        <v>4.0370047225338324E-2</v>
      </c>
      <c r="L60" s="1737"/>
      <c r="M60" s="1737">
        <f t="shared" ref="M60:AC60" si="48">M59/L59-1</f>
        <v>-1.9941552840609278E-2</v>
      </c>
      <c r="N60" s="1737">
        <f t="shared" si="48"/>
        <v>-3.5484096959506717E-2</v>
      </c>
      <c r="O60" s="1737">
        <f t="shared" si="48"/>
        <v>-5.7644815689122941E-2</v>
      </c>
      <c r="P60" s="1737">
        <f t="shared" si="48"/>
        <v>9.2975306144078562E-3</v>
      </c>
      <c r="Q60" s="1737">
        <f t="shared" si="48"/>
        <v>-3.6723433502615532E-2</v>
      </c>
      <c r="R60" s="1737">
        <f t="shared" si="48"/>
        <v>-2.7454191400172467E-2</v>
      </c>
      <c r="S60" s="1737">
        <f t="shared" si="48"/>
        <v>2.2354857733130062E-2</v>
      </c>
      <c r="T60" s="1737">
        <f t="shared" si="48"/>
        <v>-3.0847432287643528E-2</v>
      </c>
      <c r="U60" s="1737">
        <f t="shared" si="48"/>
        <v>3.393752410335571E-3</v>
      </c>
      <c r="V60" s="1737">
        <f t="shared" si="48"/>
        <v>5.6473723319752089E-3</v>
      </c>
      <c r="W60" s="1737">
        <f t="shared" si="48"/>
        <v>-6.3199090895193044E-2</v>
      </c>
      <c r="X60" s="1737">
        <f t="shared" si="48"/>
        <v>-2.0012511219299922E-2</v>
      </c>
      <c r="Y60" s="1737">
        <f t="shared" si="48"/>
        <v>-9.5306290104132385E-3</v>
      </c>
      <c r="Z60" s="1737">
        <f t="shared" si="48"/>
        <v>-5.6041560421208336E-3</v>
      </c>
      <c r="AA60" s="1737">
        <f t="shared" si="48"/>
        <v>-5.6357396062872711E-3</v>
      </c>
      <c r="AB60" s="1737">
        <f t="shared" si="48"/>
        <v>-5.6676811815982164E-3</v>
      </c>
      <c r="AC60" s="1737">
        <f t="shared" si="48"/>
        <v>-5.6999868900301509E-3</v>
      </c>
      <c r="AD60" s="1731"/>
      <c r="AE60" s="1731"/>
      <c r="AF60" s="1767"/>
      <c r="AG60" s="1731"/>
      <c r="AH60" s="1767"/>
    </row>
    <row r="61" spans="1:34" ht="12.75">
      <c r="A61" s="497"/>
      <c r="B61" s="496"/>
      <c r="C61" s="564"/>
      <c r="D61" s="564"/>
      <c r="E61" s="564"/>
      <c r="F61" s="564"/>
      <c r="G61" s="564"/>
      <c r="H61" s="564"/>
      <c r="I61" s="564"/>
      <c r="J61" s="564"/>
      <c r="K61" s="564"/>
      <c r="L61" s="564"/>
      <c r="M61" s="564"/>
      <c r="N61" s="564"/>
      <c r="O61" s="564"/>
      <c r="P61" s="564"/>
      <c r="Q61" s="564"/>
      <c r="R61" s="564"/>
      <c r="S61" s="564"/>
      <c r="T61" s="564"/>
      <c r="U61" s="564"/>
      <c r="V61" s="564"/>
      <c r="W61" s="564"/>
      <c r="X61" s="564"/>
      <c r="Y61" s="564"/>
      <c r="Z61" s="564"/>
      <c r="AA61" s="564"/>
      <c r="AB61" s="564"/>
      <c r="AC61" s="564"/>
      <c r="AD61" s="1731"/>
      <c r="AE61" s="1731"/>
      <c r="AF61" s="1767"/>
      <c r="AG61" s="1731"/>
      <c r="AH61" s="1767"/>
    </row>
    <row r="62" spans="1:34" ht="12.75" hidden="1" outlineLevel="1">
      <c r="A62" s="117" t="s">
        <v>92</v>
      </c>
      <c r="B62" s="128"/>
      <c r="C62" s="128"/>
      <c r="D62" s="117"/>
      <c r="E62" s="117"/>
      <c r="F62" s="117"/>
      <c r="G62" s="117"/>
      <c r="H62" s="117"/>
      <c r="I62" s="117"/>
      <c r="J62" s="117"/>
      <c r="K62" s="117"/>
      <c r="L62" s="117"/>
      <c r="M62" s="117"/>
      <c r="N62" s="117"/>
      <c r="O62" s="117"/>
      <c r="P62" s="117"/>
      <c r="Q62" s="117"/>
      <c r="R62" s="117"/>
      <c r="S62" s="117"/>
      <c r="T62" s="117"/>
      <c r="U62" s="117"/>
      <c r="V62" s="117"/>
      <c r="W62" s="117"/>
      <c r="X62" s="117"/>
      <c r="Y62" s="117"/>
      <c r="Z62" s="117"/>
      <c r="AA62" s="117"/>
      <c r="AB62" s="117"/>
      <c r="AC62" s="117"/>
      <c r="AD62" s="117"/>
      <c r="AE62" s="117"/>
      <c r="AF62" s="129"/>
      <c r="AG62" s="117"/>
      <c r="AH62" s="129"/>
    </row>
    <row r="63" spans="1:34" ht="12.75" collapsed="1">
      <c r="A63" s="117"/>
      <c r="B63" s="128"/>
      <c r="C63" s="128"/>
      <c r="D63" s="117"/>
      <c r="E63" s="117"/>
      <c r="F63" s="117"/>
      <c r="G63" s="117"/>
      <c r="H63" s="117"/>
      <c r="I63" s="117"/>
      <c r="J63" s="117"/>
      <c r="K63" s="332"/>
      <c r="L63" s="1763"/>
      <c r="M63" s="117"/>
      <c r="N63" s="117"/>
      <c r="O63" s="117"/>
      <c r="P63" s="575"/>
      <c r="Q63" s="117"/>
      <c r="R63" s="117"/>
      <c r="S63" s="117"/>
      <c r="T63" s="117"/>
      <c r="U63" s="117"/>
      <c r="V63" s="117"/>
      <c r="W63" s="117"/>
      <c r="X63" s="117"/>
      <c r="Y63" s="117"/>
      <c r="Z63" s="117"/>
      <c r="AA63" s="117"/>
      <c r="AB63" s="117"/>
      <c r="AC63" s="117"/>
      <c r="AD63" s="117"/>
      <c r="AE63" s="117"/>
      <c r="AF63" s="129"/>
      <c r="AG63" s="117"/>
      <c r="AH63" s="129"/>
    </row>
    <row r="64" spans="1:34" ht="12.75">
      <c r="A64" s="1469" t="s">
        <v>572</v>
      </c>
      <c r="B64" s="952"/>
      <c r="C64" s="952"/>
      <c r="D64" s="1731"/>
      <c r="E64" s="1731"/>
      <c r="F64" s="1731"/>
      <c r="G64" s="1731"/>
      <c r="H64" s="1731"/>
      <c r="I64" s="1731"/>
      <c r="J64" s="1731"/>
      <c r="K64" s="1731"/>
      <c r="L64" s="1731"/>
      <c r="M64" s="1731"/>
      <c r="N64" s="1731"/>
      <c r="O64" s="1731"/>
      <c r="P64" s="1731"/>
      <c r="Q64" s="1731"/>
      <c r="R64" s="1731"/>
      <c r="S64" s="1731"/>
      <c r="T64" s="1731"/>
      <c r="U64" s="1731"/>
      <c r="V64" s="1731"/>
      <c r="W64" s="1731"/>
      <c r="X64" s="1731"/>
      <c r="Y64" s="1731"/>
      <c r="Z64" s="1731"/>
      <c r="AA64" s="1731"/>
      <c r="AB64" s="1731"/>
      <c r="AC64" s="1731"/>
      <c r="AD64" s="1731"/>
      <c r="AE64" s="1731"/>
      <c r="AF64" s="1767"/>
      <c r="AG64" s="1731"/>
      <c r="AH64" s="1767"/>
    </row>
    <row r="65" spans="1:34" ht="12.75" hidden="1" outlineLevel="1">
      <c r="A65" s="1469" t="s">
        <v>481</v>
      </c>
      <c r="B65" s="952"/>
      <c r="C65" s="952"/>
      <c r="D65" s="1731"/>
      <c r="E65" s="1731"/>
      <c r="F65" s="1731"/>
      <c r="G65" s="1731"/>
      <c r="H65" s="1731"/>
      <c r="I65" s="1731"/>
      <c r="J65" s="1731"/>
      <c r="K65" s="1731"/>
      <c r="L65" s="1731"/>
      <c r="M65" s="1731"/>
      <c r="N65" s="1731"/>
      <c r="O65" s="1731"/>
      <c r="P65" s="1731"/>
      <c r="Q65" s="1731"/>
      <c r="R65" s="1731"/>
      <c r="S65" s="1731"/>
      <c r="T65" s="1731"/>
      <c r="U65" s="1731"/>
      <c r="V65" s="1731"/>
      <c r="W65" s="1731"/>
      <c r="X65" s="1731"/>
      <c r="Y65" s="1731"/>
      <c r="Z65" s="1731"/>
      <c r="AA65" s="1731"/>
      <c r="AB65" s="1731"/>
      <c r="AC65" s="1731"/>
      <c r="AD65" s="1731"/>
      <c r="AE65" s="1731"/>
      <c r="AF65" s="1767"/>
      <c r="AG65" s="1731"/>
      <c r="AH65" s="1767"/>
    </row>
    <row r="66" spans="1:34" ht="12.75" hidden="1" outlineLevel="1">
      <c r="A66" s="1469" t="s">
        <v>482</v>
      </c>
      <c r="B66" s="952"/>
      <c r="C66" s="952"/>
      <c r="D66" s="1731"/>
      <c r="E66" s="1731"/>
      <c r="F66" s="1731"/>
      <c r="G66" s="1731"/>
      <c r="H66" s="1731"/>
      <c r="I66" s="1731"/>
      <c r="J66" s="1731"/>
      <c r="K66" s="1731"/>
      <c r="L66" s="1731"/>
      <c r="M66" s="1731"/>
      <c r="N66" s="1731"/>
      <c r="O66" s="1731"/>
      <c r="P66" s="1731"/>
      <c r="Q66" s="1731"/>
      <c r="R66" s="1731"/>
      <c r="S66" s="1731"/>
      <c r="T66" s="1731"/>
      <c r="U66" s="1731"/>
      <c r="V66" s="1731"/>
      <c r="W66" s="1731"/>
      <c r="X66" s="1731"/>
      <c r="Y66" s="1731"/>
      <c r="Z66" s="1731"/>
      <c r="AA66" s="1731"/>
      <c r="AB66" s="1731"/>
      <c r="AC66" s="1731"/>
      <c r="AD66" s="1731"/>
      <c r="AE66" s="1731"/>
      <c r="AF66" s="1767"/>
      <c r="AG66" s="1731"/>
      <c r="AH66" s="1767"/>
    </row>
    <row r="67" spans="1:34" ht="12.75" hidden="1" outlineLevel="1">
      <c r="A67" s="1469"/>
      <c r="B67" s="952"/>
      <c r="C67" s="952"/>
      <c r="D67" s="1731"/>
      <c r="E67" s="1731"/>
      <c r="F67" s="1731"/>
      <c r="G67" s="1731"/>
      <c r="H67" s="1731"/>
      <c r="I67" s="1731"/>
      <c r="J67" s="1731"/>
      <c r="K67" s="1731"/>
      <c r="L67" s="1731"/>
      <c r="M67" s="1731"/>
      <c r="N67" s="1731"/>
      <c r="O67" s="1731"/>
      <c r="P67" s="1731"/>
      <c r="Q67" s="1731"/>
      <c r="R67" s="1731"/>
      <c r="S67" s="1731"/>
      <c r="T67" s="1731"/>
      <c r="U67" s="1731"/>
      <c r="V67" s="1731"/>
      <c r="W67" s="1731"/>
      <c r="X67" s="1731"/>
      <c r="Y67" s="1731"/>
      <c r="Z67" s="1731"/>
      <c r="AA67" s="1731"/>
      <c r="AB67" s="1731"/>
      <c r="AC67" s="1731"/>
      <c r="AD67" s="1731"/>
      <c r="AE67" s="1731"/>
      <c r="AF67" s="1767"/>
      <c r="AG67" s="1731"/>
      <c r="AH67" s="1767"/>
    </row>
    <row r="68" spans="1:34" ht="14.25" hidden="1" outlineLevel="1">
      <c r="A68" s="563"/>
      <c r="B68" s="952"/>
      <c r="C68" s="952"/>
      <c r="D68" s="1731"/>
      <c r="E68" s="1731"/>
      <c r="F68" s="1731"/>
      <c r="G68" s="1731"/>
      <c r="H68" s="1731"/>
      <c r="I68" s="1731"/>
      <c r="J68" s="1731"/>
      <c r="K68" s="1731"/>
      <c r="L68" s="1731"/>
      <c r="M68" s="1731"/>
      <c r="N68" s="1731"/>
      <c r="O68" s="1731"/>
      <c r="P68" s="1731"/>
      <c r="Q68" s="1731"/>
      <c r="R68" s="1731"/>
      <c r="S68" s="1731"/>
      <c r="T68" s="1731"/>
      <c r="U68" s="1731"/>
      <c r="V68" s="1731"/>
      <c r="W68" s="1731"/>
      <c r="X68" s="1731"/>
      <c r="Y68" s="1731"/>
      <c r="Z68" s="1731"/>
      <c r="AA68" s="1731"/>
      <c r="AB68" s="1731"/>
      <c r="AC68" s="1731"/>
      <c r="AD68" s="1731"/>
      <c r="AE68" s="1731"/>
      <c r="AF68" s="1767"/>
      <c r="AG68" s="1731"/>
      <c r="AH68" s="1767"/>
    </row>
    <row r="69" spans="1:34" ht="12.75" collapsed="1">
      <c r="A69" s="1469"/>
      <c r="B69" s="952"/>
      <c r="C69" s="952"/>
      <c r="D69" s="1731"/>
      <c r="E69" s="1731"/>
      <c r="F69" s="1731"/>
      <c r="G69" s="1731"/>
      <c r="H69" s="1731"/>
      <c r="I69" s="1731"/>
      <c r="J69" s="1731"/>
      <c r="K69" s="1731"/>
      <c r="L69" s="1731"/>
      <c r="M69" s="1731"/>
      <c r="N69" s="1731"/>
      <c r="O69" s="1731"/>
      <c r="P69" s="1731"/>
      <c r="Q69" s="1731"/>
      <c r="R69" s="1731"/>
      <c r="S69" s="1731"/>
      <c r="T69" s="1731"/>
      <c r="U69" s="1731"/>
      <c r="V69" s="1731"/>
      <c r="W69" s="1731"/>
      <c r="X69" s="1731"/>
      <c r="Y69" s="1731"/>
      <c r="Z69" s="1731"/>
      <c r="AA69" s="1731"/>
      <c r="AB69" s="1731"/>
      <c r="AC69" s="1731"/>
      <c r="AD69" s="1731"/>
      <c r="AE69" s="1731"/>
      <c r="AF69" s="1767"/>
      <c r="AG69" s="1731"/>
      <c r="AH69" s="1767"/>
    </row>
    <row r="70" spans="1:34" ht="12.75" outlineLevel="1">
      <c r="A70" s="495" t="s">
        <v>573</v>
      </c>
      <c r="B70" s="496"/>
      <c r="C70" s="496"/>
      <c r="D70" s="497"/>
      <c r="E70" s="497"/>
      <c r="F70" s="497"/>
      <c r="G70" s="497"/>
      <c r="H70" s="497"/>
      <c r="I70" s="497"/>
      <c r="J70" s="497"/>
      <c r="K70" s="497"/>
      <c r="L70" s="497"/>
      <c r="M70" s="497"/>
      <c r="N70" s="497"/>
      <c r="O70" s="497"/>
      <c r="P70" s="497"/>
      <c r="Q70" s="497"/>
      <c r="R70" s="497"/>
      <c r="S70" s="497"/>
      <c r="T70" s="497"/>
      <c r="U70" s="497"/>
      <c r="V70" s="497"/>
      <c r="W70" s="497"/>
      <c r="X70" s="497"/>
      <c r="Y70" s="497"/>
      <c r="Z70" s="497"/>
      <c r="AA70" s="497"/>
      <c r="AB70" s="497"/>
      <c r="AC70" s="497"/>
      <c r="AD70" s="497"/>
      <c r="AE70" s="497"/>
      <c r="AF70" s="497"/>
      <c r="AG70" s="497"/>
      <c r="AH70" s="497"/>
    </row>
    <row r="71" spans="1:34" ht="12.75" outlineLevel="1">
      <c r="A71" s="497" t="s">
        <v>591</v>
      </c>
      <c r="B71" s="496"/>
      <c r="C71" s="496"/>
      <c r="D71" s="497"/>
      <c r="E71" s="497">
        <f>'qtrP&amp;L'!O192</f>
        <v>138</v>
      </c>
      <c r="F71" s="497">
        <f>'qtrP&amp;L'!S192</f>
        <v>141</v>
      </c>
      <c r="G71" s="497">
        <f>'qtrP&amp;L'!W192</f>
        <v>140.83799999999999</v>
      </c>
      <c r="H71" s="497">
        <f>'qtrP&amp;L'!AB192</f>
        <v>143.81200000000001</v>
      </c>
      <c r="I71" s="497">
        <f>'qtrP&amp;L'!AF192</f>
        <v>142.09399999999999</v>
      </c>
      <c r="J71" s="497">
        <f>'qtrP&amp;L'!AJ192</f>
        <v>213.57300000000001</v>
      </c>
      <c r="K71" s="497">
        <f>'qtrP&amp;L'!AN192</f>
        <v>220.14</v>
      </c>
      <c r="L71" s="497">
        <f t="shared" ref="L71:U71" si="49">(L59/K59)*K71</f>
        <v>227.62725672905407</v>
      </c>
      <c r="M71" s="497">
        <f t="shared" si="49"/>
        <v>223.08801576102871</v>
      </c>
      <c r="N71" s="497">
        <f t="shared" si="49"/>
        <v>215.1719389792604</v>
      </c>
      <c r="O71" s="497">
        <f t="shared" si="49"/>
        <v>202.76839221532973</v>
      </c>
      <c r="P71" s="497">
        <f t="shared" si="49"/>
        <v>204.65363754958602</v>
      </c>
      <c r="Q71" s="497">
        <f t="shared" si="49"/>
        <v>197.13805329996541</v>
      </c>
      <c r="R71" s="497">
        <f t="shared" si="49"/>
        <v>191.72578745241074</v>
      </c>
      <c r="S71" s="497">
        <f t="shared" si="49"/>
        <v>196.01179015468171</v>
      </c>
      <c r="T71" s="497">
        <f t="shared" si="49"/>
        <v>189.96532973030537</v>
      </c>
      <c r="U71" s="497">
        <f t="shared" si="49"/>
        <v>190.61002502595778</v>
      </c>
      <c r="V71" s="497">
        <f t="shared" ref="V71:AC71" si="50">(V59/U59)*U71</f>
        <v>191.68647080748647</v>
      </c>
      <c r="W71" s="497">
        <f t="shared" si="50"/>
        <v>179.57206011554536</v>
      </c>
      <c r="X71" s="497">
        <f t="shared" si="50"/>
        <v>175.9783722478102</v>
      </c>
      <c r="Y71" s="497">
        <f t="shared" si="50"/>
        <v>174.30118766805992</v>
      </c>
      <c r="Z71" s="497">
        <f t="shared" si="50"/>
        <v>173.32437661404114</v>
      </c>
      <c r="AA71" s="497">
        <f t="shared" si="50"/>
        <v>172.34756556002233</v>
      </c>
      <c r="AB71" s="497">
        <f t="shared" si="50"/>
        <v>171.37075450600352</v>
      </c>
      <c r="AC71" s="497">
        <f t="shared" si="50"/>
        <v>170.39394345198474</v>
      </c>
      <c r="AD71" s="497"/>
      <c r="AE71" s="497"/>
      <c r="AF71" s="497"/>
      <c r="AG71" s="497"/>
      <c r="AH71" s="497"/>
    </row>
    <row r="72" spans="1:34" ht="12.75" outlineLevel="1">
      <c r="A72" s="497" t="s">
        <v>592</v>
      </c>
      <c r="B72" s="496"/>
      <c r="C72" s="496"/>
      <c r="D72" s="497"/>
      <c r="E72" s="497">
        <f>'qtrP&amp;L'!O199</f>
        <v>135.84299999999999</v>
      </c>
      <c r="F72" s="497">
        <f>'qtrP&amp;L'!S199</f>
        <v>132.54300000000001</v>
      </c>
      <c r="G72" s="497">
        <f>'qtrP&amp;L'!W199</f>
        <v>139.304</v>
      </c>
      <c r="H72" s="497">
        <f>'qtrP&amp;L'!AB199</f>
        <v>143.05799999999999</v>
      </c>
      <c r="I72" s="497">
        <f>'qtrP&amp;L'!AF199</f>
        <v>143.41800000000001</v>
      </c>
      <c r="J72" s="497">
        <f>'qtrP&amp;L'!AJ199</f>
        <v>142.226</v>
      </c>
      <c r="K72" s="497">
        <f>+AVERAGE(K71,J71)</f>
        <v>216.85649999999998</v>
      </c>
      <c r="L72" s="497">
        <f>+AVERAGE(L71,K71)</f>
        <v>223.88362836452703</v>
      </c>
      <c r="M72" s="497">
        <f>+'qtrP&amp;L'!AV199</f>
        <v>222.69850000000002</v>
      </c>
      <c r="N72" s="497">
        <f>+'qtrP&amp;L'!AZ199</f>
        <v>216.119</v>
      </c>
      <c r="O72" s="497">
        <f>+'qtrP&amp;L'!BD199</f>
        <v>205.16900000000001</v>
      </c>
      <c r="P72" s="497">
        <f>+'qtrP&amp;L'!BH199</f>
        <v>206.17099999999999</v>
      </c>
      <c r="Q72" s="497">
        <f>+'qtrP&amp;L'!BL199</f>
        <v>199.97900000000001</v>
      </c>
      <c r="R72" s="497">
        <f>+'qtrP&amp;L'!BP199</f>
        <v>194.44200000000001</v>
      </c>
      <c r="S72" s="497">
        <f t="shared" ref="S72:AC72" si="51">(S59/R59)*R72</f>
        <v>198.78872324734527</v>
      </c>
      <c r="T72" s="497">
        <f t="shared" si="51"/>
        <v>192.6566015674257</v>
      </c>
      <c r="U72" s="497">
        <f t="shared" si="51"/>
        <v>193.31043037336221</v>
      </c>
      <c r="V72" s="497">
        <f t="shared" si="51"/>
        <v>194.40212634933496</v>
      </c>
      <c r="W72" s="497">
        <f t="shared" si="51"/>
        <v>182.11608869596455</v>
      </c>
      <c r="X72" s="497">
        <f t="shared" si="51"/>
        <v>178.47148842772154</v>
      </c>
      <c r="Y72" s="497">
        <f t="shared" si="51"/>
        <v>176.77054288258066</v>
      </c>
      <c r="Z72" s="497">
        <f t="shared" si="51"/>
        <v>175.77989317661627</v>
      </c>
      <c r="AA72" s="497">
        <f t="shared" si="51"/>
        <v>174.78924347065185</v>
      </c>
      <c r="AB72" s="497">
        <f t="shared" si="51"/>
        <v>173.79859376468744</v>
      </c>
      <c r="AC72" s="497">
        <f t="shared" si="51"/>
        <v>172.80794405872305</v>
      </c>
      <c r="AD72" s="497"/>
      <c r="AE72" s="497"/>
      <c r="AF72" s="497"/>
      <c r="AG72" s="497"/>
      <c r="AH72" s="497"/>
    </row>
    <row r="73" spans="1:34" ht="12.75" outlineLevel="1">
      <c r="A73" s="497" t="s">
        <v>593</v>
      </c>
      <c r="B73" s="496"/>
      <c r="C73" s="496"/>
      <c r="D73" s="497"/>
      <c r="E73" s="497"/>
      <c r="F73" s="497"/>
      <c r="G73" s="498">
        <v>0</v>
      </c>
      <c r="H73" s="498">
        <v>0</v>
      </c>
      <c r="I73" s="498">
        <v>0</v>
      </c>
      <c r="J73" s="498">
        <v>0</v>
      </c>
      <c r="K73" s="499">
        <f>'qtrP&amp;L'!AN208</f>
        <v>0.04</v>
      </c>
      <c r="L73" s="499">
        <f>'qtrP&amp;L'!AR208</f>
        <v>0.18333333333333332</v>
      </c>
      <c r="M73" s="499">
        <f>'qtrP&amp;L'!AV208</f>
        <v>0.27500000000000002</v>
      </c>
      <c r="N73" s="499">
        <f>'qtrP&amp;L'!AZ208</f>
        <v>0.375</v>
      </c>
      <c r="O73" s="499">
        <f>'qtrP&amp;L'!BD208</f>
        <v>0.4</v>
      </c>
      <c r="P73" s="499">
        <f>'qtrP&amp;L'!BH208</f>
        <v>0.4</v>
      </c>
      <c r="Q73" s="499">
        <f>'qtrP&amp;L'!BL208</f>
        <v>0.43</v>
      </c>
      <c r="R73" s="499">
        <f>'qtrP&amp;L'!$BP$208</f>
        <v>0.44</v>
      </c>
      <c r="S73" s="499">
        <f>'qtrP&amp;L'!BT208</f>
        <v>2.0500000000000003</v>
      </c>
      <c r="T73" s="499">
        <f>'qtrP&amp;L'!BX208</f>
        <v>0.375</v>
      </c>
      <c r="U73" s="499">
        <f>'qtrP&amp;L'!CB208</f>
        <v>0.5</v>
      </c>
      <c r="V73" s="499">
        <f>+'qtrP&amp;L'!CF208</f>
        <v>0.5</v>
      </c>
      <c r="W73" s="499">
        <f>+'qtrP&amp;L'!CJ208</f>
        <v>0.5</v>
      </c>
      <c r="X73" s="499">
        <f>+'qtrP&amp;L'!CN208</f>
        <v>0.5</v>
      </c>
      <c r="Y73" s="499">
        <f>+'qtrP&amp;L'!CR208</f>
        <v>0.55000000000000004</v>
      </c>
      <c r="Z73" s="499">
        <f t="shared" ref="V73:AC73" si="52">Y73</f>
        <v>0.55000000000000004</v>
      </c>
      <c r="AA73" s="499">
        <f t="shared" si="52"/>
        <v>0.55000000000000004</v>
      </c>
      <c r="AB73" s="499">
        <f t="shared" si="52"/>
        <v>0.55000000000000004</v>
      </c>
      <c r="AC73" s="499">
        <f t="shared" si="52"/>
        <v>0.55000000000000004</v>
      </c>
      <c r="AD73" s="497"/>
      <c r="AE73" s="497"/>
      <c r="AF73" s="497"/>
      <c r="AG73" s="497"/>
      <c r="AH73" s="497"/>
    </row>
    <row r="74" spans="1:34" ht="12.75" outlineLevel="1">
      <c r="A74" s="1731"/>
      <c r="B74" s="952"/>
      <c r="C74" s="952"/>
      <c r="D74" s="1731"/>
      <c r="E74" s="1731"/>
      <c r="F74" s="1731"/>
      <c r="G74" s="1731"/>
      <c r="H74" s="1731"/>
      <c r="I74" s="1731"/>
      <c r="J74" s="1731"/>
      <c r="K74" s="1731"/>
      <c r="L74" s="1731"/>
      <c r="M74" s="1731"/>
      <c r="N74" s="1731"/>
      <c r="O74" s="1731"/>
      <c r="P74" s="1731"/>
      <c r="Q74" s="1731"/>
      <c r="R74" s="1731"/>
      <c r="S74" s="1731"/>
      <c r="T74" s="1731"/>
      <c r="U74" s="1731"/>
      <c r="V74" s="1731"/>
      <c r="W74" s="1731"/>
      <c r="X74" s="1731"/>
      <c r="Y74" s="1731"/>
      <c r="Z74" s="1731"/>
      <c r="AA74" s="1731"/>
      <c r="AB74" s="1731"/>
      <c r="AC74" s="1731"/>
      <c r="AD74" s="1731"/>
      <c r="AE74" s="1731"/>
      <c r="AF74" s="1731"/>
      <c r="AG74" s="1731"/>
      <c r="AH74" s="1731"/>
    </row>
    <row r="75" spans="1:34" ht="12.75" outlineLevel="1">
      <c r="A75" s="497" t="s">
        <v>138</v>
      </c>
      <c r="B75" s="952"/>
      <c r="C75" s="952"/>
      <c r="D75" s="1731"/>
      <c r="E75" s="1731"/>
      <c r="F75" s="1731"/>
      <c r="G75" s="1731"/>
      <c r="H75" s="1731"/>
      <c r="I75" s="1731"/>
      <c r="J75" s="1731"/>
      <c r="K75" s="1731"/>
      <c r="L75" s="1731"/>
      <c r="M75" s="1731"/>
      <c r="N75" s="1731"/>
      <c r="O75" s="1731"/>
      <c r="P75" s="1731"/>
      <c r="Q75" s="1731"/>
      <c r="R75" s="1731"/>
      <c r="S75" s="1731"/>
      <c r="T75" s="1731"/>
      <c r="U75" s="1731"/>
      <c r="V75" s="1731"/>
      <c r="W75" s="1731"/>
      <c r="X75" s="1731"/>
      <c r="Y75" s="1731"/>
      <c r="Z75" s="1731"/>
      <c r="AA75" s="1731"/>
      <c r="AB75" s="1731"/>
      <c r="AC75" s="1731"/>
      <c r="AD75" s="1731"/>
      <c r="AE75" s="1731"/>
      <c r="AF75" s="1731"/>
      <c r="AG75" s="1731"/>
      <c r="AH75" s="1731"/>
    </row>
    <row r="76" spans="1:34" ht="12.75" outlineLevel="1">
      <c r="A76" s="1731"/>
      <c r="B76" s="952"/>
      <c r="C76" s="952"/>
      <c r="D76" s="1731"/>
      <c r="E76" s="1731"/>
      <c r="F76" s="1731"/>
      <c r="G76" s="1731"/>
      <c r="H76" s="1731"/>
      <c r="I76" s="1731"/>
      <c r="J76" s="1731"/>
      <c r="K76" s="1731"/>
      <c r="L76" s="1731"/>
      <c r="M76" s="1731"/>
      <c r="N76" s="1731"/>
      <c r="O76" s="1731"/>
      <c r="P76" s="1731"/>
      <c r="Q76" s="1731"/>
      <c r="R76" s="1731"/>
      <c r="S76" s="1731"/>
      <c r="T76" s="1731"/>
      <c r="U76" s="1731"/>
      <c r="V76" s="1731"/>
      <c r="W76" s="1731"/>
      <c r="X76" s="1731"/>
      <c r="Y76" s="1731"/>
      <c r="Z76" s="1731"/>
      <c r="AA76" s="1731"/>
      <c r="AB76" s="1731"/>
      <c r="AC76" s="1731"/>
      <c r="AD76" s="1731"/>
      <c r="AE76" s="1731"/>
      <c r="AF76" s="1731"/>
      <c r="AG76" s="1731"/>
      <c r="AH76" s="1731"/>
    </row>
    <row r="77" spans="1:34" ht="12.75">
      <c r="A77" s="1731"/>
      <c r="B77" s="952"/>
      <c r="C77" s="952"/>
      <c r="D77" s="1731"/>
      <c r="E77" s="1731"/>
      <c r="F77" s="1731"/>
      <c r="G77" s="1731"/>
      <c r="H77" s="1731"/>
      <c r="I77" s="1731"/>
      <c r="J77" s="1731"/>
      <c r="K77" s="1731"/>
      <c r="L77" s="1731"/>
      <c r="M77" s="1731"/>
      <c r="N77" s="1731"/>
      <c r="O77" s="1731"/>
      <c r="P77" s="1731"/>
      <c r="Q77" s="1731"/>
      <c r="R77" s="1731"/>
      <c r="S77" s="1731"/>
      <c r="T77" s="1731"/>
      <c r="U77" s="1731"/>
      <c r="V77" s="1731"/>
      <c r="W77" s="1731"/>
      <c r="X77" s="1731"/>
      <c r="Y77" s="1731"/>
      <c r="Z77" s="1731"/>
      <c r="AA77" s="1731"/>
      <c r="AB77" s="1731"/>
      <c r="AC77" s="1731"/>
      <c r="AD77" s="1731"/>
      <c r="AE77" s="1731"/>
      <c r="AF77" s="1731"/>
      <c r="AG77" s="1731"/>
      <c r="AH77" s="1731"/>
    </row>
    <row r="78" spans="1:34" ht="12.75">
      <c r="A78" s="1731"/>
      <c r="B78" s="952"/>
      <c r="C78" s="952"/>
      <c r="D78" s="1731"/>
      <c r="E78" s="1731"/>
      <c r="F78" s="1731"/>
      <c r="G78" s="1731"/>
      <c r="H78" s="1731"/>
      <c r="I78" s="1731"/>
      <c r="J78" s="1731"/>
      <c r="K78" s="1731"/>
      <c r="L78" s="1731"/>
      <c r="M78" s="1731"/>
      <c r="N78" s="1731"/>
      <c r="O78" s="1731"/>
      <c r="P78" s="1731"/>
      <c r="Q78" s="1731"/>
      <c r="R78" s="1731"/>
      <c r="S78" s="1731"/>
      <c r="T78" s="1731"/>
      <c r="U78" s="1731"/>
      <c r="V78" s="1731"/>
      <c r="W78" s="1731"/>
      <c r="X78" s="1731"/>
      <c r="Y78" s="1731"/>
      <c r="Z78" s="1731"/>
      <c r="AA78" s="1731"/>
      <c r="AB78" s="1731"/>
      <c r="AC78" s="1731"/>
      <c r="AD78" s="1731"/>
      <c r="AE78" s="1731"/>
      <c r="AF78" s="1731"/>
      <c r="AG78" s="1731"/>
      <c r="AH78" s="1731"/>
    </row>
    <row r="79" spans="1:34" ht="12.75" hidden="1" outlineLevel="1">
      <c r="A79" s="1731"/>
      <c r="B79" s="952"/>
      <c r="C79" s="952"/>
      <c r="D79" s="1731"/>
      <c r="E79" s="1731"/>
      <c r="F79" s="1731"/>
      <c r="G79" s="1731"/>
      <c r="H79" s="46" t="s">
        <v>3</v>
      </c>
      <c r="I79" s="1773"/>
      <c r="J79" s="1773"/>
      <c r="K79" s="1773"/>
      <c r="L79" s="1773"/>
      <c r="M79" s="1773"/>
      <c r="N79" s="1773"/>
      <c r="O79" s="1773"/>
      <c r="P79" s="1773"/>
      <c r="Q79" s="1773"/>
      <c r="R79" s="1773"/>
      <c r="S79" s="1773"/>
      <c r="T79" s="1774"/>
      <c r="U79" s="1774"/>
      <c r="V79" s="1774"/>
      <c r="W79" s="1774"/>
      <c r="X79" s="1774"/>
      <c r="Y79" s="1774"/>
      <c r="Z79" s="1774"/>
      <c r="AA79" s="1774"/>
      <c r="AB79" s="1774"/>
      <c r="AC79" s="1774"/>
      <c r="AD79" s="1731"/>
      <c r="AE79" s="1731"/>
      <c r="AF79" s="1731"/>
      <c r="AG79" s="1731"/>
      <c r="AH79" s="1731"/>
    </row>
    <row r="80" spans="1:34" ht="12.75" hidden="1" outlineLevel="1">
      <c r="A80" s="1731"/>
      <c r="B80" s="952"/>
      <c r="C80" s="952"/>
      <c r="D80" s="1731"/>
      <c r="E80" s="1731"/>
      <c r="F80" s="1731"/>
      <c r="G80" s="1731"/>
      <c r="H80" s="1731"/>
      <c r="I80" s="1731"/>
      <c r="J80" s="952">
        <f t="shared" ref="J80:P80" si="53">+J7</f>
        <v>1435.4359999999999</v>
      </c>
      <c r="K80" s="952">
        <f t="shared" si="53"/>
        <v>1889.6469999999999</v>
      </c>
      <c r="L80" s="952">
        <f t="shared" si="53"/>
        <v>2321.962</v>
      </c>
      <c r="M80" s="952">
        <f t="shared" si="53"/>
        <v>2794.4089999999997</v>
      </c>
      <c r="N80" s="952">
        <f t="shared" si="53"/>
        <v>3055.4189999999999</v>
      </c>
      <c r="O80" s="952">
        <f t="shared" si="53"/>
        <v>2988.866</v>
      </c>
      <c r="P80" s="952">
        <f t="shared" si="53"/>
        <v>2940.2689999999998</v>
      </c>
      <c r="Q80" s="952">
        <f>+Q7</f>
        <v>2945.2939999999999</v>
      </c>
      <c r="R80" s="952">
        <f>+R7</f>
        <v>3120.0650000000001</v>
      </c>
      <c r="S80" s="952">
        <f>+S7</f>
        <v>3475.8019999999997</v>
      </c>
      <c r="T80" s="952"/>
      <c r="U80" s="952"/>
      <c r="V80" s="952"/>
      <c r="W80" s="952"/>
      <c r="X80" s="952"/>
      <c r="Y80" s="952"/>
      <c r="Z80" s="952"/>
      <c r="AA80" s="952"/>
      <c r="AB80" s="952"/>
      <c r="AC80" s="952"/>
      <c r="AD80" s="1731"/>
      <c r="AE80" s="1731"/>
      <c r="AF80" s="1731"/>
      <c r="AG80" s="1731"/>
      <c r="AH80" s="1731"/>
    </row>
    <row r="81" spans="1:34" ht="12.75" hidden="1" outlineLevel="1">
      <c r="A81" s="1731"/>
      <c r="B81" s="952"/>
      <c r="C81" s="952"/>
      <c r="D81" s="1731"/>
      <c r="E81" s="1731"/>
      <c r="F81" s="1731"/>
      <c r="G81" s="1731"/>
      <c r="I81" s="1775" t="s">
        <v>594</v>
      </c>
      <c r="J81" s="952">
        <f t="shared" ref="J81:S81" si="54">+J80*J82</f>
        <v>136.36642000000001</v>
      </c>
      <c r="K81" s="952">
        <f t="shared" si="54"/>
        <v>264.55058000000002</v>
      </c>
      <c r="L81" s="952">
        <f t="shared" si="54"/>
        <v>220.58638999999999</v>
      </c>
      <c r="M81" s="952">
        <f t="shared" si="54"/>
        <v>265.46885499999996</v>
      </c>
      <c r="N81" s="952">
        <f t="shared" si="54"/>
        <v>290.26480499999997</v>
      </c>
      <c r="O81" s="952">
        <f t="shared" si="54"/>
        <v>283.94227000000001</v>
      </c>
      <c r="P81" s="952">
        <f t="shared" si="54"/>
        <v>279.32555500000001</v>
      </c>
      <c r="Q81" s="952">
        <f t="shared" si="54"/>
        <v>279.80293</v>
      </c>
      <c r="R81" s="952">
        <f t="shared" si="54"/>
        <v>296.40617500000002</v>
      </c>
      <c r="S81" s="952">
        <f t="shared" si="54"/>
        <v>330.20119</v>
      </c>
      <c r="T81" s="952"/>
      <c r="U81" s="952"/>
      <c r="V81" s="952"/>
      <c r="W81" s="952"/>
      <c r="X81" s="952"/>
      <c r="Y81" s="952"/>
      <c r="Z81" s="952"/>
      <c r="AA81" s="952"/>
      <c r="AB81" s="952"/>
      <c r="AC81" s="952"/>
      <c r="AD81" s="1731"/>
      <c r="AE81" s="1731"/>
      <c r="AF81" s="1731"/>
      <c r="AG81" s="1731"/>
      <c r="AH81" s="1731"/>
    </row>
    <row r="82" spans="1:34" ht="12.75" hidden="1" outlineLevel="1">
      <c r="A82" s="1731"/>
      <c r="B82" s="952"/>
      <c r="C82" s="952"/>
      <c r="D82" s="1731"/>
      <c r="E82" s="1731"/>
      <c r="F82" s="1731"/>
      <c r="G82" s="1731"/>
      <c r="J82" s="334">
        <v>9.5000000000000001E-2</v>
      </c>
      <c r="K82" s="334">
        <v>0.14000000000000001</v>
      </c>
      <c r="L82" s="334">
        <v>9.5000000000000001E-2</v>
      </c>
      <c r="M82" s="334">
        <v>9.5000000000000001E-2</v>
      </c>
      <c r="N82" s="334">
        <v>9.5000000000000001E-2</v>
      </c>
      <c r="O82" s="334">
        <v>9.5000000000000001E-2</v>
      </c>
      <c r="P82" s="334">
        <v>9.5000000000000001E-2</v>
      </c>
      <c r="Q82" s="334">
        <v>9.5000000000000001E-2</v>
      </c>
      <c r="R82" s="334">
        <v>9.5000000000000001E-2</v>
      </c>
      <c r="S82" s="334">
        <v>9.5000000000000001E-2</v>
      </c>
      <c r="T82" s="334"/>
      <c r="U82" s="334"/>
      <c r="V82" s="334"/>
      <c r="W82" s="334"/>
      <c r="X82" s="334"/>
      <c r="Y82" s="334"/>
      <c r="Z82" s="334"/>
      <c r="AA82" s="334"/>
      <c r="AB82" s="334"/>
      <c r="AC82" s="334"/>
      <c r="AD82" s="1731"/>
      <c r="AE82" s="1731"/>
      <c r="AF82" s="1731"/>
      <c r="AG82" s="1731"/>
      <c r="AH82" s="1731"/>
    </row>
    <row r="83" spans="1:34" ht="12.75" hidden="1" outlineLevel="1">
      <c r="A83" s="1731"/>
      <c r="B83" s="952"/>
      <c r="C83" s="952"/>
      <c r="D83" s="1731"/>
      <c r="E83" s="1731"/>
      <c r="F83" s="1731"/>
      <c r="G83" s="1731"/>
      <c r="J83" s="1776">
        <f t="shared" ref="J83:P83" si="55">+J34</f>
        <v>9.2843568086630079E-2</v>
      </c>
      <c r="K83" s="1776">
        <f t="shared" si="55"/>
        <v>0.19102403782293731</v>
      </c>
      <c r="L83" s="1776">
        <f t="shared" si="55"/>
        <v>0.19754371518569211</v>
      </c>
      <c r="M83" s="1776">
        <f t="shared" si="55"/>
        <v>0.20998679863971223</v>
      </c>
      <c r="N83" s="1776">
        <f t="shared" si="55"/>
        <v>0.1959649396694855</v>
      </c>
      <c r="O83" s="1776">
        <f t="shared" si="55"/>
        <v>0.10333015933133168</v>
      </c>
      <c r="P83" s="1776">
        <f t="shared" si="55"/>
        <v>0.10556585128775628</v>
      </c>
      <c r="Q83" s="1776">
        <f>+Q34</f>
        <v>0.11528614800423999</v>
      </c>
      <c r="R83" s="1776">
        <f>+R34</f>
        <v>9.4244510931663306E-2</v>
      </c>
      <c r="S83" s="1776">
        <f>+S34</f>
        <v>0.12576205434026455</v>
      </c>
      <c r="T83" s="1776"/>
      <c r="U83" s="1776"/>
      <c r="V83" s="1776"/>
      <c r="W83" s="1776"/>
      <c r="X83" s="1776"/>
      <c r="Y83" s="1776"/>
      <c r="Z83" s="1776"/>
      <c r="AA83" s="1776"/>
      <c r="AB83" s="1776"/>
      <c r="AC83" s="1776"/>
      <c r="AD83" s="1731"/>
      <c r="AE83" s="1731"/>
      <c r="AF83" s="1731"/>
      <c r="AG83" s="1731"/>
      <c r="AH83" s="1731"/>
    </row>
    <row r="84" spans="1:34" ht="12.75" hidden="1" outlineLevel="1">
      <c r="A84" s="1731"/>
      <c r="B84" s="952"/>
      <c r="C84" s="952"/>
      <c r="D84" s="1731"/>
      <c r="E84" s="1731"/>
      <c r="F84" s="1731"/>
      <c r="G84" s="1731"/>
      <c r="I84" s="960" t="s">
        <v>595</v>
      </c>
      <c r="J84" s="1741">
        <f t="shared" ref="J84:P84" si="56">+J36</f>
        <v>-2.016</v>
      </c>
      <c r="K84" s="1741">
        <f t="shared" si="56"/>
        <v>-5.867</v>
      </c>
      <c r="L84" s="1741">
        <f t="shared" si="56"/>
        <v>-18.277999999999999</v>
      </c>
      <c r="M84" s="1741">
        <f t="shared" si="56"/>
        <v>-42.277999999999992</v>
      </c>
      <c r="N84" s="1741">
        <f t="shared" si="56"/>
        <v>-37.626000000000005</v>
      </c>
      <c r="O84" s="1741">
        <f t="shared" si="56"/>
        <v>-17.805999999999997</v>
      </c>
      <c r="P84" s="1741">
        <f t="shared" si="56"/>
        <v>3.2679999999999998</v>
      </c>
      <c r="Q84" s="1741">
        <f>+Q36</f>
        <v>-2.024</v>
      </c>
      <c r="R84" s="1741">
        <f>+R36</f>
        <v>-5.8739999999999997</v>
      </c>
      <c r="S84" s="1741">
        <f>+S36</f>
        <v>-7.4320000000000004</v>
      </c>
      <c r="T84" s="1741"/>
      <c r="U84" s="1741"/>
      <c r="V84" s="1741"/>
      <c r="W84" s="1741"/>
      <c r="X84" s="1741"/>
      <c r="Y84" s="1741"/>
      <c r="Z84" s="1741"/>
      <c r="AA84" s="1741"/>
      <c r="AB84" s="1741"/>
      <c r="AC84" s="1741"/>
      <c r="AD84" s="1731"/>
      <c r="AE84" s="1731"/>
      <c r="AF84" s="1731"/>
      <c r="AG84" s="1731"/>
      <c r="AH84" s="1731"/>
    </row>
    <row r="85" spans="1:34" ht="12.75" hidden="1" outlineLevel="1">
      <c r="A85" s="1731"/>
      <c r="B85" s="952"/>
      <c r="C85" s="952"/>
      <c r="D85" s="1731"/>
      <c r="E85" s="1731"/>
      <c r="F85" s="1731"/>
      <c r="G85" s="1731"/>
      <c r="AD85" s="1731"/>
      <c r="AE85" s="1731"/>
      <c r="AF85" s="1731"/>
      <c r="AG85" s="1731"/>
      <c r="AH85" s="1731"/>
    </row>
    <row r="86" spans="1:34" ht="12.75" hidden="1" outlineLevel="1">
      <c r="A86" s="1731"/>
      <c r="B86" s="952"/>
      <c r="C86" s="952"/>
      <c r="D86" s="1731"/>
      <c r="E86" s="1731"/>
      <c r="F86" s="1731"/>
      <c r="G86" s="1731"/>
      <c r="I86" s="960" t="s">
        <v>596</v>
      </c>
      <c r="J86" s="1777">
        <f t="shared" ref="J86:P86" si="57">+J81-J84</f>
        <v>138.38242</v>
      </c>
      <c r="K86" s="1777">
        <f t="shared" si="57"/>
        <v>270.41758000000004</v>
      </c>
      <c r="L86" s="1777">
        <f t="shared" si="57"/>
        <v>238.86438999999999</v>
      </c>
      <c r="M86" s="1777">
        <f t="shared" si="57"/>
        <v>307.74685499999998</v>
      </c>
      <c r="N86" s="1777">
        <f t="shared" si="57"/>
        <v>327.890805</v>
      </c>
      <c r="O86" s="1777">
        <f t="shared" si="57"/>
        <v>301.74826999999999</v>
      </c>
      <c r="P86" s="1777">
        <f t="shared" si="57"/>
        <v>276.05755500000004</v>
      </c>
      <c r="Q86" s="1777">
        <f>+Q81-Q84</f>
        <v>281.82693</v>
      </c>
      <c r="R86" s="1777">
        <f>+R81-R84</f>
        <v>302.28017500000004</v>
      </c>
      <c r="S86" s="1777">
        <f>+S81-S84</f>
        <v>337.63319000000001</v>
      </c>
      <c r="T86" s="1777"/>
      <c r="U86" s="1777"/>
      <c r="V86" s="1777"/>
      <c r="W86" s="1777"/>
      <c r="X86" s="1777"/>
      <c r="Y86" s="1777"/>
      <c r="Z86" s="1777"/>
      <c r="AA86" s="1777"/>
      <c r="AB86" s="1777"/>
      <c r="AC86" s="1777"/>
      <c r="AD86" s="1731"/>
      <c r="AE86" s="1731"/>
      <c r="AF86" s="1731"/>
      <c r="AG86" s="1731"/>
      <c r="AH86" s="1731"/>
    </row>
    <row r="87" spans="1:34" ht="12.75" hidden="1" outlineLevel="1">
      <c r="A87" s="1731"/>
      <c r="B87" s="952"/>
      <c r="C87" s="952"/>
      <c r="D87" s="1731"/>
      <c r="E87" s="1731"/>
      <c r="F87" s="1731"/>
      <c r="G87" s="1731"/>
      <c r="AD87" s="1731"/>
      <c r="AE87" s="1731"/>
      <c r="AF87" s="1731"/>
      <c r="AG87" s="1731"/>
      <c r="AH87" s="1731"/>
    </row>
    <row r="88" spans="1:34" ht="12.75" hidden="1" outlineLevel="1">
      <c r="A88" s="1731"/>
      <c r="B88" s="952"/>
      <c r="C88" s="952"/>
      <c r="D88" s="1731"/>
      <c r="E88" s="1731"/>
      <c r="F88" s="1731"/>
      <c r="G88" s="1731"/>
      <c r="I88" s="960" t="s">
        <v>597</v>
      </c>
      <c r="J88" s="336">
        <f t="shared" ref="J88:P88" si="58">+J43</f>
        <v>0.38569116027408423</v>
      </c>
      <c r="K88" s="336">
        <f t="shared" si="58"/>
        <v>0.38873880627530089</v>
      </c>
      <c r="L88" s="336">
        <f t="shared" si="58"/>
        <v>0.38421106701302188</v>
      </c>
      <c r="M88" s="336">
        <f t="shared" si="58"/>
        <v>0.38423252213198306</v>
      </c>
      <c r="N88" s="336">
        <f t="shared" si="58"/>
        <v>0.37141586565280887</v>
      </c>
      <c r="O88" s="336">
        <f t="shared" si="58"/>
        <v>0.37247631993044461</v>
      </c>
      <c r="P88" s="336">
        <f t="shared" si="58"/>
        <v>0.32315611935244409</v>
      </c>
      <c r="Q88" s="336">
        <f>+Q43</f>
        <v>0.35612614015755223</v>
      </c>
      <c r="R88" s="336">
        <f>+R43</f>
        <v>0.36477042440893148</v>
      </c>
      <c r="S88" s="336">
        <f>+S43</f>
        <v>0.37310934955326197</v>
      </c>
      <c r="T88" s="336"/>
      <c r="U88" s="336"/>
      <c r="V88" s="336"/>
      <c r="W88" s="336"/>
      <c r="X88" s="336"/>
      <c r="Y88" s="336"/>
      <c r="Z88" s="336"/>
      <c r="AA88" s="336"/>
      <c r="AB88" s="336"/>
      <c r="AC88" s="336"/>
      <c r="AD88" s="1731"/>
      <c r="AE88" s="1731"/>
      <c r="AF88" s="1731"/>
      <c r="AG88" s="1731"/>
      <c r="AH88" s="1731"/>
    </row>
    <row r="89" spans="1:34" ht="12.75" hidden="1" outlineLevel="1">
      <c r="A89" s="1731"/>
      <c r="B89" s="952"/>
      <c r="C89" s="952"/>
      <c r="D89" s="1731"/>
      <c r="E89" s="1731"/>
      <c r="F89" s="1731"/>
      <c r="G89" s="1731"/>
      <c r="J89" s="960">
        <f t="shared" ref="J89:S89" si="59">+J86*J88</f>
        <v>53.372876131335637</v>
      </c>
      <c r="K89" s="960">
        <f t="shared" si="59"/>
        <v>105.12180724505569</v>
      </c>
      <c r="L89" s="960">
        <f t="shared" si="59"/>
        <v>91.774342153314592</v>
      </c>
      <c r="M89" s="960">
        <f t="shared" si="59"/>
        <v>118.24635027483568</v>
      </c>
      <c r="N89" s="960">
        <f t="shared" si="59"/>
        <v>121.78384717867135</v>
      </c>
      <c r="O89" s="960">
        <f t="shared" si="59"/>
        <v>112.39408515497817</v>
      </c>
      <c r="P89" s="960">
        <f t="shared" si="59"/>
        <v>89.209688191723913</v>
      </c>
      <c r="Q89" s="960">
        <f t="shared" si="59"/>
        <v>100.36593677335266</v>
      </c>
      <c r="R89" s="960">
        <f t="shared" si="59"/>
        <v>110.2628677251561</v>
      </c>
      <c r="S89" s="960">
        <f t="shared" si="59"/>
        <v>125.97409990849292</v>
      </c>
      <c r="AD89" s="1731"/>
      <c r="AE89" s="1731"/>
      <c r="AF89" s="1731"/>
      <c r="AG89" s="1731"/>
      <c r="AH89" s="1731"/>
    </row>
    <row r="90" spans="1:34" ht="12.75" hidden="1" outlineLevel="1">
      <c r="A90" s="1731"/>
      <c r="B90" s="952"/>
      <c r="C90" s="952"/>
      <c r="D90" s="1731"/>
      <c r="E90" s="1731"/>
      <c r="F90" s="1731"/>
      <c r="G90" s="1731"/>
      <c r="AD90" s="1731"/>
      <c r="AE90" s="1731"/>
      <c r="AF90" s="1731"/>
      <c r="AG90" s="1731"/>
      <c r="AH90" s="1731"/>
    </row>
    <row r="91" spans="1:34" ht="12.75" hidden="1" outlineLevel="1">
      <c r="A91" s="1731"/>
      <c r="B91" s="952"/>
      <c r="C91" s="952"/>
      <c r="D91" s="1731"/>
      <c r="E91" s="1731"/>
      <c r="F91" s="1731"/>
      <c r="G91" s="1731"/>
      <c r="I91" s="960" t="s">
        <v>598</v>
      </c>
      <c r="J91" s="1777">
        <f t="shared" ref="J91:P91" si="60">+J86-J89</f>
        <v>85.009543868664366</v>
      </c>
      <c r="K91" s="1777">
        <f t="shared" si="60"/>
        <v>165.29577275494435</v>
      </c>
      <c r="L91" s="1777">
        <f t="shared" si="60"/>
        <v>147.09004784668539</v>
      </c>
      <c r="M91" s="1777">
        <f t="shared" si="60"/>
        <v>189.50050472516432</v>
      </c>
      <c r="N91" s="1777">
        <f t="shared" si="60"/>
        <v>206.10695782132865</v>
      </c>
      <c r="O91" s="1777">
        <f t="shared" si="60"/>
        <v>189.35418484502182</v>
      </c>
      <c r="P91" s="1777">
        <f t="shared" si="60"/>
        <v>186.84786680827614</v>
      </c>
      <c r="Q91" s="1777">
        <f>+Q86-Q89</f>
        <v>181.46099322664736</v>
      </c>
      <c r="R91" s="1777">
        <f>+R86-R89</f>
        <v>192.01730727484394</v>
      </c>
      <c r="S91" s="1777">
        <f>+S86-S89</f>
        <v>211.6590900915071</v>
      </c>
      <c r="T91" s="1777"/>
      <c r="U91" s="1777"/>
      <c r="V91" s="1777"/>
      <c r="W91" s="1777"/>
      <c r="X91" s="1777"/>
      <c r="Y91" s="1777"/>
      <c r="Z91" s="1777"/>
      <c r="AA91" s="1777"/>
      <c r="AB91" s="1777"/>
      <c r="AC91" s="1777"/>
      <c r="AD91" s="1731"/>
      <c r="AE91" s="1731"/>
      <c r="AF91" s="1731"/>
      <c r="AG91" s="1731"/>
      <c r="AH91" s="1731"/>
    </row>
    <row r="92" spans="1:34" ht="12.75" hidden="1" outlineLevel="1">
      <c r="A92" s="1731"/>
      <c r="B92" s="952"/>
      <c r="C92" s="952"/>
      <c r="D92" s="1731"/>
      <c r="E92" s="1731"/>
      <c r="F92" s="1731"/>
      <c r="G92" s="1731"/>
      <c r="AD92" s="1731"/>
      <c r="AE92" s="1731"/>
      <c r="AF92" s="1731"/>
      <c r="AG92" s="1731"/>
      <c r="AH92" s="1731"/>
    </row>
    <row r="93" spans="1:34" ht="12.75" hidden="1" outlineLevel="1">
      <c r="A93" s="1731"/>
      <c r="B93" s="952"/>
      <c r="C93" s="952"/>
      <c r="D93" s="1731"/>
      <c r="E93" s="1731"/>
      <c r="F93" s="1731"/>
      <c r="G93" s="1731"/>
      <c r="I93" s="960" t="s">
        <v>599</v>
      </c>
      <c r="J93" s="1778">
        <f t="shared" ref="J93:S93" si="61">+(J91+J98*4)/J59</f>
        <v>0.39243445404030253</v>
      </c>
      <c r="K93" s="1778">
        <f t="shared" si="61"/>
        <v>0.733454792448481</v>
      </c>
      <c r="L93" s="1778">
        <f t="shared" si="61"/>
        <v>0.63120377909670988</v>
      </c>
      <c r="M93" s="1778">
        <f t="shared" si="61"/>
        <v>0.82974509915390016</v>
      </c>
      <c r="N93" s="1778">
        <f t="shared" si="61"/>
        <v>0.93565896959019723</v>
      </c>
      <c r="O93" s="1778">
        <f t="shared" si="61"/>
        <v>0.91218980858177412</v>
      </c>
      <c r="P93" s="1778">
        <f t="shared" si="61"/>
        <v>0.89182417622034127</v>
      </c>
      <c r="Q93" s="1778">
        <f t="shared" si="61"/>
        <v>40.73700558536229</v>
      </c>
      <c r="R93" s="1778">
        <f t="shared" si="61"/>
        <v>0.97829629911181215</v>
      </c>
      <c r="S93" s="1778">
        <f t="shared" si="61"/>
        <v>1.054788279428436</v>
      </c>
      <c r="T93" s="1778"/>
      <c r="U93" s="1778"/>
      <c r="V93" s="1778"/>
      <c r="W93" s="1778"/>
      <c r="X93" s="1778"/>
      <c r="Y93" s="1778"/>
      <c r="Z93" s="1778"/>
      <c r="AA93" s="1778"/>
      <c r="AB93" s="1778"/>
      <c r="AC93" s="1778"/>
      <c r="AD93" s="1731"/>
      <c r="AE93" s="1731"/>
      <c r="AF93" s="1731"/>
      <c r="AG93" s="1731"/>
      <c r="AH93" s="1731"/>
    </row>
    <row r="94" spans="1:34" ht="12.75" hidden="1" outlineLevel="1">
      <c r="A94" s="1731"/>
      <c r="B94" s="952"/>
      <c r="C94" s="952"/>
      <c r="D94" s="1731"/>
      <c r="E94" s="1731"/>
      <c r="F94" s="1731"/>
      <c r="G94" s="1731"/>
      <c r="H94" s="1731"/>
      <c r="I94" s="1731"/>
      <c r="J94" s="1731"/>
      <c r="K94" s="1731"/>
      <c r="L94" s="1731"/>
      <c r="M94" s="1731"/>
      <c r="N94" s="1731"/>
      <c r="O94" s="1731"/>
      <c r="P94" s="1731"/>
      <c r="Q94" s="1731"/>
      <c r="R94" s="1731"/>
      <c r="S94" s="1731"/>
      <c r="T94" s="1731"/>
      <c r="U94" s="1731"/>
      <c r="V94" s="1731"/>
      <c r="W94" s="1731"/>
      <c r="X94" s="1731"/>
      <c r="Y94" s="1731"/>
      <c r="Z94" s="1731"/>
      <c r="AA94" s="1731"/>
      <c r="AB94" s="1731"/>
      <c r="AC94" s="1731"/>
      <c r="AD94" s="1731"/>
      <c r="AE94" s="1731"/>
      <c r="AF94" s="1731"/>
      <c r="AG94" s="1731"/>
      <c r="AH94" s="1731"/>
    </row>
    <row r="95" spans="1:34" ht="12.75" collapsed="1">
      <c r="A95" s="1731"/>
      <c r="B95" s="952"/>
      <c r="C95" s="952"/>
      <c r="D95" s="1731"/>
      <c r="E95" s="1731"/>
      <c r="F95" s="1779" t="s">
        <v>608</v>
      </c>
      <c r="G95" s="1731"/>
      <c r="H95" s="1731"/>
      <c r="I95" s="1731"/>
      <c r="J95" s="1731"/>
      <c r="K95" s="1731"/>
      <c r="L95" s="1731"/>
      <c r="M95" s="1731"/>
      <c r="N95" s="1731"/>
      <c r="O95" s="1731"/>
      <c r="P95" s="1731"/>
      <c r="Q95" s="1731"/>
      <c r="R95" s="1731"/>
      <c r="S95" s="1731"/>
      <c r="T95" s="1731"/>
      <c r="U95" s="1731"/>
      <c r="V95" s="1731"/>
      <c r="W95" s="1731"/>
      <c r="X95" s="1731"/>
      <c r="Y95" s="1731"/>
      <c r="Z95" s="1731"/>
      <c r="AA95" s="1731"/>
      <c r="AB95" s="1731"/>
      <c r="AC95" s="1731"/>
      <c r="AD95" s="1731"/>
      <c r="AE95" s="1731"/>
      <c r="AF95" s="1731"/>
      <c r="AG95" s="1731"/>
      <c r="AH95" s="1731"/>
    </row>
    <row r="98" spans="1:29">
      <c r="Q98" s="960">
        <v>2010</v>
      </c>
    </row>
    <row r="99" spans="1:29">
      <c r="A99" s="960" t="s">
        <v>77</v>
      </c>
      <c r="B99" s="1780">
        <f>(B19*1000)/yrSales!C20</f>
        <v>340.94432989690722</v>
      </c>
      <c r="C99" s="1780">
        <f>(C19*1000)/yrSales!D20</f>
        <v>289</v>
      </c>
      <c r="D99" s="1780">
        <f>(D19*1000)/yrSales!E20</f>
        <v>310.32755905511812</v>
      </c>
      <c r="E99" s="1780">
        <f>(E19*1000)/yrSales!F20</f>
        <v>386.76044568245123</v>
      </c>
      <c r="F99" s="1780">
        <f>(F19*1000)/yrSales!G20</f>
        <v>457.26525821596243</v>
      </c>
      <c r="G99" s="1780">
        <f>(G19*1000)/yrSales!H20</f>
        <v>522.49803921568639</v>
      </c>
      <c r="H99" s="1780">
        <f>(H19*1000)/yrSales!I20</f>
        <v>550.35714285714289</v>
      </c>
      <c r="I99" s="1780">
        <f>(I19*1000)/yrSales!J20</f>
        <v>490.21942697414397</v>
      </c>
      <c r="J99" s="1780">
        <f>(J19*1000)/yrSales!K20</f>
        <v>457.33119383825419</v>
      </c>
      <c r="K99" s="1780">
        <f>(K19*1000)/yrSales!L20</f>
        <v>546.06541490006055</v>
      </c>
      <c r="L99" s="1780">
        <f>(L19*1000)/yrSales!M20</f>
        <v>630.12478134110791</v>
      </c>
      <c r="M99" s="1780">
        <f>(M19*1000)/yrSales!N20</f>
        <v>747.87303370786526</v>
      </c>
      <c r="N99" s="1780">
        <f>(N19*1000)/yrSales!O20</f>
        <v>753.614330874605</v>
      </c>
      <c r="O99" s="1780">
        <f>(O19*1000)/yrSales!P20</f>
        <v>704.11606714628283</v>
      </c>
      <c r="P99" s="1780">
        <f>(P19*1000)/yrSales!Q20</f>
        <v>659.04407087687412</v>
      </c>
      <c r="Q99" s="1780">
        <f>(Q19*1000)/yrSales!R20</f>
        <v>644.88440366972475</v>
      </c>
      <c r="R99" s="1780">
        <f>(R19*1000)/yrSales!S20</f>
        <v>664.1071761416589</v>
      </c>
      <c r="S99" s="1780">
        <f>(S19*1000)/yrSales!T20</f>
        <v>784.24514907714149</v>
      </c>
      <c r="T99" s="1780">
        <f>(T19*1000)/yrSales!U20</f>
        <v>747.5497630331754</v>
      </c>
      <c r="U99" s="1780">
        <f>(U19*1000)/yrSales!V20</f>
        <v>760.13006597549474</v>
      </c>
      <c r="V99" s="1780">
        <f>(V19*1000)/yrSales!W20</f>
        <v>793.81835473133617</v>
      </c>
      <c r="W99" s="1780"/>
      <c r="X99" s="1780"/>
      <c r="Y99" s="1780"/>
      <c r="Z99" s="1780"/>
      <c r="AA99" s="1780"/>
      <c r="AB99" s="1780"/>
      <c r="AC99" s="1780"/>
    </row>
    <row r="100" spans="1:29">
      <c r="A100" s="960" t="s">
        <v>78</v>
      </c>
      <c r="F100" s="1781">
        <f t="shared" ref="F100:S100" si="62">F99/E99-1</f>
        <v>0.18229581985588839</v>
      </c>
      <c r="G100" s="1781">
        <f t="shared" si="62"/>
        <v>0.14265851128562024</v>
      </c>
      <c r="H100" s="1781">
        <f t="shared" si="62"/>
        <v>5.3319058734220937E-2</v>
      </c>
      <c r="I100" s="1781">
        <f t="shared" si="62"/>
        <v>-0.10927034683478065</v>
      </c>
      <c r="J100" s="1781">
        <f t="shared" si="62"/>
        <v>-6.7088800088749734E-2</v>
      </c>
      <c r="K100" s="1781">
        <f t="shared" si="62"/>
        <v>0.19402617240491415</v>
      </c>
      <c r="L100" s="1781">
        <f t="shared" si="62"/>
        <v>0.15393644085009783</v>
      </c>
      <c r="M100" s="1781">
        <f t="shared" si="62"/>
        <v>0.18686497635619292</v>
      </c>
      <c r="N100" s="1781">
        <f t="shared" si="62"/>
        <v>7.6768340453126083E-3</v>
      </c>
      <c r="O100" s="1781">
        <f t="shared" si="62"/>
        <v>-6.5681160376657277E-2</v>
      </c>
      <c r="P100" s="1781">
        <f t="shared" si="62"/>
        <v>-6.4012168408656422E-2</v>
      </c>
      <c r="Q100" s="1781">
        <f t="shared" si="62"/>
        <v>-2.1485159844180979E-2</v>
      </c>
      <c r="R100" s="1781">
        <f t="shared" si="62"/>
        <v>2.9808090198098602E-2</v>
      </c>
      <c r="S100" s="1781">
        <f t="shared" si="62"/>
        <v>0.18090148285019625</v>
      </c>
      <c r="T100" s="1781">
        <f>T99/S99-1</f>
        <v>-4.6790708348208865E-2</v>
      </c>
      <c r="U100" s="1781">
        <f>U99/T99-1</f>
        <v>1.6828716380398401E-2</v>
      </c>
      <c r="V100" s="1781">
        <f>V99/U99-1</f>
        <v>4.4319110983471521E-2</v>
      </c>
      <c r="W100" s="1781"/>
      <c r="X100" s="1781"/>
      <c r="Y100" s="1781"/>
      <c r="Z100" s="1781"/>
      <c r="AA100" s="1781"/>
      <c r="AB100" s="1781"/>
      <c r="AC100" s="1781"/>
    </row>
  </sheetData>
  <phoneticPr fontId="0" type="noConversion"/>
  <dataValidations count="1">
    <dataValidation type="custom" allowBlank="1" showInputMessage="1" showErrorMessage="1" sqref="A69:A65536 A1:A21 A24:A67 B1:IW1048576">
      <formula1>-1</formula1>
    </dataValidation>
  </dataValidations>
  <printOptions horizontalCentered="1"/>
  <pageMargins left="0" right="0" top="0.5" bottom="0.25" header="0.5" footer="0.5"/>
  <pageSetup scale="69" orientation="landscape" horizontalDpi="1200" verticalDpi="1200" r:id="rId1"/>
  <headerFooter alignWithMargins="0">
    <oddFooter>&amp;R&amp;"Arial,Regular"&amp;8&amp;D
&amp;F&amp;A</oddFooter>
  </headerFooter>
  <drawing r:id="rId2"/>
  <legacyDrawing r:id="rId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syncVertical="1" syncRef="AI50" transitionEvaluation="1" codeName="Sheet11">
    <pageSetUpPr fitToPage="1"/>
  </sheetPr>
  <dimension ref="A1:BO1715"/>
  <sheetViews>
    <sheetView showGridLines="0" zoomScaleNormal="100" zoomScaleSheetLayoutView="85" workbookViewId="0">
      <pane xSplit="10" ySplit="5" topLeftCell="AI50" activePane="bottomRight" state="frozen"/>
      <selection activeCell="CG130" sqref="CG130"/>
      <selection pane="topRight" activeCell="CG130" sqref="CG130"/>
      <selection pane="bottomLeft" activeCell="CG130" sqref="CG130"/>
      <selection pane="bottomRight" activeCell="AY29" sqref="AY29"/>
    </sheetView>
  </sheetViews>
  <sheetFormatPr defaultColWidth="9.75" defaultRowHeight="12" outlineLevelRow="1" outlineLevelCol="1"/>
  <cols>
    <col min="1" max="1" width="31" customWidth="1"/>
    <col min="2" max="2" width="2.75" hidden="1" customWidth="1" outlineLevel="1"/>
    <col min="3" max="3" width="8.875" hidden="1" customWidth="1" outlineLevel="1"/>
    <col min="4" max="4" width="2.875" hidden="1" customWidth="1" outlineLevel="1"/>
    <col min="5" max="5" width="9.25" hidden="1" customWidth="1" outlineLevel="1"/>
    <col min="6" max="6" width="2.125" hidden="1" customWidth="1" outlineLevel="1"/>
    <col min="7" max="7" width="9.25" hidden="1" customWidth="1" outlineLevel="1" collapsed="1"/>
    <col min="8" max="8" width="2.125" hidden="1" customWidth="1" outlineLevel="1"/>
    <col min="9" max="9" width="9.25" hidden="1" customWidth="1" outlineLevel="1"/>
    <col min="10" max="10" width="2.125" hidden="1" customWidth="1" outlineLevel="1"/>
    <col min="11" max="11" width="8.875" hidden="1" customWidth="1" outlineLevel="1" collapsed="1"/>
    <col min="12" max="12" width="0.875" hidden="1" customWidth="1" outlineLevel="1"/>
    <col min="13" max="13" width="8.875" hidden="1" customWidth="1" outlineLevel="1"/>
    <col min="14" max="14" width="1.25" hidden="1" customWidth="1" outlineLevel="1"/>
    <col min="15" max="15" width="8.875" hidden="1" customWidth="1" outlineLevel="1"/>
    <col min="16" max="16" width="1.25" hidden="1" customWidth="1" outlineLevel="1"/>
    <col min="17" max="17" width="8.875" hidden="1" customWidth="1" outlineLevel="1"/>
    <col min="18" max="18" width="1.25" hidden="1" customWidth="1" outlineLevel="1"/>
    <col min="19" max="19" width="8.875" hidden="1" customWidth="1" outlineLevel="1"/>
    <col min="20" max="20" width="1.25" hidden="1" customWidth="1" outlineLevel="1"/>
    <col min="21" max="21" width="8.875" hidden="1" customWidth="1" outlineLevel="1"/>
    <col min="22" max="22" width="1.25" hidden="1" customWidth="1" outlineLevel="1"/>
    <col min="23" max="23" width="8.875" hidden="1" customWidth="1" outlineLevel="1"/>
    <col min="24" max="24" width="1.25" hidden="1" customWidth="1" outlineLevel="1"/>
    <col min="25" max="25" width="8.875" hidden="1" customWidth="1" outlineLevel="1"/>
    <col min="26" max="26" width="1.25" hidden="1" customWidth="1" outlineLevel="1"/>
    <col min="27" max="27" width="8.875" hidden="1" customWidth="1" outlineLevel="1"/>
    <col min="28" max="28" width="1.125" hidden="1" customWidth="1" outlineLevel="1"/>
    <col min="29" max="29" width="8.375" hidden="1" customWidth="1" outlineLevel="1"/>
    <col min="30" max="30" width="1.25" hidden="1" customWidth="1" outlineLevel="1"/>
    <col min="31" max="31" width="8.25" hidden="1" customWidth="1" outlineLevel="1"/>
    <col min="32" max="32" width="0.75" hidden="1" customWidth="1" outlineLevel="1"/>
    <col min="33" max="33" width="8.375" hidden="1" customWidth="1" outlineLevel="1"/>
    <col min="34" max="34" width="1" hidden="1" customWidth="1" outlineLevel="1"/>
    <col min="35" max="35" width="8.5" customWidth="1" collapsed="1"/>
    <col min="36" max="36" width="1" customWidth="1"/>
    <col min="37" max="37" width="8.5" customWidth="1"/>
    <col min="38" max="38" width="0.875" customWidth="1"/>
    <col min="39" max="39" width="8.5" customWidth="1"/>
    <col min="40" max="40" width="0.75" customWidth="1"/>
    <col min="41" max="41" width="8.5" customWidth="1"/>
    <col min="42" max="42" width="0.875" customWidth="1"/>
    <col min="43" max="43" width="8.5" customWidth="1"/>
    <col min="44" max="44" width="0.625" customWidth="1"/>
    <col min="45" max="45" width="8.5" customWidth="1"/>
    <col min="46" max="46" width="0.875" customWidth="1"/>
    <col min="47" max="47" width="8.5" customWidth="1"/>
    <col min="48" max="48" width="1.25" customWidth="1"/>
    <col min="49" max="49" width="8.5" customWidth="1"/>
    <col min="50" max="50" width="0.875" customWidth="1"/>
    <col min="51" max="51" width="8.5" customWidth="1"/>
    <col min="52" max="52" width="0.875" customWidth="1"/>
    <col min="53" max="53" width="8.5" customWidth="1"/>
    <col min="54" max="54" width="1" customWidth="1"/>
    <col min="55" max="55" width="8.5" customWidth="1"/>
    <col min="56" max="56" width="1" hidden="1" customWidth="1" outlineLevel="1"/>
    <col min="57" max="57" width="8" hidden="1" customWidth="1" outlineLevel="1"/>
    <col min="58" max="58" width="1" hidden="1" customWidth="1" outlineLevel="1"/>
    <col min="59" max="59" width="8" hidden="1" customWidth="1" outlineLevel="1"/>
    <col min="60" max="60" width="8" customWidth="1" collapsed="1"/>
    <col min="61" max="61" width="23.875" hidden="1" customWidth="1" outlineLevel="1"/>
    <col min="62" max="62" width="5.625" hidden="1" customWidth="1" outlineLevel="1"/>
    <col min="63" max="63" width="4.25" hidden="1" customWidth="1" outlineLevel="1"/>
    <col min="64" max="66" width="9.75" hidden="1" customWidth="1" outlineLevel="1"/>
    <col min="67" max="67" width="9.75" collapsed="1"/>
  </cols>
  <sheetData>
    <row r="1" spans="1:60" ht="12.75">
      <c r="A1" s="10" t="s">
        <v>85</v>
      </c>
      <c r="B1" s="11"/>
      <c r="C1" s="11"/>
      <c r="D1" s="11"/>
      <c r="E1" s="12"/>
      <c r="F1" s="11"/>
      <c r="G1" s="12"/>
      <c r="H1" s="11"/>
      <c r="I1" s="12"/>
      <c r="J1" s="11"/>
      <c r="K1" s="12"/>
      <c r="L1" s="11"/>
      <c r="M1" s="56"/>
      <c r="N1" s="11"/>
      <c r="O1" s="11"/>
      <c r="P1" s="11"/>
      <c r="Q1" s="11"/>
      <c r="R1" s="11"/>
      <c r="S1" s="11"/>
      <c r="T1" s="11"/>
      <c r="U1" s="11"/>
      <c r="V1" s="11"/>
      <c r="W1" s="11"/>
      <c r="X1" s="11"/>
      <c r="Y1" s="110"/>
      <c r="Z1" s="11"/>
      <c r="AA1" s="109"/>
      <c r="AB1" s="11"/>
      <c r="AC1" s="109"/>
      <c r="AD1" s="11"/>
      <c r="AE1" s="11"/>
      <c r="AF1" s="11"/>
      <c r="AG1" s="11"/>
      <c r="AH1" s="11"/>
      <c r="AI1" s="11"/>
      <c r="AJ1" s="11"/>
      <c r="AK1" s="11"/>
      <c r="AL1" s="11"/>
      <c r="AM1" s="11"/>
      <c r="AN1" s="11"/>
      <c r="AO1" s="11"/>
      <c r="AP1" s="11"/>
      <c r="AQ1" s="11"/>
      <c r="AR1" s="11"/>
      <c r="AS1" s="11"/>
      <c r="AT1" s="11"/>
      <c r="AU1" s="11"/>
      <c r="AV1" s="11"/>
      <c r="AW1" s="11"/>
      <c r="AX1" s="11"/>
      <c r="AY1" s="11"/>
      <c r="AZ1" s="88"/>
      <c r="BA1" s="11"/>
      <c r="BB1" s="11"/>
      <c r="BC1" s="11"/>
      <c r="BD1" s="11"/>
      <c r="BE1" s="11"/>
      <c r="BF1" s="11"/>
      <c r="BG1" s="11"/>
      <c r="BH1" s="11"/>
    </row>
    <row r="2" spans="1:60" ht="12.75">
      <c r="A2" s="13" t="s">
        <v>50</v>
      </c>
      <c r="B2" s="14"/>
      <c r="C2" s="15"/>
      <c r="D2" s="14"/>
      <c r="E2" s="16"/>
      <c r="F2" s="16"/>
      <c r="G2" s="16"/>
      <c r="H2" s="14"/>
      <c r="I2" s="16"/>
      <c r="J2" s="14"/>
      <c r="K2" s="16"/>
      <c r="L2" s="14"/>
      <c r="M2" s="57"/>
      <c r="N2" s="14"/>
      <c r="O2" s="14"/>
      <c r="P2" s="14"/>
      <c r="Q2" s="14"/>
      <c r="R2" s="14"/>
      <c r="S2" s="14"/>
      <c r="T2" s="14"/>
      <c r="U2" s="14"/>
      <c r="V2" s="14"/>
      <c r="W2" s="14"/>
      <c r="X2" s="14"/>
      <c r="Y2" s="500"/>
      <c r="Z2" s="14"/>
      <c r="AA2" s="14"/>
      <c r="AB2" s="14"/>
      <c r="AC2" s="14"/>
      <c r="AD2" s="14"/>
      <c r="AE2" s="14"/>
      <c r="AF2" s="14"/>
      <c r="AG2" s="14"/>
      <c r="AH2" s="14"/>
      <c r="AI2" s="14"/>
      <c r="AJ2" s="14"/>
      <c r="AK2" s="14"/>
      <c r="AL2" s="14"/>
      <c r="AM2" s="14"/>
      <c r="AN2" s="14"/>
      <c r="AO2" s="14"/>
      <c r="AP2" s="14"/>
      <c r="AQ2" s="14"/>
      <c r="AR2" s="14"/>
      <c r="AS2" s="14"/>
      <c r="AT2" s="14"/>
      <c r="AU2" s="14"/>
      <c r="AV2" s="14"/>
      <c r="AW2" s="14"/>
      <c r="AX2" s="14"/>
      <c r="AY2" s="14"/>
      <c r="AZ2" s="88"/>
      <c r="BA2" s="14"/>
      <c r="BB2" s="14"/>
      <c r="BC2" s="14"/>
      <c r="BD2" s="14"/>
      <c r="BE2" s="14"/>
      <c r="BF2" s="88"/>
      <c r="BG2" s="88"/>
      <c r="BH2" s="88"/>
    </row>
    <row r="3" spans="1:60" ht="12.75">
      <c r="A3" s="136" t="s">
        <v>156</v>
      </c>
      <c r="B3" s="17"/>
      <c r="C3" s="17"/>
      <c r="D3" s="17"/>
      <c r="E3" s="18"/>
      <c r="F3" s="17"/>
      <c r="G3" s="18"/>
      <c r="H3" s="17"/>
      <c r="I3" s="18"/>
      <c r="J3" s="17"/>
      <c r="K3" s="18"/>
      <c r="L3" s="17"/>
      <c r="M3" s="58"/>
      <c r="N3" s="17"/>
      <c r="O3" s="17"/>
      <c r="P3" s="17"/>
      <c r="Q3" s="17"/>
      <c r="R3" s="17"/>
      <c r="S3" s="17"/>
      <c r="T3" s="17"/>
      <c r="U3" s="17"/>
      <c r="V3" s="17"/>
      <c r="W3" s="17"/>
      <c r="X3" s="17"/>
      <c r="Y3" s="341"/>
      <c r="Z3" s="17"/>
      <c r="AA3" s="17"/>
      <c r="AB3" s="17"/>
      <c r="AC3" s="17"/>
      <c r="AD3" s="17"/>
      <c r="AE3" s="17"/>
      <c r="AF3" s="17"/>
      <c r="AG3" s="17"/>
      <c r="AH3" s="17"/>
      <c r="AI3" s="17"/>
      <c r="AJ3" s="17"/>
      <c r="AK3" s="17"/>
      <c r="AL3" s="17"/>
      <c r="AM3" s="17"/>
      <c r="AN3" s="17"/>
      <c r="AO3" s="17"/>
      <c r="AP3" s="17"/>
      <c r="AQ3" s="17"/>
      <c r="AR3" s="17"/>
      <c r="AS3" s="17"/>
      <c r="AT3" s="17"/>
      <c r="AU3" s="17"/>
      <c r="AV3" s="17"/>
      <c r="AW3" s="17"/>
      <c r="AX3" s="17"/>
      <c r="AY3" s="17"/>
      <c r="AZ3" s="48"/>
      <c r="BA3" s="17"/>
      <c r="BB3" s="17"/>
      <c r="BC3" s="17"/>
      <c r="BD3" s="17"/>
      <c r="BE3" s="17"/>
      <c r="BF3" s="657"/>
      <c r="BG3" s="657"/>
      <c r="BH3" s="17"/>
    </row>
    <row r="4" spans="1:60" ht="12.75">
      <c r="A4" s="136" t="s">
        <v>158</v>
      </c>
      <c r="B4" s="17"/>
      <c r="C4" s="17"/>
      <c r="D4" s="17"/>
      <c r="E4" s="18"/>
      <c r="F4" s="17"/>
      <c r="G4" s="18"/>
      <c r="H4" s="17"/>
      <c r="I4" s="18"/>
      <c r="J4" s="17"/>
      <c r="K4" s="18"/>
      <c r="L4" s="17"/>
      <c r="M4" s="58"/>
      <c r="N4" s="17"/>
      <c r="O4" s="17"/>
      <c r="P4" s="17"/>
      <c r="Q4" s="17"/>
      <c r="R4" s="17"/>
      <c r="S4" s="17"/>
      <c r="T4" s="17"/>
      <c r="U4" s="17"/>
      <c r="V4" s="17"/>
      <c r="W4" s="300"/>
      <c r="X4" s="17"/>
      <c r="Y4" s="341"/>
      <c r="Z4" s="17"/>
      <c r="AA4" s="17"/>
      <c r="AB4" s="17"/>
      <c r="AC4" s="17"/>
      <c r="AD4" s="17"/>
      <c r="AE4" s="17"/>
      <c r="AF4" s="17"/>
      <c r="AG4" s="17"/>
      <c r="AH4" s="17"/>
      <c r="AI4" s="17"/>
      <c r="AJ4" s="17"/>
      <c r="AK4" s="17"/>
      <c r="AL4" s="17"/>
      <c r="AM4" s="17"/>
      <c r="AN4" s="17"/>
      <c r="AO4" s="17"/>
      <c r="AP4" s="17"/>
      <c r="AQ4" s="17"/>
      <c r="AR4" s="17"/>
      <c r="AS4" s="17"/>
      <c r="AT4" s="17"/>
      <c r="AU4" s="17"/>
      <c r="AV4" s="17"/>
      <c r="AW4" s="17"/>
      <c r="AX4" s="17"/>
      <c r="AY4" s="17"/>
      <c r="AZ4" s="48"/>
      <c r="BA4" s="17"/>
      <c r="BB4" s="17"/>
      <c r="BC4" s="17"/>
      <c r="BD4" s="17"/>
      <c r="BE4" s="17"/>
      <c r="BF4" s="17"/>
      <c r="BG4" s="17"/>
      <c r="BH4" s="17"/>
    </row>
    <row r="5" spans="1:60" ht="12.75">
      <c r="A5" s="45"/>
      <c r="B5" s="45"/>
      <c r="C5" s="154" t="s">
        <v>763</v>
      </c>
      <c r="D5" s="45"/>
      <c r="E5" s="154" t="s">
        <v>48</v>
      </c>
      <c r="F5" s="45"/>
      <c r="G5" s="199" t="str">
        <f>flow!E8</f>
        <v>1996A</v>
      </c>
      <c r="H5" s="45"/>
      <c r="I5" s="199" t="str">
        <f>flow!G8</f>
        <v>1997A</v>
      </c>
      <c r="J5" s="45"/>
      <c r="K5" s="199" t="str">
        <f>flow!I8</f>
        <v>1998A</v>
      </c>
      <c r="L5" s="45"/>
      <c r="M5" s="199" t="str">
        <f>flow!K8</f>
        <v>1999A</v>
      </c>
      <c r="N5" s="45"/>
      <c r="O5" s="199" t="str">
        <f>flow!M8</f>
        <v>2000A</v>
      </c>
      <c r="P5" s="45"/>
      <c r="Q5" s="199" t="str">
        <f>flow!O8</f>
        <v>2001A</v>
      </c>
      <c r="R5" s="45"/>
      <c r="S5" s="398" t="str">
        <f>+flow!Q8</f>
        <v>2002A</v>
      </c>
      <c r="T5" s="45"/>
      <c r="U5" s="199" t="str">
        <f>+flow!S8</f>
        <v>2003A</v>
      </c>
      <c r="V5" s="45"/>
      <c r="W5" s="199" t="str">
        <f>+flow!U8</f>
        <v>2004A</v>
      </c>
      <c r="X5" s="45"/>
      <c r="Y5" s="398" t="str">
        <f>+flow!W8</f>
        <v>2005A</v>
      </c>
      <c r="Z5" s="45"/>
      <c r="AA5" s="398" t="str">
        <f>+flow!Y8</f>
        <v>2006A</v>
      </c>
      <c r="AB5" s="373"/>
      <c r="AC5" s="398" t="str">
        <f>+flow!AA8</f>
        <v>2007A</v>
      </c>
      <c r="AD5" s="19"/>
      <c r="AE5" s="398" t="str">
        <f>+flow!AC8</f>
        <v>2008A</v>
      </c>
      <c r="AF5" s="19"/>
      <c r="AG5" s="398" t="str">
        <f>+flow!AE8</f>
        <v>2009A</v>
      </c>
      <c r="AH5" s="19"/>
      <c r="AI5" s="398" t="str">
        <f>+flow!AG8</f>
        <v>2010A</v>
      </c>
      <c r="AJ5" s="19"/>
      <c r="AK5" s="199" t="str">
        <f>+flow!AI8</f>
        <v>2011A</v>
      </c>
      <c r="AL5" s="373"/>
      <c r="AM5" s="199" t="str">
        <f>+flow!AK8</f>
        <v>2012A</v>
      </c>
      <c r="AN5" s="373"/>
      <c r="AO5" s="199" t="str">
        <f>+flow!AM8</f>
        <v>2013A</v>
      </c>
      <c r="AP5" s="373"/>
      <c r="AQ5" s="199" t="str">
        <f>+flow!AO8</f>
        <v>2014A</v>
      </c>
      <c r="AR5" s="373"/>
      <c r="AS5" s="199" t="str">
        <f>+flow!AQ8</f>
        <v>2015A</v>
      </c>
      <c r="AT5" s="343"/>
      <c r="AU5" s="199" t="str">
        <f>+flow!AS8</f>
        <v>2016A</v>
      </c>
      <c r="AV5" s="343"/>
      <c r="AW5" s="199" t="s">
        <v>804</v>
      </c>
      <c r="AX5" s="343"/>
      <c r="AY5" s="343" t="str">
        <f>+flow!AW8</f>
        <v>2018E</v>
      </c>
      <c r="AZ5" s="373"/>
      <c r="BA5" s="1795" t="str">
        <f>+flow!AY8</f>
        <v>2019E</v>
      </c>
      <c r="BB5" s="1795"/>
      <c r="BC5" s="1795" t="str">
        <f>+flow!BA8</f>
        <v>2020E</v>
      </c>
      <c r="BD5" s="1795"/>
      <c r="BE5" s="1795" t="str">
        <f>+flow!BC8</f>
        <v>2021E</v>
      </c>
      <c r="BF5" s="1795"/>
      <c r="BG5" s="1795" t="str">
        <f>+flow!BE8</f>
        <v>2022E</v>
      </c>
      <c r="BH5" s="373"/>
    </row>
    <row r="6" spans="1:60" ht="9" customHeight="1">
      <c r="A6" s="11"/>
      <c r="B6" s="11"/>
      <c r="C6" s="11"/>
      <c r="D6" s="11"/>
      <c r="E6" s="12"/>
      <c r="F6" s="11"/>
      <c r="G6" s="12"/>
      <c r="H6" s="11"/>
      <c r="I6" s="12"/>
      <c r="J6" s="11"/>
      <c r="K6" s="12"/>
      <c r="L6" s="11"/>
      <c r="M6" s="56"/>
      <c r="N6" s="11"/>
      <c r="O6" s="11"/>
      <c r="P6" s="11"/>
      <c r="Q6" s="11"/>
      <c r="R6" s="11"/>
      <c r="S6" s="11"/>
      <c r="T6" s="11"/>
      <c r="U6" s="397" t="s">
        <v>669</v>
      </c>
      <c r="V6" s="11"/>
      <c r="W6" s="397" t="s">
        <v>690</v>
      </c>
      <c r="X6" s="11"/>
      <c r="Y6" s="110"/>
      <c r="Z6" s="11"/>
      <c r="AA6" s="11"/>
      <c r="AB6" s="11"/>
      <c r="AC6" s="11"/>
      <c r="AD6" s="17"/>
      <c r="AE6" s="11"/>
      <c r="AF6" s="17"/>
      <c r="AG6" s="11"/>
      <c r="AH6" s="17"/>
      <c r="AI6" s="11"/>
      <c r="AJ6" s="17"/>
      <c r="AK6" s="11"/>
      <c r="AL6" s="88"/>
      <c r="AM6" s="11"/>
      <c r="AN6" s="88"/>
      <c r="AO6" s="11"/>
      <c r="AP6" s="88"/>
      <c r="AQ6" s="11"/>
      <c r="AR6" s="88"/>
      <c r="AS6" s="11"/>
      <c r="AT6" s="11"/>
      <c r="AU6" s="11"/>
      <c r="AV6" s="11"/>
      <c r="AW6" s="11"/>
      <c r="AX6" s="11"/>
      <c r="AY6" s="11"/>
      <c r="AZ6" s="88"/>
      <c r="BA6" s="11"/>
      <c r="BB6" s="11"/>
      <c r="BC6" s="11"/>
      <c r="BD6" s="11"/>
      <c r="BE6" s="11"/>
      <c r="BF6" s="11"/>
      <c r="BG6" s="11"/>
      <c r="BH6" s="11"/>
    </row>
    <row r="7" spans="1:60" ht="12.75">
      <c r="A7" s="155" t="s">
        <v>51</v>
      </c>
      <c r="B7" s="45"/>
      <c r="C7" s="45"/>
      <c r="D7" s="45"/>
      <c r="E7" s="156"/>
      <c r="F7" s="45"/>
      <c r="G7" s="156"/>
      <c r="H7" s="45"/>
      <c r="I7" s="156"/>
      <c r="J7" s="45"/>
      <c r="K7" s="156"/>
      <c r="L7" s="45"/>
      <c r="M7" s="157"/>
      <c r="N7" s="45"/>
      <c r="O7" s="45"/>
      <c r="P7" s="45"/>
      <c r="Q7" s="267"/>
      <c r="R7" s="45"/>
      <c r="S7" s="267"/>
      <c r="T7" s="45"/>
      <c r="U7" s="267"/>
      <c r="V7" s="45"/>
      <c r="W7" s="267"/>
      <c r="X7" s="45"/>
      <c r="Y7" s="577"/>
      <c r="Z7" s="45"/>
      <c r="AA7" s="577"/>
      <c r="AB7" s="267"/>
      <c r="AC7" s="577"/>
      <c r="AD7" s="19"/>
      <c r="AE7" s="267"/>
      <c r="AF7" s="19"/>
      <c r="AG7" s="643"/>
      <c r="AH7" s="19"/>
      <c r="AI7" s="267"/>
      <c r="AJ7" s="19"/>
      <c r="AK7" s="267"/>
      <c r="AL7" s="765"/>
      <c r="AM7" s="267"/>
      <c r="AN7" s="267"/>
      <c r="AO7" s="267"/>
      <c r="AP7" s="765"/>
      <c r="AQ7" s="267"/>
      <c r="AR7" s="765"/>
      <c r="AS7" s="267"/>
      <c r="AT7" s="267"/>
      <c r="AU7" s="267"/>
      <c r="AV7" s="267"/>
      <c r="AW7" s="267"/>
      <c r="AX7" s="267"/>
      <c r="AY7" s="267"/>
      <c r="AZ7" s="765"/>
      <c r="BA7" s="267"/>
      <c r="BB7" s="267"/>
      <c r="BC7" s="267"/>
      <c r="BD7" s="267"/>
      <c r="BE7" s="267"/>
      <c r="BF7" s="267"/>
      <c r="BG7" s="267"/>
      <c r="BH7" s="267"/>
    </row>
    <row r="8" spans="1:60" ht="12.75">
      <c r="A8" s="158" t="s">
        <v>517</v>
      </c>
      <c r="B8" s="45"/>
      <c r="C8" s="267">
        <v>10.363</v>
      </c>
      <c r="D8" s="56"/>
      <c r="E8" s="267">
        <v>19.986000000000001</v>
      </c>
      <c r="F8" s="56"/>
      <c r="G8" s="267">
        <v>34.326000000000001</v>
      </c>
      <c r="H8" s="45"/>
      <c r="I8" s="267">
        <v>48.359000000000002</v>
      </c>
      <c r="J8" s="56"/>
      <c r="K8" s="267">
        <f>71.94</f>
        <v>71.94</v>
      </c>
      <c r="L8" s="56"/>
      <c r="M8" s="267">
        <f>76.581</f>
        <v>76.581000000000003</v>
      </c>
      <c r="N8" s="45"/>
      <c r="O8" s="159">
        <f>+flow!M56</f>
        <v>133.44599999999991</v>
      </c>
      <c r="P8" s="159"/>
      <c r="Q8" s="159">
        <f>+flow!O56</f>
        <v>180.39800000000008</v>
      </c>
      <c r="R8" s="45"/>
      <c r="S8" s="392">
        <f>+flow!Q56</f>
        <v>194.52600000000012</v>
      </c>
      <c r="T8" s="45"/>
      <c r="U8" s="392">
        <f>+flow!S56</f>
        <v>85.896000000000086</v>
      </c>
      <c r="V8" s="45"/>
      <c r="W8" s="392">
        <f>+flow!U56</f>
        <v>219.37200000000013</v>
      </c>
      <c r="X8" s="45"/>
      <c r="Y8" s="392">
        <f>+flow!W56</f>
        <v>130.52900000000011</v>
      </c>
      <c r="Z8" s="45"/>
      <c r="AA8" s="159">
        <f>+flow!Y56</f>
        <v>59.736999999999853</v>
      </c>
      <c r="AB8" s="159"/>
      <c r="AC8" s="613">
        <f>+flow!AA56</f>
        <v>116.06099999999964</v>
      </c>
      <c r="AD8" s="614"/>
      <c r="AE8" s="613">
        <f>+flow!AC56</f>
        <v>473.34199999999976</v>
      </c>
      <c r="AF8" s="614"/>
      <c r="AG8" s="613">
        <f>+flow!AE56</f>
        <v>693.95999999999981</v>
      </c>
      <c r="AH8" s="614"/>
      <c r="AI8" s="613">
        <f>+flow!AG56</f>
        <v>667.59299999999985</v>
      </c>
      <c r="AJ8" s="614"/>
      <c r="AK8" s="613">
        <f>+flow!AI56</f>
        <v>719.54499999999973</v>
      </c>
      <c r="AL8" s="748"/>
      <c r="AM8" s="881">
        <f>+flow!AK56</f>
        <v>509.11899999999969</v>
      </c>
      <c r="AN8" s="748"/>
      <c r="AO8" s="613">
        <f>flow!AM56</f>
        <v>418.89439999999968</v>
      </c>
      <c r="AP8" s="748"/>
      <c r="AQ8" s="613">
        <f>flow!AO56</f>
        <v>410.63939999999968</v>
      </c>
      <c r="AR8" s="748"/>
      <c r="AS8" s="881">
        <f>flow!AQ56</f>
        <v>260.00939999999957</v>
      </c>
      <c r="AT8" s="613"/>
      <c r="AU8" s="613">
        <f>flow!AS56</f>
        <v>378.55539999999962</v>
      </c>
      <c r="AV8" s="613"/>
      <c r="AW8" s="613">
        <f>flow!AU56</f>
        <v>413.61299999999937</v>
      </c>
      <c r="AX8" s="613">
        <f>flow!AV56</f>
        <v>0</v>
      </c>
      <c r="AY8" s="613">
        <f>flow!AW56</f>
        <v>559.03281839838087</v>
      </c>
      <c r="AZ8" s="748"/>
      <c r="BA8" s="613">
        <f>flow!AY56</f>
        <v>687.23692020337614</v>
      </c>
      <c r="BB8" s="613"/>
      <c r="BC8" s="613">
        <f>flow!BA56</f>
        <v>814.07618000601963</v>
      </c>
      <c r="BD8" s="613"/>
      <c r="BE8" s="613">
        <f>flow!BC56</f>
        <v>945.5575590657603</v>
      </c>
      <c r="BF8" s="613"/>
      <c r="BG8" s="613">
        <f>flow!BE56</f>
        <v>1062.4853148910304</v>
      </c>
      <c r="BH8" s="613"/>
    </row>
    <row r="9" spans="1:60" ht="12.75">
      <c r="A9" s="158" t="s">
        <v>518</v>
      </c>
      <c r="B9" s="11"/>
      <c r="C9" s="185">
        <v>0</v>
      </c>
      <c r="D9" s="185"/>
      <c r="E9" s="185">
        <v>0</v>
      </c>
      <c r="F9" s="185"/>
      <c r="G9" s="185">
        <v>0</v>
      </c>
      <c r="H9" s="185"/>
      <c r="I9" s="185">
        <v>0</v>
      </c>
      <c r="J9" s="185"/>
      <c r="K9" s="185">
        <v>13.36</v>
      </c>
      <c r="L9" s="185"/>
      <c r="M9" s="185">
        <v>91.911000000000001</v>
      </c>
      <c r="N9" s="185"/>
      <c r="O9" s="185">
        <v>27.927</v>
      </c>
      <c r="P9" s="185"/>
      <c r="Q9" s="185">
        <v>45.085000000000001</v>
      </c>
      <c r="R9" s="11"/>
      <c r="S9" s="185">
        <v>47.046999999999997</v>
      </c>
      <c r="T9" s="11"/>
      <c r="U9" s="185">
        <f>200.725+51.191</f>
        <v>251.916</v>
      </c>
      <c r="V9" s="11"/>
      <c r="W9" s="382">
        <v>370.23500000000001</v>
      </c>
      <c r="X9" s="110"/>
      <c r="Y9" s="382">
        <v>620.98900000000003</v>
      </c>
      <c r="Z9" s="110"/>
      <c r="AA9" s="382">
        <v>767.37599999999998</v>
      </c>
      <c r="AB9" s="338"/>
      <c r="AC9" s="382">
        <v>503.87799999999999</v>
      </c>
      <c r="AD9" s="17"/>
      <c r="AE9" s="382">
        <v>10.510999999999999</v>
      </c>
      <c r="AF9" s="17"/>
      <c r="AG9" s="382">
        <v>4.6749999999999998</v>
      </c>
      <c r="AH9" s="17"/>
      <c r="AI9" s="382">
        <v>67.102000000000004</v>
      </c>
      <c r="AJ9" s="17"/>
      <c r="AK9" s="382">
        <v>25.498999999999999</v>
      </c>
      <c r="AL9" s="264"/>
      <c r="AM9" s="382">
        <v>121.873</v>
      </c>
      <c r="AN9" s="264"/>
      <c r="AO9" s="382">
        <v>10.002000000000001</v>
      </c>
      <c r="AP9" s="264"/>
      <c r="AQ9" s="382">
        <v>0</v>
      </c>
      <c r="AR9" s="264"/>
      <c r="AS9" s="382">
        <v>0</v>
      </c>
      <c r="AT9" s="338"/>
      <c r="AU9" s="382">
        <v>0</v>
      </c>
      <c r="AV9" s="338"/>
      <c r="AW9" s="2188">
        <v>0</v>
      </c>
      <c r="AX9" s="338">
        <f>+AW9</f>
        <v>0</v>
      </c>
      <c r="AY9" s="338">
        <f>+AX9</f>
        <v>0</v>
      </c>
      <c r="AZ9" s="264"/>
      <c r="BA9" s="338">
        <f>+AY9</f>
        <v>0</v>
      </c>
      <c r="BB9" s="338"/>
      <c r="BC9" s="338">
        <f>+BA9</f>
        <v>0</v>
      </c>
      <c r="BD9" s="338"/>
      <c r="BE9" s="338">
        <f>+BC9</f>
        <v>0</v>
      </c>
      <c r="BF9" s="338"/>
      <c r="BG9" s="338">
        <f>BE9</f>
        <v>0</v>
      </c>
      <c r="BH9" s="338"/>
    </row>
    <row r="10" spans="1:60" ht="12.75">
      <c r="A10" s="158" t="s">
        <v>52</v>
      </c>
      <c r="B10" s="11"/>
      <c r="C10" s="268">
        <v>50.036999999999999</v>
      </c>
      <c r="D10" s="56"/>
      <c r="E10" s="185">
        <v>23.393999999999998</v>
      </c>
      <c r="F10" s="56"/>
      <c r="G10" s="185">
        <v>27.117000000000001</v>
      </c>
      <c r="H10" s="164"/>
      <c r="I10" s="185">
        <v>36.277999999999999</v>
      </c>
      <c r="J10" s="164"/>
      <c r="K10" s="185">
        <v>49.688000000000002</v>
      </c>
      <c r="L10" s="164"/>
      <c r="M10" s="185">
        <v>60.375</v>
      </c>
      <c r="N10" s="162"/>
      <c r="O10" s="185">
        <v>84.063999999999993</v>
      </c>
      <c r="P10" s="11"/>
      <c r="Q10" s="185">
        <v>91.096000000000004</v>
      </c>
      <c r="R10" s="11"/>
      <c r="S10" s="185">
        <v>124.708</v>
      </c>
      <c r="T10" s="11"/>
      <c r="U10" s="185">
        <v>120.586</v>
      </c>
      <c r="V10" s="11"/>
      <c r="W10" s="185">
        <v>170.57599999999999</v>
      </c>
      <c r="X10" s="11"/>
      <c r="Y10" s="382">
        <v>210.739</v>
      </c>
      <c r="Z10" s="11"/>
      <c r="AA10" s="185">
        <v>263.64400000000001</v>
      </c>
      <c r="AB10" s="161"/>
      <c r="AC10" s="185">
        <v>286.48500000000001</v>
      </c>
      <c r="AD10" s="17"/>
      <c r="AE10" s="185">
        <v>294.928</v>
      </c>
      <c r="AF10" s="17"/>
      <c r="AG10" s="185">
        <v>326.45400000000001</v>
      </c>
      <c r="AH10" s="17"/>
      <c r="AI10" s="185">
        <v>301.20800000000003</v>
      </c>
      <c r="AJ10" s="17"/>
      <c r="AK10" s="382">
        <v>378.42599999999999</v>
      </c>
      <c r="AL10" s="172"/>
      <c r="AM10" s="185">
        <v>332.452</v>
      </c>
      <c r="AN10" s="172"/>
      <c r="AO10" s="185">
        <v>291.541</v>
      </c>
      <c r="AP10" s="172"/>
      <c r="AQ10" s="185">
        <v>278.97199999999998</v>
      </c>
      <c r="AR10" s="172"/>
      <c r="AS10" s="185">
        <v>305.178</v>
      </c>
      <c r="AT10" s="161"/>
      <c r="AU10" s="185">
        <v>358.44600000000003</v>
      </c>
      <c r="AV10" s="161"/>
      <c r="AW10" s="2189">
        <v>398.21300000000002</v>
      </c>
      <c r="AX10" s="161">
        <f>+AX79*AX84</f>
        <v>0</v>
      </c>
      <c r="AY10" s="161">
        <f>+AY79*AY84</f>
        <v>423.09644896535247</v>
      </c>
      <c r="AZ10" s="172"/>
      <c r="BA10" s="161">
        <f>+BA79*BA84</f>
        <v>450.02072997257306</v>
      </c>
      <c r="BB10" s="161"/>
      <c r="BC10" s="161">
        <f>+BC79*BC84</f>
        <v>476.98690931809648</v>
      </c>
      <c r="BD10" s="161"/>
      <c r="BE10" s="161">
        <f>+BE79*BE84</f>
        <v>477.01578313612032</v>
      </c>
      <c r="BF10" s="161"/>
      <c r="BG10" s="161">
        <f>+BG79*BG84</f>
        <v>476.95933858309377</v>
      </c>
      <c r="BH10" s="161"/>
    </row>
    <row r="11" spans="1:60" ht="12.75">
      <c r="A11" s="11" t="s">
        <v>94</v>
      </c>
      <c r="B11" s="11"/>
      <c r="C11" s="268">
        <v>8.73</v>
      </c>
      <c r="D11" s="56"/>
      <c r="E11" s="185">
        <v>5.6420000000000003</v>
      </c>
      <c r="F11" s="56"/>
      <c r="G11" s="185">
        <v>3.556</v>
      </c>
      <c r="H11" s="164"/>
      <c r="I11" s="185">
        <v>7.6470000000000002</v>
      </c>
      <c r="J11" s="164"/>
      <c r="K11" s="185">
        <v>8.56</v>
      </c>
      <c r="L11" s="164"/>
      <c r="M11" s="185">
        <v>13.471</v>
      </c>
      <c r="N11" s="164"/>
      <c r="O11" s="161">
        <v>29.466000000000001</v>
      </c>
      <c r="P11" s="11"/>
      <c r="Q11" s="185">
        <v>17.626999999999999</v>
      </c>
      <c r="R11" s="11"/>
      <c r="S11" s="185">
        <v>13.598000000000001</v>
      </c>
      <c r="T11" s="11"/>
      <c r="U11" s="185">
        <v>24.129000000000001</v>
      </c>
      <c r="V11" s="11"/>
      <c r="W11" s="185">
        <v>26.431999999999999</v>
      </c>
      <c r="X11" s="11"/>
      <c r="Y11" s="382">
        <v>29.146000000000001</v>
      </c>
      <c r="Z11" s="11"/>
      <c r="AA11" s="185">
        <v>26.045000000000002</v>
      </c>
      <c r="AB11" s="161"/>
      <c r="AC11" s="185">
        <v>31.92</v>
      </c>
      <c r="AD11" s="300"/>
      <c r="AE11" s="185">
        <v>41.470999999999997</v>
      </c>
      <c r="AF11" s="300"/>
      <c r="AG11" s="185">
        <v>34.746000000000002</v>
      </c>
      <c r="AH11" s="300"/>
      <c r="AI11" s="185">
        <v>36.720999999999997</v>
      </c>
      <c r="AJ11" s="300"/>
      <c r="AK11" s="382">
        <v>40.31</v>
      </c>
      <c r="AL11" s="172"/>
      <c r="AM11" s="185">
        <v>46.320999999999998</v>
      </c>
      <c r="AN11" s="172"/>
      <c r="AO11" s="185">
        <v>73.882000000000005</v>
      </c>
      <c r="AP11" s="172"/>
      <c r="AQ11" s="185">
        <v>67.894000000000005</v>
      </c>
      <c r="AR11" s="172"/>
      <c r="AS11" s="185">
        <v>80.912000000000006</v>
      </c>
      <c r="AT11" s="161"/>
      <c r="AU11" s="185">
        <v>86.634</v>
      </c>
      <c r="AV11" s="161"/>
      <c r="AW11" s="2189">
        <v>78.304000000000002</v>
      </c>
      <c r="AX11" s="161">
        <f>+AX79*AX85</f>
        <v>0</v>
      </c>
      <c r="AY11" s="161">
        <f>+AY79*AY85</f>
        <v>79.351664373629021</v>
      </c>
      <c r="AZ11" s="172"/>
      <c r="BA11" s="161">
        <f>+BA79*BA85</f>
        <v>80.731686417483857</v>
      </c>
      <c r="BB11" s="161"/>
      <c r="BC11" s="161">
        <f>+BC79*BC85</f>
        <v>82.003909814812545</v>
      </c>
      <c r="BD11" s="161"/>
      <c r="BE11" s="161">
        <f>+BE79*BE85</f>
        <v>82.008873821000094</v>
      </c>
      <c r="BF11" s="161"/>
      <c r="BG11" s="161">
        <f>+BG79*BG85</f>
        <v>81.999169835533181</v>
      </c>
      <c r="BH11" s="161"/>
    </row>
    <row r="12" spans="1:60" ht="12.75">
      <c r="A12" s="158" t="s">
        <v>53</v>
      </c>
      <c r="B12" s="11"/>
      <c r="C12" s="235">
        <v>1.448</v>
      </c>
      <c r="D12" s="56"/>
      <c r="E12" s="235">
        <v>4.4290000000000003</v>
      </c>
      <c r="F12" s="269"/>
      <c r="G12" s="235">
        <v>4.3810000000000002</v>
      </c>
      <c r="H12" s="56"/>
      <c r="I12" s="235">
        <v>5.3879999999999999</v>
      </c>
      <c r="J12" s="56"/>
      <c r="K12" s="235">
        <v>2.7570000000000001</v>
      </c>
      <c r="L12" s="56"/>
      <c r="M12" s="235">
        <v>6.64</v>
      </c>
      <c r="N12" s="56"/>
      <c r="O12" s="235">
        <v>18.864000000000001</v>
      </c>
      <c r="P12" s="11"/>
      <c r="Q12" s="235">
        <v>23.503</v>
      </c>
      <c r="R12" s="11"/>
      <c r="S12" s="235">
        <v>32.152999999999999</v>
      </c>
      <c r="T12" s="11"/>
      <c r="U12" s="235">
        <v>27.588999999999999</v>
      </c>
      <c r="V12" s="11"/>
      <c r="W12" s="235">
        <v>25.856000000000002</v>
      </c>
      <c r="X12" s="11"/>
      <c r="Y12" s="578">
        <v>30.11</v>
      </c>
      <c r="Z12" s="11"/>
      <c r="AA12" s="235">
        <v>33.72</v>
      </c>
      <c r="AB12" s="235"/>
      <c r="AC12" s="235">
        <v>35.485999999999997</v>
      </c>
      <c r="AD12" s="17"/>
      <c r="AE12" s="235">
        <v>59.66</v>
      </c>
      <c r="AF12" s="17"/>
      <c r="AG12" s="235">
        <v>47.039000000000001</v>
      </c>
      <c r="AH12" s="17"/>
      <c r="AI12" s="235">
        <v>53.726999999999997</v>
      </c>
      <c r="AJ12" s="17"/>
      <c r="AK12" s="578">
        <v>74.947000000000003</v>
      </c>
      <c r="AL12" s="746"/>
      <c r="AM12" s="235">
        <v>73.805000000000007</v>
      </c>
      <c r="AN12" s="746"/>
      <c r="AO12" s="235">
        <v>83.724000000000004</v>
      </c>
      <c r="AP12" s="746"/>
      <c r="AQ12" s="235">
        <v>73.847999999999999</v>
      </c>
      <c r="AR12" s="746"/>
      <c r="AS12" s="235">
        <v>77.218000000000004</v>
      </c>
      <c r="AT12" s="622"/>
      <c r="AU12" s="235">
        <v>77.536000000000001</v>
      </c>
      <c r="AV12" s="622"/>
      <c r="AW12" s="2190">
        <v>78.400000000000006</v>
      </c>
      <c r="AX12" s="622">
        <f>AW12</f>
        <v>78.400000000000006</v>
      </c>
      <c r="AY12" s="622">
        <f>AX12</f>
        <v>78.400000000000006</v>
      </c>
      <c r="AZ12" s="746"/>
      <c r="BA12" s="622">
        <f>AY12</f>
        <v>78.400000000000006</v>
      </c>
      <c r="BB12" s="622"/>
      <c r="BC12" s="622">
        <f>BA12</f>
        <v>78.400000000000006</v>
      </c>
      <c r="BD12" s="622"/>
      <c r="BE12" s="622">
        <f>BC12</f>
        <v>78.400000000000006</v>
      </c>
      <c r="BF12" s="622"/>
      <c r="BG12" s="622">
        <f>BE12</f>
        <v>78.400000000000006</v>
      </c>
      <c r="BH12" s="622"/>
    </row>
    <row r="13" spans="1:60" ht="12.75">
      <c r="A13" s="11" t="s">
        <v>95</v>
      </c>
      <c r="B13" s="11"/>
      <c r="C13" s="270">
        <v>2.2309999999999999</v>
      </c>
      <c r="D13" s="56"/>
      <c r="E13" s="236">
        <v>2.891</v>
      </c>
      <c r="F13" s="56"/>
      <c r="G13" s="236">
        <v>4.38</v>
      </c>
      <c r="H13" s="56"/>
      <c r="I13" s="236">
        <v>4.8010000000000002</v>
      </c>
      <c r="J13" s="56"/>
      <c r="K13" s="236">
        <v>8.1989999999999998</v>
      </c>
      <c r="L13" s="56"/>
      <c r="M13" s="236">
        <v>13.584</v>
      </c>
      <c r="N13" s="56"/>
      <c r="O13" s="236">
        <v>24.893999999999998</v>
      </c>
      <c r="P13" s="11"/>
      <c r="Q13" s="236">
        <v>20.321000000000002</v>
      </c>
      <c r="R13" s="11"/>
      <c r="S13" s="236">
        <v>14.694000000000001</v>
      </c>
      <c r="T13" s="11"/>
      <c r="U13" s="236">
        <v>20.584</v>
      </c>
      <c r="V13" s="11"/>
      <c r="W13" s="236">
        <f>39.313+13.581</f>
        <v>52.894000000000005</v>
      </c>
      <c r="X13" s="11"/>
      <c r="Y13" s="265">
        <f>43.085+12.183</f>
        <v>55.268000000000001</v>
      </c>
      <c r="Z13" s="11"/>
      <c r="AA13" s="236">
        <v>47.731999999999999</v>
      </c>
      <c r="AB13" s="173"/>
      <c r="AC13" s="236">
        <v>47.003999999999998</v>
      </c>
      <c r="AD13" s="17"/>
      <c r="AE13" s="236">
        <v>45.447000000000003</v>
      </c>
      <c r="AF13" s="17"/>
      <c r="AG13" s="236">
        <v>60.155999999999999</v>
      </c>
      <c r="AH13" s="17"/>
      <c r="AI13" s="236">
        <v>48.058999999999997</v>
      </c>
      <c r="AJ13" s="17"/>
      <c r="AK13" s="265">
        <v>48.761000000000003</v>
      </c>
      <c r="AL13" s="172"/>
      <c r="AM13" s="236">
        <v>58.23</v>
      </c>
      <c r="AN13" s="172"/>
      <c r="AO13" s="236">
        <v>45.478000000000002</v>
      </c>
      <c r="AP13" s="172"/>
      <c r="AQ13" s="236">
        <v>59.101999999999997</v>
      </c>
      <c r="AR13" s="172"/>
      <c r="AS13" s="236">
        <v>0</v>
      </c>
      <c r="AT13" s="172"/>
      <c r="AU13" s="236">
        <f>AS13</f>
        <v>0</v>
      </c>
      <c r="AV13" s="165"/>
      <c r="AW13" s="2191">
        <v>0</v>
      </c>
      <c r="AX13" s="172">
        <f>AW13</f>
        <v>0</v>
      </c>
      <c r="AY13" s="165">
        <f>AX13</f>
        <v>0</v>
      </c>
      <c r="AZ13" s="172"/>
      <c r="BA13" s="165">
        <f>AY13</f>
        <v>0</v>
      </c>
      <c r="BB13" s="165"/>
      <c r="BC13" s="165">
        <f>BA13</f>
        <v>0</v>
      </c>
      <c r="BD13" s="165"/>
      <c r="BE13" s="165">
        <f>BC13</f>
        <v>0</v>
      </c>
      <c r="BF13" s="172"/>
      <c r="BG13" s="172">
        <f>BE13</f>
        <v>0</v>
      </c>
      <c r="BH13" s="172"/>
    </row>
    <row r="14" spans="1:60" ht="12.75">
      <c r="A14" s="158" t="s">
        <v>54</v>
      </c>
      <c r="B14" s="11"/>
      <c r="C14" s="159">
        <f>SUM(C8:C13)</f>
        <v>72.808999999999983</v>
      </c>
      <c r="D14" s="11"/>
      <c r="E14" s="159">
        <f>SUM(E8:E13)</f>
        <v>56.341999999999999</v>
      </c>
      <c r="F14" s="167"/>
      <c r="G14" s="159">
        <f>SUM(G8:G13)</f>
        <v>73.759999999999991</v>
      </c>
      <c r="H14" s="11"/>
      <c r="I14" s="159">
        <f>SUM(I8:I13)</f>
        <v>102.47300000000001</v>
      </c>
      <c r="J14" s="11"/>
      <c r="K14" s="159">
        <f>SUM(K8:K13)</f>
        <v>154.50400000000002</v>
      </c>
      <c r="L14" s="11"/>
      <c r="M14" s="159">
        <f>SUM(M8:M13)</f>
        <v>262.56200000000001</v>
      </c>
      <c r="N14" s="11"/>
      <c r="O14" s="159">
        <f>SUM(O8:O13)</f>
        <v>318.66099999999989</v>
      </c>
      <c r="P14" s="11"/>
      <c r="Q14" s="159">
        <f>SUM(Q8:Q13)</f>
        <v>378.03000000000009</v>
      </c>
      <c r="R14" s="11"/>
      <c r="S14" s="159">
        <f>SUM(S8:S13)</f>
        <v>426.72600000000017</v>
      </c>
      <c r="T14" s="11"/>
      <c r="U14" s="159">
        <f>SUM(U8:U13)</f>
        <v>530.70000000000005</v>
      </c>
      <c r="V14" s="11"/>
      <c r="W14" s="159">
        <f>SUM(W8:W13)</f>
        <v>865.36500000000024</v>
      </c>
      <c r="X14" s="11"/>
      <c r="Y14" s="392">
        <f>SUM(Y8:Y13)</f>
        <v>1076.7810000000002</v>
      </c>
      <c r="Z14" s="11"/>
      <c r="AA14" s="159">
        <f>SUM(AA8:AA13)</f>
        <v>1198.2539999999999</v>
      </c>
      <c r="AB14" s="159"/>
      <c r="AC14" s="159">
        <f>SUM(AC8:AC13)</f>
        <v>1020.8339999999996</v>
      </c>
      <c r="AD14" s="17"/>
      <c r="AE14" s="159">
        <f>SUM(AE8:AE13)</f>
        <v>925.3589999999997</v>
      </c>
      <c r="AF14" s="17"/>
      <c r="AG14" s="159">
        <f>SUM(AG8:AG13)</f>
        <v>1167.0299999999997</v>
      </c>
      <c r="AH14" s="17"/>
      <c r="AI14" s="159">
        <f>SUM(AI8:AI13)</f>
        <v>1174.4099999999999</v>
      </c>
      <c r="AJ14" s="17"/>
      <c r="AK14" s="392">
        <f>SUM(AK8:AK13)</f>
        <v>1287.4879999999998</v>
      </c>
      <c r="AL14" s="374"/>
      <c r="AM14" s="159">
        <f>SUM(AM8:AM13)</f>
        <v>1141.7999999999997</v>
      </c>
      <c r="AN14" s="374"/>
      <c r="AO14" s="159">
        <f>SUM(AO8:AO13)</f>
        <v>923.52139999999963</v>
      </c>
      <c r="AP14" s="374"/>
      <c r="AQ14" s="159">
        <f>SUM(AQ8:AQ13)</f>
        <v>890.4553999999996</v>
      </c>
      <c r="AR14" s="374"/>
      <c r="AS14" s="159">
        <f>SUM(AS8:AS13)</f>
        <v>723.31739999999957</v>
      </c>
      <c r="AT14" s="374"/>
      <c r="AU14" s="159">
        <f>SUM(AU8:AU13)</f>
        <v>901.17139999999972</v>
      </c>
      <c r="AV14" s="159"/>
      <c r="AW14" s="159">
        <f>SUM(AW8:AW13)</f>
        <v>968.52999999999929</v>
      </c>
      <c r="AX14" s="374">
        <f>SUM(AX8:AX13)</f>
        <v>78.400000000000006</v>
      </c>
      <c r="AY14" s="159">
        <f>SUM(AY8:AY13)</f>
        <v>1139.8809317373625</v>
      </c>
      <c r="AZ14" s="374"/>
      <c r="BA14" s="159">
        <f>SUM(BA8:BA13)</f>
        <v>1296.3893365934332</v>
      </c>
      <c r="BB14" s="159"/>
      <c r="BC14" s="159">
        <f>SUM(BC8:BC13)</f>
        <v>1451.4669991389287</v>
      </c>
      <c r="BD14" s="159"/>
      <c r="BE14" s="159">
        <f>SUM(BE8:BE13)</f>
        <v>1582.9822160228809</v>
      </c>
      <c r="BF14" s="2100"/>
      <c r="BG14" s="2100">
        <f>SUM(BG8:BG13)</f>
        <v>1699.8438233096574</v>
      </c>
      <c r="BH14" s="159"/>
    </row>
    <row r="15" spans="1:60" ht="6" customHeight="1">
      <c r="A15" s="11"/>
      <c r="B15" s="11"/>
      <c r="C15" s="160"/>
      <c r="D15" s="11"/>
      <c r="E15" s="161"/>
      <c r="F15" s="88"/>
      <c r="G15" s="161"/>
      <c r="H15" s="11"/>
      <c r="I15" s="161"/>
      <c r="J15" s="11"/>
      <c r="K15" s="161"/>
      <c r="L15" s="11"/>
      <c r="M15" s="169"/>
      <c r="N15" s="11"/>
      <c r="O15" s="11"/>
      <c r="P15" s="11"/>
      <c r="Q15" s="11"/>
      <c r="R15" s="11"/>
      <c r="S15" s="11"/>
      <c r="T15" s="11"/>
      <c r="U15" s="11"/>
      <c r="V15" s="11"/>
      <c r="W15" s="11"/>
      <c r="X15" s="11"/>
      <c r="Y15" s="110"/>
      <c r="Z15" s="11"/>
      <c r="AA15" s="11"/>
      <c r="AB15" s="11"/>
      <c r="AC15" s="11"/>
      <c r="AD15" s="17"/>
      <c r="AE15" s="11"/>
      <c r="AF15" s="17"/>
      <c r="AG15" s="11"/>
      <c r="AH15" s="17"/>
      <c r="AI15" s="11"/>
      <c r="AJ15" s="17"/>
      <c r="AK15" s="110"/>
      <c r="AL15" s="88"/>
      <c r="AM15" s="11"/>
      <c r="AN15" s="88"/>
      <c r="AO15" s="11"/>
      <c r="AP15" s="88"/>
      <c r="AQ15" s="11"/>
      <c r="AR15" s="88"/>
      <c r="AS15" s="11"/>
      <c r="AT15" s="88"/>
      <c r="AU15" s="11"/>
      <c r="AV15" s="11"/>
      <c r="AW15" s="11"/>
      <c r="AX15" s="88"/>
      <c r="AY15" s="11"/>
      <c r="AZ15" s="88"/>
      <c r="BA15" s="11"/>
      <c r="BB15" s="11"/>
      <c r="BC15" s="11"/>
      <c r="BD15" s="11"/>
      <c r="BE15" s="11"/>
      <c r="BF15" s="11"/>
      <c r="BG15" s="11"/>
      <c r="BH15" s="11"/>
    </row>
    <row r="16" spans="1:60" ht="12.75" hidden="1" outlineLevel="1">
      <c r="A16" s="158" t="s">
        <v>510</v>
      </c>
      <c r="B16" s="11"/>
      <c r="C16" s="266">
        <v>51.835999999999999</v>
      </c>
      <c r="D16" s="56"/>
      <c r="E16" s="173">
        <v>56.772999999999996</v>
      </c>
      <c r="F16" s="108"/>
      <c r="G16" s="173">
        <v>55.789000000000001</v>
      </c>
      <c r="H16" s="170"/>
      <c r="I16" s="173">
        <v>61.82</v>
      </c>
      <c r="J16" s="169"/>
      <c r="K16" s="173">
        <v>83.302999999999997</v>
      </c>
      <c r="L16" s="170"/>
      <c r="M16" s="173">
        <v>122.739</v>
      </c>
      <c r="N16" s="170"/>
      <c r="O16" s="615">
        <v>240.23699999999999</v>
      </c>
      <c r="P16" s="616"/>
      <c r="Q16" s="615">
        <v>345.899</v>
      </c>
      <c r="R16" s="616"/>
      <c r="S16" s="615">
        <v>403.77600000000001</v>
      </c>
      <c r="T16" s="616"/>
      <c r="U16" s="615">
        <v>566.75699999999995</v>
      </c>
      <c r="V16" s="616"/>
      <c r="W16" s="615"/>
      <c r="X16" s="616"/>
      <c r="Y16" s="615">
        <v>667.02300000000002</v>
      </c>
      <c r="Z16" s="616"/>
      <c r="AA16" s="615">
        <v>857.69</v>
      </c>
      <c r="AB16" s="617"/>
      <c r="AC16" s="615">
        <v>1091.31</v>
      </c>
      <c r="AD16" s="618"/>
      <c r="AE16" s="615">
        <v>1298.6289999999999</v>
      </c>
      <c r="AF16" s="618"/>
      <c r="AG16" s="615">
        <v>1394.806</v>
      </c>
      <c r="AH16" s="618"/>
      <c r="AI16" s="615">
        <v>1432.8019999999999</v>
      </c>
      <c r="AJ16" s="618"/>
      <c r="AK16" s="617">
        <f>+AK18-AK17</f>
        <v>1514.9999250000001</v>
      </c>
      <c r="AL16" s="617"/>
      <c r="AM16" s="617">
        <f>+AM18-AM17</f>
        <v>1570.8683000000001</v>
      </c>
      <c r="AN16" s="617"/>
      <c r="AO16" s="617">
        <v>637.41700000000003</v>
      </c>
      <c r="AP16" s="617"/>
      <c r="AQ16" s="617">
        <f>+AQ18-AQ17</f>
        <v>2032.5296000000003</v>
      </c>
      <c r="AR16" s="617"/>
      <c r="AS16" s="617">
        <f t="shared" ref="AS16:AY16" si="0">+AS18-AS17</f>
        <v>2190.2198500000004</v>
      </c>
      <c r="AT16" s="617">
        <f t="shared" si="0"/>
        <v>0</v>
      </c>
      <c r="AU16" s="617">
        <f t="shared" si="0"/>
        <v>2352.5473750000001</v>
      </c>
      <c r="AV16" s="617"/>
      <c r="AW16" s="617">
        <f t="shared" si="0"/>
        <v>724.61575000000005</v>
      </c>
      <c r="AX16" s="617">
        <f t="shared" si="0"/>
        <v>2536.4149500000003</v>
      </c>
      <c r="AY16" s="617">
        <f t="shared" si="0"/>
        <v>731.5716048570938</v>
      </c>
      <c r="AZ16" s="617"/>
      <c r="BA16" s="617">
        <f>+BA18-BA17</f>
        <v>2727.5806251326385</v>
      </c>
      <c r="BB16" s="617"/>
      <c r="BC16" s="617">
        <f>+BC18-BC17</f>
        <v>914.75173204083933</v>
      </c>
      <c r="BD16" s="617"/>
      <c r="BE16" s="617">
        <f>+BE18-BE17</f>
        <v>916.93096673528407</v>
      </c>
      <c r="BF16" s="617"/>
      <c r="BG16" s="617"/>
      <c r="BH16" s="617"/>
    </row>
    <row r="17" spans="1:60" ht="12.75" hidden="1" outlineLevel="1">
      <c r="A17" s="158" t="s">
        <v>96</v>
      </c>
      <c r="B17" s="11"/>
      <c r="C17" s="236">
        <v>-22.321999999999999</v>
      </c>
      <c r="D17" s="56"/>
      <c r="E17" s="236">
        <v>-23.044</v>
      </c>
      <c r="F17" s="108"/>
      <c r="G17" s="236">
        <v>-21.597999999999999</v>
      </c>
      <c r="H17" s="170"/>
      <c r="I17" s="236">
        <v>-23.273</v>
      </c>
      <c r="J17" s="169"/>
      <c r="K17" s="236">
        <v>-29.933</v>
      </c>
      <c r="L17" s="170"/>
      <c r="M17" s="236">
        <v>-37.813000000000002</v>
      </c>
      <c r="N17" s="170"/>
      <c r="O17" s="619">
        <v>-56.863999999999997</v>
      </c>
      <c r="P17" s="616"/>
      <c r="Q17" s="619">
        <v>-88.168000000000006</v>
      </c>
      <c r="R17" s="616"/>
      <c r="S17" s="619">
        <v>-136.297</v>
      </c>
      <c r="T17" s="616"/>
      <c r="U17" s="619">
        <v>-225.80199999999999</v>
      </c>
      <c r="V17" s="616"/>
      <c r="W17" s="619"/>
      <c r="X17" s="616"/>
      <c r="Y17" s="619">
        <v>-321.505</v>
      </c>
      <c r="Z17" s="616"/>
      <c r="AA17" s="619">
        <v>-376.04500000000002</v>
      </c>
      <c r="AB17" s="620"/>
      <c r="AC17" s="619">
        <v>-465.74200000000002</v>
      </c>
      <c r="AD17" s="618"/>
      <c r="AE17" s="621">
        <v>-558.38900000000001</v>
      </c>
      <c r="AF17" s="618"/>
      <c r="AG17" s="621">
        <v>-681.66399999999999</v>
      </c>
      <c r="AH17" s="618"/>
      <c r="AI17" s="621">
        <v>-789.68200000000002</v>
      </c>
      <c r="AJ17" s="618"/>
      <c r="AK17" s="621">
        <f>AI17-flow!AI11+((AI20-AK20)/40)</f>
        <v>-932.83792499999993</v>
      </c>
      <c r="AL17" s="620"/>
      <c r="AM17" s="621">
        <f>AK17-flow!AK11+((AK20-AM20)/40)</f>
        <v>-1061.2353000000001</v>
      </c>
      <c r="AN17" s="620"/>
      <c r="AO17" s="621">
        <f>AM17-flow!AM11+((AM20-AO20)/40)</f>
        <v>-1195.3334500000001</v>
      </c>
      <c r="AP17" s="620"/>
      <c r="AQ17" s="621">
        <f>AO17-flow!AO11+((AO20-AQ20)/40)</f>
        <v>-1337.6736000000003</v>
      </c>
      <c r="AR17" s="620"/>
      <c r="AS17" s="621">
        <f>AQ17-flow!AQ11+((AQ20-AS20)/40)</f>
        <v>-1486.6338500000002</v>
      </c>
      <c r="AT17" s="620">
        <f>AR17-flow!AR11+((AR20-AT20)/40)</f>
        <v>0</v>
      </c>
      <c r="AU17" s="621">
        <f>AS17-flow!AS11+((AS20-AU20)/40)</f>
        <v>-1644.7503750000001</v>
      </c>
      <c r="AV17" s="621"/>
      <c r="AW17" s="621">
        <f>AT17-flow!AT11+((AT20-AW20)/40)</f>
        <v>-0.37675000000000003</v>
      </c>
      <c r="AX17" s="620">
        <f>AU17-flow!AU11+((AU20-AX20)/40)</f>
        <v>-1812.1759500000001</v>
      </c>
      <c r="AY17" s="621">
        <f>AW17-flow!AV11+((AW20-AY20)/40)</f>
        <v>-0.37675000000000003</v>
      </c>
      <c r="AZ17" s="620"/>
      <c r="BA17" s="621">
        <f>AX17-flow!AW11+((AX20-BA20)/40)</f>
        <v>-1990.2200951429063</v>
      </c>
      <c r="BB17" s="621"/>
      <c r="BC17" s="621">
        <f>AZ17-flow!AY11+((AZ20-BC20)/40)</f>
        <v>-179.21107486736162</v>
      </c>
      <c r="BD17" s="621"/>
      <c r="BE17" s="621">
        <f>BB17-flow!BA11+((BB20-BE20)/40)</f>
        <v>-187.19662281625446</v>
      </c>
      <c r="BF17" s="620"/>
      <c r="BG17" s="620"/>
      <c r="BH17" s="620"/>
    </row>
    <row r="18" spans="1:60" ht="12.75" collapsed="1">
      <c r="A18" s="158" t="s">
        <v>511</v>
      </c>
      <c r="B18" s="11"/>
      <c r="C18" s="171">
        <f>C16+C17</f>
        <v>29.513999999999999</v>
      </c>
      <c r="D18" s="11"/>
      <c r="E18" s="171">
        <f>E16+E17</f>
        <v>33.728999999999999</v>
      </c>
      <c r="F18" s="88"/>
      <c r="G18" s="171">
        <f>G16+G17</f>
        <v>34.191000000000003</v>
      </c>
      <c r="H18" s="170"/>
      <c r="I18" s="171">
        <f>I16+I17</f>
        <v>38.546999999999997</v>
      </c>
      <c r="J18" s="170"/>
      <c r="K18" s="171">
        <f>K16+K17</f>
        <v>53.37</v>
      </c>
      <c r="L18" s="170"/>
      <c r="M18" s="171">
        <f>M16+M17</f>
        <v>84.926000000000002</v>
      </c>
      <c r="N18" s="169"/>
      <c r="O18" s="264">
        <f>+O16+O17</f>
        <v>183.37299999999999</v>
      </c>
      <c r="P18" s="11"/>
      <c r="Q18" s="264">
        <f>+Q16+Q17</f>
        <v>257.73099999999999</v>
      </c>
      <c r="R18" s="11"/>
      <c r="S18" s="264">
        <f>+S16+S17</f>
        <v>267.47900000000004</v>
      </c>
      <c r="T18" s="11"/>
      <c r="U18" s="264">
        <f>+U16+U17</f>
        <v>340.95499999999993</v>
      </c>
      <c r="V18" s="11"/>
      <c r="W18" s="263">
        <v>339.83300000000003</v>
      </c>
      <c r="X18" s="11"/>
      <c r="Y18" s="264">
        <f>+Y16+Y17</f>
        <v>345.51800000000003</v>
      </c>
      <c r="Z18" s="11"/>
      <c r="AA18" s="264">
        <f>+AA16+AA17</f>
        <v>481.64500000000004</v>
      </c>
      <c r="AB18" s="264"/>
      <c r="AC18" s="264">
        <f>+AC16+AC17</f>
        <v>625.56799999999998</v>
      </c>
      <c r="AD18" s="17"/>
      <c r="AE18" s="264">
        <v>740.24</v>
      </c>
      <c r="AF18" s="17"/>
      <c r="AG18" s="264">
        <v>713.14200000000005</v>
      </c>
      <c r="AH18" s="17"/>
      <c r="AI18" s="264">
        <v>643.12</v>
      </c>
      <c r="AJ18" s="17"/>
      <c r="AK18" s="264">
        <v>582.16200000000003</v>
      </c>
      <c r="AL18" s="264"/>
      <c r="AM18" s="263">
        <v>509.63299999999998</v>
      </c>
      <c r="AN18" s="264"/>
      <c r="AO18" s="263">
        <v>637.41700000000003</v>
      </c>
      <c r="AP18" s="264"/>
      <c r="AQ18" s="263">
        <v>694.85599999999999</v>
      </c>
      <c r="AR18" s="264"/>
      <c r="AS18" s="185">
        <v>703.58600000000001</v>
      </c>
      <c r="AT18" s="264"/>
      <c r="AU18" s="185">
        <v>707.79700000000003</v>
      </c>
      <c r="AV18" s="264"/>
      <c r="AW18" s="2192">
        <v>724.23900000000003</v>
      </c>
      <c r="AX18" s="264">
        <f>AW18+flow!AV22-flow!AV11</f>
        <v>724.23900000000003</v>
      </c>
      <c r="AY18" s="264">
        <f>AX18+flow!AW22-flow!AW11</f>
        <v>731.19485485709379</v>
      </c>
      <c r="AZ18" s="264"/>
      <c r="BA18" s="264">
        <f>AY18+flow!AY22-flow!AY11</f>
        <v>737.36052998973219</v>
      </c>
      <c r="BB18" s="264"/>
      <c r="BC18" s="264">
        <f>BA18+flow!BA22-flow!BA11</f>
        <v>735.54065717347771</v>
      </c>
      <c r="BD18" s="264"/>
      <c r="BE18" s="264">
        <f>BC18+flow!BC22-flow!BC11</f>
        <v>729.73434391902958</v>
      </c>
      <c r="BF18" s="264"/>
      <c r="BG18" s="264">
        <f>BE18+flow!BE22-flow!BE11</f>
        <v>723.95060848579203</v>
      </c>
      <c r="BH18" s="264"/>
    </row>
    <row r="19" spans="1:60" ht="6" customHeight="1">
      <c r="A19" s="158"/>
      <c r="B19" s="11"/>
      <c r="C19" s="174"/>
      <c r="D19" s="11"/>
      <c r="E19" s="175"/>
      <c r="F19" s="88"/>
      <c r="G19" s="175"/>
      <c r="H19" s="170"/>
      <c r="I19" s="175"/>
      <c r="J19" s="170"/>
      <c r="K19" s="175"/>
      <c r="L19" s="170"/>
      <c r="M19" s="169"/>
      <c r="N19" s="169"/>
      <c r="O19" s="11"/>
      <c r="P19" s="11"/>
      <c r="Q19" s="11"/>
      <c r="R19" s="11"/>
      <c r="S19" s="11"/>
      <c r="T19" s="11"/>
      <c r="U19" s="11"/>
      <c r="V19" s="11"/>
      <c r="W19" s="11"/>
      <c r="X19" s="11"/>
      <c r="Y19" s="110"/>
      <c r="Z19" s="11"/>
      <c r="AA19" s="11"/>
      <c r="AB19" s="11"/>
      <c r="AC19" s="11"/>
      <c r="AD19" s="17"/>
      <c r="AE19" s="11"/>
      <c r="AF19" s="17"/>
      <c r="AG19" s="11"/>
      <c r="AH19" s="17"/>
      <c r="AI19" s="11"/>
      <c r="AJ19" s="17"/>
      <c r="AK19" s="110"/>
      <c r="AL19" s="88"/>
      <c r="AM19" s="11"/>
      <c r="AN19" s="88"/>
      <c r="AO19" s="11"/>
      <c r="AP19" s="88"/>
      <c r="AQ19" s="11"/>
      <c r="AR19" s="88"/>
      <c r="AS19" s="11"/>
      <c r="AT19" s="11"/>
      <c r="AU19" s="11"/>
      <c r="AV19" s="11"/>
      <c r="AW19" s="11"/>
      <c r="AX19" s="11"/>
      <c r="AY19" s="11"/>
      <c r="AZ19" s="88"/>
      <c r="BA19" s="11"/>
      <c r="BB19" s="11"/>
      <c r="BC19" s="11"/>
      <c r="BD19" s="11"/>
      <c r="BE19" s="11"/>
      <c r="BF19" s="11"/>
      <c r="BG19" s="11"/>
      <c r="BH19" s="11"/>
    </row>
    <row r="20" spans="1:60" ht="12.75">
      <c r="A20" s="158" t="s">
        <v>512</v>
      </c>
      <c r="B20" s="11"/>
      <c r="C20" s="266">
        <v>0</v>
      </c>
      <c r="D20" s="56"/>
      <c r="E20" s="266">
        <v>0</v>
      </c>
      <c r="F20" s="108"/>
      <c r="G20" s="266">
        <v>0</v>
      </c>
      <c r="H20" s="169"/>
      <c r="I20" s="266">
        <v>0</v>
      </c>
      <c r="J20" s="169"/>
      <c r="K20" s="266">
        <v>0</v>
      </c>
      <c r="L20" s="266"/>
      <c r="M20" s="173">
        <v>0</v>
      </c>
      <c r="N20" s="169"/>
      <c r="O20" s="173">
        <v>26.585999999999999</v>
      </c>
      <c r="P20" s="11"/>
      <c r="Q20" s="173">
        <v>23.966000000000001</v>
      </c>
      <c r="R20" s="11"/>
      <c r="S20" s="173">
        <v>23.614000000000001</v>
      </c>
      <c r="T20" s="11"/>
      <c r="U20" s="173">
        <v>10.135999999999999</v>
      </c>
      <c r="V20" s="11"/>
      <c r="W20" s="173">
        <v>9.9499999999999993</v>
      </c>
      <c r="X20" s="11"/>
      <c r="Y20" s="263">
        <v>9.9499999999999993</v>
      </c>
      <c r="Z20" s="11"/>
      <c r="AA20" s="173">
        <v>9.9499999999999993</v>
      </c>
      <c r="AB20" s="172"/>
      <c r="AC20" s="173">
        <v>11.478999999999999</v>
      </c>
      <c r="AD20" s="17"/>
      <c r="AE20" s="173">
        <v>10.706</v>
      </c>
      <c r="AF20" s="17"/>
      <c r="AG20" s="173">
        <v>11.21</v>
      </c>
      <c r="AH20" s="17"/>
      <c r="AI20" s="173">
        <v>11.472</v>
      </c>
      <c r="AJ20" s="17"/>
      <c r="AK20" s="263">
        <v>11.468999999999999</v>
      </c>
      <c r="AL20" s="172"/>
      <c r="AM20" s="173">
        <v>11.484</v>
      </c>
      <c r="AN20" s="172"/>
      <c r="AO20" s="173">
        <v>13.53</v>
      </c>
      <c r="AP20" s="172"/>
      <c r="AQ20" s="173">
        <v>13.096</v>
      </c>
      <c r="AR20" s="172"/>
      <c r="AS20" s="173">
        <v>17.186</v>
      </c>
      <c r="AT20" s="172"/>
      <c r="AU20" s="173">
        <v>14.887</v>
      </c>
      <c r="AV20" s="172"/>
      <c r="AW20" s="2193">
        <v>15.07</v>
      </c>
      <c r="AX20" s="172">
        <f>+AW20</f>
        <v>15.07</v>
      </c>
      <c r="AY20" s="172">
        <f>+AX20</f>
        <v>15.07</v>
      </c>
      <c r="AZ20" s="172"/>
      <c r="BA20" s="172">
        <f>+AY20</f>
        <v>15.07</v>
      </c>
      <c r="BB20" s="172"/>
      <c r="BC20" s="172">
        <f>+BA20</f>
        <v>15.07</v>
      </c>
      <c r="BD20" s="172"/>
      <c r="BE20" s="172">
        <f>+BC20</f>
        <v>15.07</v>
      </c>
      <c r="BF20" s="172"/>
      <c r="BG20" s="172">
        <f>+BE20</f>
        <v>15.07</v>
      </c>
      <c r="BH20" s="172"/>
    </row>
    <row r="21" spans="1:60" ht="12.75">
      <c r="A21" s="158" t="s">
        <v>97</v>
      </c>
      <c r="B21" s="11"/>
      <c r="C21" s="266">
        <v>0</v>
      </c>
      <c r="D21" s="56"/>
      <c r="E21" s="173">
        <v>3.5680000000000001</v>
      </c>
      <c r="F21" s="108"/>
      <c r="G21" s="173">
        <v>0</v>
      </c>
      <c r="H21" s="169"/>
      <c r="I21" s="173">
        <v>0</v>
      </c>
      <c r="J21" s="169"/>
      <c r="K21" s="173">
        <v>0</v>
      </c>
      <c r="L21" s="169"/>
      <c r="M21" s="173">
        <v>0</v>
      </c>
      <c r="N21" s="169"/>
      <c r="O21" s="173">
        <v>0</v>
      </c>
      <c r="P21" s="11"/>
      <c r="Q21" s="173">
        <v>0</v>
      </c>
      <c r="R21" s="11"/>
      <c r="S21" s="173">
        <v>0</v>
      </c>
      <c r="T21" s="11"/>
      <c r="U21" s="173">
        <v>0</v>
      </c>
      <c r="V21" s="11"/>
      <c r="W21" s="173">
        <v>0</v>
      </c>
      <c r="X21" s="11"/>
      <c r="Y21" s="263">
        <v>0</v>
      </c>
      <c r="Z21" s="11"/>
      <c r="AA21" s="173">
        <v>0</v>
      </c>
      <c r="AB21" s="173"/>
      <c r="AC21" s="173">
        <v>0</v>
      </c>
      <c r="AD21" s="17"/>
      <c r="AE21" s="173">
        <v>0</v>
      </c>
      <c r="AF21" s="17"/>
      <c r="AG21" s="173">
        <v>0</v>
      </c>
      <c r="AH21" s="17"/>
      <c r="AI21" s="173">
        <v>0</v>
      </c>
      <c r="AJ21" s="17"/>
      <c r="AK21" s="263">
        <f>AI21</f>
        <v>0</v>
      </c>
      <c r="AL21" s="172"/>
      <c r="AM21" s="173">
        <f>AK21</f>
        <v>0</v>
      </c>
      <c r="AN21" s="172"/>
      <c r="AO21" s="173">
        <v>0</v>
      </c>
      <c r="AP21" s="172"/>
      <c r="AQ21" s="173">
        <f>AO21</f>
        <v>0</v>
      </c>
      <c r="AR21" s="172"/>
      <c r="AS21" s="173">
        <v>0</v>
      </c>
      <c r="AT21" s="172"/>
      <c r="AU21" s="173">
        <f>AS21</f>
        <v>0</v>
      </c>
      <c r="AV21" s="172"/>
      <c r="AW21" s="2193">
        <f>AU21</f>
        <v>0</v>
      </c>
      <c r="AX21" s="172"/>
      <c r="AY21" s="172">
        <f>AX21</f>
        <v>0</v>
      </c>
      <c r="AZ21" s="172"/>
      <c r="BA21" s="172">
        <f>AY21</f>
        <v>0</v>
      </c>
      <c r="BB21" s="172"/>
      <c r="BC21" s="172">
        <f>BA21</f>
        <v>0</v>
      </c>
      <c r="BD21" s="172"/>
      <c r="BE21" s="172">
        <f>BC21</f>
        <v>0</v>
      </c>
      <c r="BF21" s="172"/>
      <c r="BG21" s="172">
        <f>BE21</f>
        <v>0</v>
      </c>
      <c r="BH21" s="172"/>
    </row>
    <row r="22" spans="1:60" ht="12.75">
      <c r="A22" s="158" t="s">
        <v>588</v>
      </c>
      <c r="B22" s="11"/>
      <c r="C22" s="266"/>
      <c r="D22" s="56"/>
      <c r="E22" s="173"/>
      <c r="F22" s="108"/>
      <c r="G22" s="173"/>
      <c r="H22" s="169"/>
      <c r="I22" s="173"/>
      <c r="J22" s="169"/>
      <c r="K22" s="173"/>
      <c r="L22" s="169"/>
      <c r="M22" s="173">
        <v>0</v>
      </c>
      <c r="N22" s="169"/>
      <c r="O22" s="173">
        <v>0</v>
      </c>
      <c r="P22" s="11"/>
      <c r="Q22" s="173">
        <v>0</v>
      </c>
      <c r="R22" s="11"/>
      <c r="S22" s="173">
        <v>0</v>
      </c>
      <c r="T22" s="11"/>
      <c r="U22" s="173">
        <v>24.356999999999999</v>
      </c>
      <c r="V22" s="11"/>
      <c r="W22" s="173">
        <v>84.415999999999997</v>
      </c>
      <c r="X22" s="11"/>
      <c r="Y22" s="263">
        <v>145.774</v>
      </c>
      <c r="Z22" s="11"/>
      <c r="AA22" s="173">
        <v>251.64400000000001</v>
      </c>
      <c r="AB22" s="172"/>
      <c r="AC22" s="173">
        <v>165.81</v>
      </c>
      <c r="AD22" s="17"/>
      <c r="AE22" s="173">
        <v>251.00700000000001</v>
      </c>
      <c r="AF22" s="17"/>
      <c r="AG22" s="173">
        <v>197.773</v>
      </c>
      <c r="AH22" s="17"/>
      <c r="AI22" s="173">
        <v>5.915</v>
      </c>
      <c r="AJ22" s="17"/>
      <c r="AK22" s="263">
        <v>0</v>
      </c>
      <c r="AL22" s="172"/>
      <c r="AM22" s="173">
        <f>+AK22</f>
        <v>0</v>
      </c>
      <c r="AN22" s="172"/>
      <c r="AO22" s="173">
        <v>0</v>
      </c>
      <c r="AP22" s="172"/>
      <c r="AQ22" s="173">
        <f>+AO22</f>
        <v>0</v>
      </c>
      <c r="AR22" s="172"/>
      <c r="AS22" s="173">
        <v>0</v>
      </c>
      <c r="AT22" s="172"/>
      <c r="AU22" s="173">
        <f>+AS22</f>
        <v>0</v>
      </c>
      <c r="AV22" s="172"/>
      <c r="AW22" s="2193">
        <f>+AU22</f>
        <v>0</v>
      </c>
      <c r="AX22" s="172">
        <f>+AW22</f>
        <v>0</v>
      </c>
      <c r="AY22" s="172">
        <f>+AX22</f>
        <v>0</v>
      </c>
      <c r="AZ22" s="172"/>
      <c r="BA22" s="172">
        <f>+AY22</f>
        <v>0</v>
      </c>
      <c r="BB22" s="172"/>
      <c r="BC22" s="172">
        <f>+BA22</f>
        <v>0</v>
      </c>
      <c r="BD22" s="172"/>
      <c r="BE22" s="172">
        <f>+BC22</f>
        <v>0</v>
      </c>
      <c r="BF22" s="172"/>
      <c r="BG22" s="172">
        <f>+BE22</f>
        <v>0</v>
      </c>
      <c r="BH22" s="172"/>
    </row>
    <row r="23" spans="1:60" ht="12.75">
      <c r="A23" s="158" t="s">
        <v>392</v>
      </c>
      <c r="B23" s="11"/>
      <c r="C23" s="266"/>
      <c r="D23" s="56"/>
      <c r="E23" s="173"/>
      <c r="F23" s="108"/>
      <c r="G23" s="173"/>
      <c r="H23" s="169"/>
      <c r="I23" s="173"/>
      <c r="J23" s="169"/>
      <c r="K23" s="173"/>
      <c r="L23" s="169"/>
      <c r="M23" s="173">
        <v>4.0289999999999999</v>
      </c>
      <c r="N23" s="169"/>
      <c r="O23" s="173">
        <v>10.129</v>
      </c>
      <c r="P23" s="11"/>
      <c r="Q23" s="173">
        <v>8.5332000000000008</v>
      </c>
      <c r="R23" s="11"/>
      <c r="S23" s="173">
        <v>16.428000000000001</v>
      </c>
      <c r="T23" s="11"/>
      <c r="U23" s="173">
        <v>20.884</v>
      </c>
      <c r="V23" s="11"/>
      <c r="W23" s="173">
        <v>12.930999999999999</v>
      </c>
      <c r="X23" s="11"/>
      <c r="Y23" s="263">
        <v>0</v>
      </c>
      <c r="Z23" s="11"/>
      <c r="AA23" s="173">
        <v>0</v>
      </c>
      <c r="AB23" s="172"/>
      <c r="AC23" s="173">
        <v>24.238</v>
      </c>
      <c r="AD23" s="17"/>
      <c r="AE23" s="173">
        <v>15.000999999999999</v>
      </c>
      <c r="AF23" s="17"/>
      <c r="AG23" s="173">
        <v>27.305</v>
      </c>
      <c r="AH23" s="17"/>
      <c r="AI23" s="173">
        <v>19.616</v>
      </c>
      <c r="AJ23" s="17"/>
      <c r="AK23" s="263">
        <v>13.467000000000001</v>
      </c>
      <c r="AL23" s="173"/>
      <c r="AM23" s="173">
        <v>31.282</v>
      </c>
      <c r="AN23" s="172"/>
      <c r="AO23" s="173">
        <v>24.835000000000001</v>
      </c>
      <c r="AP23" s="172"/>
      <c r="AQ23" s="173">
        <v>14.035</v>
      </c>
      <c r="AR23" s="172"/>
      <c r="AS23" s="173">
        <v>64.927000000000007</v>
      </c>
      <c r="AT23" s="172"/>
      <c r="AU23" s="173">
        <v>49.25</v>
      </c>
      <c r="AV23" s="172"/>
      <c r="AW23" s="2193">
        <v>9.3439999999999994</v>
      </c>
      <c r="AX23" s="172">
        <f>AW23</f>
        <v>9.3439999999999994</v>
      </c>
      <c r="AY23" s="172">
        <f>AX23</f>
        <v>9.3439999999999994</v>
      </c>
      <c r="AZ23" s="172"/>
      <c r="BA23" s="172">
        <f>AY23</f>
        <v>9.3439999999999994</v>
      </c>
      <c r="BB23" s="172"/>
      <c r="BC23" s="172">
        <f>BA23</f>
        <v>9.3439999999999994</v>
      </c>
      <c r="BD23" s="172"/>
      <c r="BE23" s="172">
        <f>BC23</f>
        <v>9.3439999999999994</v>
      </c>
      <c r="BF23" s="172"/>
      <c r="BG23" s="172">
        <f>BE23</f>
        <v>9.3439999999999994</v>
      </c>
      <c r="BH23" s="172"/>
    </row>
    <row r="24" spans="1:60" ht="12.75">
      <c r="A24" s="158" t="s">
        <v>98</v>
      </c>
      <c r="B24" s="11"/>
      <c r="C24" s="266">
        <v>1.7709999999999999</v>
      </c>
      <c r="D24" s="56"/>
      <c r="E24" s="173">
        <v>1.724</v>
      </c>
      <c r="F24" s="108"/>
      <c r="G24" s="173">
        <v>2.4870000000000001</v>
      </c>
      <c r="H24" s="169"/>
      <c r="I24" s="173">
        <v>3.7749999999999999</v>
      </c>
      <c r="J24" s="169"/>
      <c r="K24" s="173">
        <v>3.0739999999999998</v>
      </c>
      <c r="L24" s="169"/>
      <c r="M24" s="173">
        <f>3.111</f>
        <v>3.1110000000000002</v>
      </c>
      <c r="N24" s="169"/>
      <c r="O24" s="173">
        <f>14.426-O23</f>
        <v>4.2970000000000006</v>
      </c>
      <c r="P24" s="11"/>
      <c r="Q24" s="173">
        <f>12.994-Q23</f>
        <v>4.460799999999999</v>
      </c>
      <c r="R24" s="11"/>
      <c r="S24" s="173">
        <f>23.52-S23</f>
        <v>7.0919999999999987</v>
      </c>
      <c r="T24" s="11"/>
      <c r="U24" s="173">
        <f>26.266-U23</f>
        <v>5.3819999999999979</v>
      </c>
      <c r="V24" s="11"/>
      <c r="W24" s="173">
        <f>29.362-W23</f>
        <v>16.430999999999997</v>
      </c>
      <c r="X24" s="11"/>
      <c r="Y24" s="263">
        <v>27.626000000000001</v>
      </c>
      <c r="Z24" s="11"/>
      <c r="AA24" s="173">
        <v>45.991</v>
      </c>
      <c r="AB24" s="173"/>
      <c r="AC24" s="173">
        <v>19.751000000000001</v>
      </c>
      <c r="AD24" s="17"/>
      <c r="AE24" s="173">
        <v>21.363</v>
      </c>
      <c r="AF24" s="17"/>
      <c r="AG24" s="173">
        <v>21.687999999999999</v>
      </c>
      <c r="AH24" s="17"/>
      <c r="AI24" s="173">
        <v>25.465</v>
      </c>
      <c r="AJ24" s="17"/>
      <c r="AK24" s="263">
        <f>39.832+16.384</f>
        <v>56.216000000000001</v>
      </c>
      <c r="AL24" s="172"/>
      <c r="AM24" s="173">
        <f>38.136+23.718</f>
        <v>61.853999999999999</v>
      </c>
      <c r="AN24" s="172"/>
      <c r="AO24" s="173">
        <f>49.271+45.551</f>
        <v>94.822000000000003</v>
      </c>
      <c r="AP24" s="172"/>
      <c r="AQ24" s="173">
        <f>47.206+37.202</f>
        <v>84.408000000000001</v>
      </c>
      <c r="AR24" s="172"/>
      <c r="AS24" s="173">
        <f>51.832+51.34</f>
        <v>103.172</v>
      </c>
      <c r="AT24" s="172"/>
      <c r="AU24" s="173">
        <f>49.373+60.124</f>
        <v>109.497</v>
      </c>
      <c r="AV24" s="172"/>
      <c r="AW24" s="2193">
        <f>46.666+52.464</f>
        <v>99.13</v>
      </c>
      <c r="AX24" s="172">
        <f>AW24</f>
        <v>99.13</v>
      </c>
      <c r="AY24" s="172">
        <f>AX24</f>
        <v>99.13</v>
      </c>
      <c r="AZ24" s="172"/>
      <c r="BA24" s="172">
        <f>AY24</f>
        <v>99.13</v>
      </c>
      <c r="BB24" s="172"/>
      <c r="BC24" s="172">
        <f>BA24</f>
        <v>99.13</v>
      </c>
      <c r="BD24" s="172"/>
      <c r="BE24" s="172">
        <f>BC24</f>
        <v>99.13</v>
      </c>
      <c r="BF24" s="172"/>
      <c r="BG24" s="172">
        <f>BE24</f>
        <v>99.13</v>
      </c>
      <c r="BH24" s="172"/>
    </row>
    <row r="25" spans="1:60" ht="6" customHeight="1">
      <c r="A25" s="158" t="s">
        <v>99</v>
      </c>
      <c r="B25" s="11"/>
      <c r="C25" s="174"/>
      <c r="D25" s="11"/>
      <c r="E25" s="175"/>
      <c r="F25" s="88"/>
      <c r="G25" s="175"/>
      <c r="H25" s="170"/>
      <c r="I25" s="175"/>
      <c r="J25" s="170"/>
      <c r="K25" s="175"/>
      <c r="L25" s="170"/>
      <c r="M25" s="169"/>
      <c r="N25" s="169"/>
      <c r="O25" s="11"/>
      <c r="P25" s="11"/>
      <c r="Q25" s="11"/>
      <c r="R25" s="11"/>
      <c r="S25" s="11"/>
      <c r="T25" s="11"/>
      <c r="U25" s="11"/>
      <c r="V25" s="11"/>
      <c r="W25" s="11"/>
      <c r="X25" s="11"/>
      <c r="Y25" s="110"/>
      <c r="Z25" s="11"/>
      <c r="AA25" s="11"/>
      <c r="AB25" s="11"/>
      <c r="AC25" s="11"/>
      <c r="AD25" s="17"/>
      <c r="AE25" s="11"/>
      <c r="AF25" s="17"/>
      <c r="AG25" s="11"/>
      <c r="AH25" s="17"/>
      <c r="AI25" s="11"/>
      <c r="AJ25" s="17"/>
      <c r="AK25" s="110"/>
      <c r="AL25" s="88"/>
      <c r="AM25" s="11"/>
      <c r="AN25" s="88"/>
      <c r="AO25" s="11"/>
      <c r="AP25" s="88"/>
      <c r="AQ25" s="11"/>
      <c r="AR25" s="88"/>
      <c r="AS25" s="11"/>
      <c r="AT25" s="11"/>
      <c r="AU25" s="11"/>
      <c r="AV25" s="11"/>
      <c r="AW25" s="11"/>
      <c r="AX25" s="88"/>
      <c r="AY25" s="11"/>
      <c r="AZ25" s="88"/>
      <c r="BA25" s="11"/>
      <c r="BB25" s="11"/>
      <c r="BC25" s="11"/>
      <c r="BD25" s="11"/>
      <c r="BE25" s="11"/>
      <c r="BF25" s="11"/>
      <c r="BG25" s="11"/>
      <c r="BH25" s="11"/>
    </row>
    <row r="26" spans="1:60" ht="12.75">
      <c r="A26" s="158" t="s">
        <v>732</v>
      </c>
      <c r="B26" s="11"/>
      <c r="C26" s="262">
        <f>C14+C18+C20+C21+C24</f>
        <v>104.09399999999998</v>
      </c>
      <c r="D26" s="11"/>
      <c r="E26" s="262">
        <f>E14+E18+E20+E21+E24</f>
        <v>95.363</v>
      </c>
      <c r="F26" s="88"/>
      <c r="G26" s="262">
        <f>G14+G18+G20+G21+G24</f>
        <v>110.43799999999999</v>
      </c>
      <c r="H26" s="11"/>
      <c r="I26" s="262">
        <f>I14+I18+I20+I21+I24</f>
        <v>144.79500000000002</v>
      </c>
      <c r="J26" s="11"/>
      <c r="K26" s="262">
        <f>K14+K18+K20+K21+K24</f>
        <v>210.94800000000004</v>
      </c>
      <c r="L26" s="11"/>
      <c r="M26" s="262">
        <f>M14+M18+M20+M21+M22+M23+M24</f>
        <v>354.62799999999999</v>
      </c>
      <c r="N26" s="11"/>
      <c r="O26" s="262">
        <f>O14+O18+O20+O21+O22+O23+O24</f>
        <v>543.04599999999994</v>
      </c>
      <c r="P26" s="176"/>
      <c r="Q26" s="262">
        <f>Q14+Q18+Q20+Q21+Q22+Q23+Q24</f>
        <v>672.721</v>
      </c>
      <c r="R26" s="176"/>
      <c r="S26" s="262">
        <f>S14+S18+S20+S21+S22+S23+S24</f>
        <v>741.33900000000017</v>
      </c>
      <c r="T26" s="176"/>
      <c r="U26" s="262">
        <f>U14+U18+U20+U21+U22+U23+U24</f>
        <v>932.41399999999987</v>
      </c>
      <c r="V26" s="176"/>
      <c r="W26" s="262">
        <f>W14+W18+W20+W21+W22+W23+W24</f>
        <v>1328.9260000000004</v>
      </c>
      <c r="X26" s="176"/>
      <c r="Y26" s="579">
        <f>Y14+Y18+Y20+Y21+Y22+Y23+Y24</f>
        <v>1605.6490000000001</v>
      </c>
      <c r="Z26" s="176"/>
      <c r="AA26" s="262">
        <f>AA14+AA18+AA20+AA21+AA22+AA23+AA24</f>
        <v>1987.4839999999999</v>
      </c>
      <c r="AB26" s="374"/>
      <c r="AC26" s="262">
        <f>AC14+AC18+AC20+AC21+AC22+AC23+AC24</f>
        <v>1867.6799999999996</v>
      </c>
      <c r="AD26" s="17"/>
      <c r="AE26" s="262">
        <f>AE14+AE18+AE20+AE21+AE22+AE23+AE24</f>
        <v>1963.6759999999997</v>
      </c>
      <c r="AF26" s="17"/>
      <c r="AG26" s="262">
        <f>AG14+AG18+AG20+AG21+AG22+AG23+AG24</f>
        <v>2138.1479999999997</v>
      </c>
      <c r="AH26" s="17"/>
      <c r="AI26" s="262">
        <f>AI14+AI18+AI20+AI21+AI22+AI23+AI24</f>
        <v>1879.9979999999996</v>
      </c>
      <c r="AJ26" s="17"/>
      <c r="AK26" s="579">
        <f>AK14+AK18+AK20+AK21+AK22+AK23+AK24</f>
        <v>1950.8019999999999</v>
      </c>
      <c r="AL26" s="374"/>
      <c r="AM26" s="262">
        <f>AM14+AM18+AM20+AM21+AM22+AM23+AM24</f>
        <v>1756.0529999999997</v>
      </c>
      <c r="AN26" s="374"/>
      <c r="AO26" s="262">
        <f>AO14+AO18+AO20+AO21+AO22+AO23+AO24</f>
        <v>1694.1253999999994</v>
      </c>
      <c r="AP26" s="374"/>
      <c r="AQ26" s="262">
        <f>AQ14+AQ18+AQ20+AQ21+AQ22+AQ23+AQ24</f>
        <v>1696.8503999999996</v>
      </c>
      <c r="AR26" s="374"/>
      <c r="AS26" s="262">
        <f>AS14+AS18+AS20+AS21+AS22+AS23+AS24</f>
        <v>1612.1883999999995</v>
      </c>
      <c r="AT26" s="374"/>
      <c r="AU26" s="262">
        <f>AU14+AU18+AU20+AU21+AU22+AU23+AU24</f>
        <v>1782.6023999999998</v>
      </c>
      <c r="AV26" s="262"/>
      <c r="AW26" s="262">
        <f>AW14+AW18+AW20+AW21+AW22+AW23+AW24</f>
        <v>1816.3129999999992</v>
      </c>
      <c r="AX26" s="374">
        <f>AX14+AX18+AX20+AX21+AX22+AX23+AX24</f>
        <v>926.18300000000011</v>
      </c>
      <c r="AY26" s="262">
        <f>AY14+AY18+AY20+AY21+AY22+AY23+AY24</f>
        <v>1994.6197865944564</v>
      </c>
      <c r="AZ26" s="374"/>
      <c r="BA26" s="262">
        <f>BA14+BA18+BA20+BA21+BA22+BA23+BA24</f>
        <v>2157.2938665831657</v>
      </c>
      <c r="BB26" s="262"/>
      <c r="BC26" s="262">
        <f>BC14+BC18+BC20+BC21+BC22+BC23+BC24</f>
        <v>2310.551656312407</v>
      </c>
      <c r="BD26" s="262"/>
      <c r="BE26" s="262">
        <f>BE14+BE18+BE20+BE21+BE22+BE23+BE24</f>
        <v>2436.2605599419107</v>
      </c>
      <c r="BF26" s="262"/>
      <c r="BG26" s="262">
        <f>BG14+BG18+BG20+BG21+BG22+BG23+BG24</f>
        <v>2547.3384317954497</v>
      </c>
      <c r="BH26" s="374"/>
    </row>
    <row r="27" spans="1:60" ht="6" customHeight="1">
      <c r="A27" s="11"/>
      <c r="B27" s="11"/>
      <c r="C27" s="160"/>
      <c r="D27" s="11"/>
      <c r="E27" s="161"/>
      <c r="F27" s="88"/>
      <c r="G27" s="161"/>
      <c r="H27" s="11"/>
      <c r="I27" s="161"/>
      <c r="J27" s="11"/>
      <c r="K27" s="161"/>
      <c r="L27" s="11"/>
      <c r="M27" s="169"/>
      <c r="N27" s="11"/>
      <c r="O27" s="168"/>
      <c r="P27" s="11"/>
      <c r="Q27" s="168"/>
      <c r="R27" s="11"/>
      <c r="S27" s="168"/>
      <c r="T27" s="11"/>
      <c r="U27" s="168"/>
      <c r="V27" s="11"/>
      <c r="W27" s="168"/>
      <c r="X27" s="11"/>
      <c r="Y27" s="580"/>
      <c r="Z27" s="11"/>
      <c r="AA27" s="168"/>
      <c r="AB27" s="168"/>
      <c r="AC27" s="168"/>
      <c r="AD27" s="17"/>
      <c r="AE27" s="168"/>
      <c r="AF27" s="17"/>
      <c r="AG27" s="168"/>
      <c r="AH27" s="17"/>
      <c r="AI27" s="168"/>
      <c r="AJ27" s="17"/>
      <c r="AK27" s="580"/>
      <c r="AL27" s="376"/>
      <c r="AM27" s="168"/>
      <c r="AN27" s="376"/>
      <c r="AO27" s="168"/>
      <c r="AP27" s="376"/>
      <c r="AQ27" s="168"/>
      <c r="AR27" s="376"/>
      <c r="AS27" s="168"/>
      <c r="AT27" s="168"/>
      <c r="AU27" s="168"/>
      <c r="AV27" s="168"/>
      <c r="AW27" s="168"/>
      <c r="AX27" s="376"/>
      <c r="AY27" s="168"/>
      <c r="AZ27" s="376"/>
      <c r="BA27" s="168"/>
      <c r="BB27" s="168"/>
      <c r="BC27" s="168"/>
      <c r="BD27" s="168"/>
      <c r="BE27" s="168"/>
      <c r="BF27" s="168"/>
      <c r="BG27" s="168"/>
      <c r="BH27" s="168"/>
    </row>
    <row r="28" spans="1:60" ht="12.75">
      <c r="A28" s="155" t="s">
        <v>105</v>
      </c>
      <c r="B28" s="45"/>
      <c r="C28" s="177"/>
      <c r="D28" s="45"/>
      <c r="E28" s="178"/>
      <c r="F28" s="179"/>
      <c r="G28" s="178"/>
      <c r="H28" s="45"/>
      <c r="I28" s="178"/>
      <c r="J28" s="45"/>
      <c r="K28" s="178"/>
      <c r="L28" s="45"/>
      <c r="M28" s="180"/>
      <c r="N28" s="45"/>
      <c r="O28" s="45"/>
      <c r="P28" s="45"/>
      <c r="Q28" s="45"/>
      <c r="R28" s="45"/>
      <c r="S28" s="45"/>
      <c r="T28" s="45"/>
      <c r="U28" s="45"/>
      <c r="V28" s="45"/>
      <c r="W28" s="45"/>
      <c r="X28" s="45"/>
      <c r="Y28" s="581"/>
      <c r="Z28" s="45"/>
      <c r="AA28" s="45"/>
      <c r="AB28" s="45"/>
      <c r="AC28" s="45"/>
      <c r="AD28" s="19"/>
      <c r="AE28" s="45"/>
      <c r="AF28" s="19"/>
      <c r="AG28" s="45"/>
      <c r="AH28" s="19"/>
      <c r="AI28" s="45"/>
      <c r="AJ28" s="19"/>
      <c r="AK28" s="581"/>
      <c r="AL28" s="179"/>
      <c r="AM28" s="45"/>
      <c r="AN28" s="179"/>
      <c r="AO28" s="45"/>
      <c r="AP28" s="179"/>
      <c r="AQ28" s="45"/>
      <c r="AR28" s="179"/>
      <c r="AS28" s="45"/>
      <c r="AT28" s="45"/>
      <c r="AU28" s="45"/>
      <c r="AV28" s="45"/>
      <c r="AW28" s="45"/>
      <c r="AX28" s="45"/>
      <c r="AY28" s="45"/>
      <c r="AZ28" s="179"/>
      <c r="BA28" s="45"/>
      <c r="BB28" s="45"/>
      <c r="BC28" s="45"/>
      <c r="BD28" s="45"/>
      <c r="BE28" s="45"/>
      <c r="BF28" s="45"/>
      <c r="BG28" s="45"/>
      <c r="BH28" s="45"/>
    </row>
    <row r="29" spans="1:60" ht="12.75">
      <c r="A29" s="158" t="s">
        <v>513</v>
      </c>
      <c r="B29" s="11"/>
      <c r="C29" s="266">
        <v>25.698</v>
      </c>
      <c r="D29" s="56"/>
      <c r="E29" s="173">
        <v>16.166</v>
      </c>
      <c r="F29" s="108"/>
      <c r="G29" s="173">
        <v>20.43</v>
      </c>
      <c r="H29" s="169"/>
      <c r="I29" s="173">
        <v>24.606000000000002</v>
      </c>
      <c r="J29" s="169"/>
      <c r="K29" s="173">
        <v>18.550999999999998</v>
      </c>
      <c r="L29" s="169"/>
      <c r="M29" s="173">
        <v>30.7</v>
      </c>
      <c r="N29" s="164"/>
      <c r="O29" s="173">
        <v>42.037999999999997</v>
      </c>
      <c r="P29" s="11"/>
      <c r="Q29" s="172">
        <v>39.067</v>
      </c>
      <c r="R29" s="11"/>
      <c r="S29" s="173">
        <v>50.607999999999997</v>
      </c>
      <c r="T29" s="11"/>
      <c r="U29" s="173">
        <v>71.33</v>
      </c>
      <c r="V29" s="11"/>
      <c r="W29" s="173">
        <v>108.929</v>
      </c>
      <c r="X29" s="11"/>
      <c r="Y29" s="263">
        <v>139.197</v>
      </c>
      <c r="Z29" s="11"/>
      <c r="AA29" s="173">
        <v>171.15</v>
      </c>
      <c r="AB29" s="172"/>
      <c r="AC29" s="173">
        <v>157.928</v>
      </c>
      <c r="AD29" s="17"/>
      <c r="AE29" s="173">
        <v>152.06800000000001</v>
      </c>
      <c r="AF29" s="17"/>
      <c r="AG29" s="173">
        <v>158.52600000000001</v>
      </c>
      <c r="AH29" s="17"/>
      <c r="AI29" s="173">
        <v>167.72300000000001</v>
      </c>
      <c r="AJ29" s="17"/>
      <c r="AK29" s="263">
        <v>183.78299999999999</v>
      </c>
      <c r="AL29" s="172"/>
      <c r="AM29" s="173">
        <v>176.874</v>
      </c>
      <c r="AN29" s="172"/>
      <c r="AO29" s="173">
        <v>203.87200000000001</v>
      </c>
      <c r="AP29" s="172"/>
      <c r="AQ29" s="173">
        <v>191.14599999999999</v>
      </c>
      <c r="AR29" s="172"/>
      <c r="AS29" s="173">
        <v>182.78899999999999</v>
      </c>
      <c r="AT29" s="172"/>
      <c r="AU29" s="173">
        <v>246.20400000000001</v>
      </c>
      <c r="AV29" s="172"/>
      <c r="AW29" s="2193">
        <v>236.703</v>
      </c>
      <c r="AX29" s="172">
        <f>+AX10*AX86</f>
        <v>0</v>
      </c>
      <c r="AY29" s="172">
        <f>+AY10*AY86</f>
        <v>251.49404655158372</v>
      </c>
      <c r="AZ29" s="172"/>
      <c r="BA29" s="172">
        <f>+BA10*BA86</f>
        <v>267.49819028182895</v>
      </c>
      <c r="BB29" s="172"/>
      <c r="BC29" s="172">
        <f>+BC10*BC86</f>
        <v>283.52723893072647</v>
      </c>
      <c r="BD29" s="172"/>
      <c r="BE29" s="172">
        <f>+BE10*BE86</f>
        <v>283.54440190468188</v>
      </c>
      <c r="BF29" s="172"/>
      <c r="BG29" s="172">
        <f>+BG10*BG86</f>
        <v>283.5108505263114</v>
      </c>
      <c r="BH29" s="172"/>
    </row>
    <row r="30" spans="1:60" ht="12.75">
      <c r="A30" s="158" t="s">
        <v>514</v>
      </c>
      <c r="B30" s="11"/>
      <c r="C30" s="173">
        <v>0</v>
      </c>
      <c r="D30" s="11"/>
      <c r="E30" s="173">
        <v>0</v>
      </c>
      <c r="F30" s="88"/>
      <c r="G30" s="173">
        <v>0</v>
      </c>
      <c r="H30" s="170"/>
      <c r="I30" s="173">
        <v>0</v>
      </c>
      <c r="J30" s="170"/>
      <c r="K30" s="173">
        <v>0</v>
      </c>
      <c r="L30" s="170"/>
      <c r="M30" s="173">
        <v>0</v>
      </c>
      <c r="N30" s="163"/>
      <c r="O30" s="173">
        <v>4.3</v>
      </c>
      <c r="P30" s="11"/>
      <c r="Q30" s="173">
        <v>4.0439999999999996</v>
      </c>
      <c r="R30" s="11"/>
      <c r="S30" s="173">
        <v>4.2249999999999996</v>
      </c>
      <c r="T30" s="11"/>
      <c r="U30" s="173">
        <v>4.8319999999999999</v>
      </c>
      <c r="V30" s="11"/>
      <c r="W30" s="173">
        <v>0</v>
      </c>
      <c r="X30" s="11"/>
      <c r="Y30" s="263">
        <f>+W30</f>
        <v>0</v>
      </c>
      <c r="Z30" s="11"/>
      <c r="AA30" s="173">
        <f>+Y30</f>
        <v>0</v>
      </c>
      <c r="AB30" s="173"/>
      <c r="AC30" s="173">
        <f>AA30</f>
        <v>0</v>
      </c>
      <c r="AD30" s="17"/>
      <c r="AE30" s="173">
        <v>75</v>
      </c>
      <c r="AF30" s="17"/>
      <c r="AG30" s="173">
        <v>30</v>
      </c>
      <c r="AH30" s="17"/>
      <c r="AI30" s="173">
        <v>0</v>
      </c>
      <c r="AJ30" s="17"/>
      <c r="AK30" s="263">
        <f>AI30</f>
        <v>0</v>
      </c>
      <c r="AL30" s="172"/>
      <c r="AM30" s="173">
        <f>AK30</f>
        <v>0</v>
      </c>
      <c r="AN30" s="172"/>
      <c r="AO30" s="173">
        <v>0</v>
      </c>
      <c r="AP30" s="172"/>
      <c r="AQ30" s="173">
        <v>0</v>
      </c>
      <c r="AR30" s="172"/>
      <c r="AS30" s="173">
        <v>0</v>
      </c>
      <c r="AT30" s="172"/>
      <c r="AU30" s="173">
        <v>0</v>
      </c>
      <c r="AV30" s="172"/>
      <c r="AW30" s="2193">
        <f>AU30</f>
        <v>0</v>
      </c>
      <c r="AX30" s="172">
        <f>AW30</f>
        <v>0</v>
      </c>
      <c r="AY30" s="172">
        <f>AX30</f>
        <v>0</v>
      </c>
      <c r="AZ30" s="172"/>
      <c r="BA30" s="172">
        <f>AY30</f>
        <v>0</v>
      </c>
      <c r="BB30" s="172"/>
      <c r="BC30" s="172">
        <f>BA30</f>
        <v>0</v>
      </c>
      <c r="BD30" s="172"/>
      <c r="BE30" s="172">
        <f>BC30</f>
        <v>0</v>
      </c>
      <c r="BF30" s="172"/>
      <c r="BG30" s="172">
        <f>BE30</f>
        <v>0</v>
      </c>
      <c r="BH30" s="172"/>
    </row>
    <row r="31" spans="1:60" ht="12.75">
      <c r="A31" s="158" t="s">
        <v>101</v>
      </c>
      <c r="B31" s="11"/>
      <c r="C31" s="266">
        <v>2.206</v>
      </c>
      <c r="D31" s="56"/>
      <c r="E31" s="173">
        <v>4.2549999999999999</v>
      </c>
      <c r="F31" s="108"/>
      <c r="G31" s="173">
        <v>4.9260000000000002</v>
      </c>
      <c r="H31" s="169"/>
      <c r="I31" s="173">
        <v>9.2270000000000003</v>
      </c>
      <c r="J31" s="169"/>
      <c r="K31" s="173">
        <v>17.739000000000001</v>
      </c>
      <c r="L31" s="169"/>
      <c r="M31" s="173">
        <v>21.306999999999999</v>
      </c>
      <c r="N31" s="163"/>
      <c r="O31" s="173">
        <v>25.548999999999999</v>
      </c>
      <c r="P31" s="11"/>
      <c r="Q31" s="172">
        <v>27.545000000000002</v>
      </c>
      <c r="R31" s="11"/>
      <c r="S31" s="173">
        <v>13.000999999999999</v>
      </c>
      <c r="T31" s="11"/>
      <c r="U31" s="173">
        <v>14.409000000000001</v>
      </c>
      <c r="V31" s="11"/>
      <c r="W31" s="173">
        <v>36.008000000000003</v>
      </c>
      <c r="X31" s="11"/>
      <c r="Y31" s="263">
        <v>48.05</v>
      </c>
      <c r="Z31" s="11"/>
      <c r="AA31" s="173">
        <v>58.371000000000002</v>
      </c>
      <c r="AB31" s="172"/>
      <c r="AC31" s="263">
        <v>49.494</v>
      </c>
      <c r="AD31" s="341"/>
      <c r="AE31" s="263">
        <v>29.417000000000002</v>
      </c>
      <c r="AF31" s="17"/>
      <c r="AG31" s="263">
        <v>55.143999999999998</v>
      </c>
      <c r="AH31" s="17"/>
      <c r="AI31" s="263">
        <v>34.954000000000001</v>
      </c>
      <c r="AJ31" s="17"/>
      <c r="AK31" s="263">
        <v>42.625</v>
      </c>
      <c r="AL31" s="172"/>
      <c r="AM31" s="173">
        <v>65.533000000000001</v>
      </c>
      <c r="AN31" s="172"/>
      <c r="AO31" s="173">
        <v>23.56</v>
      </c>
      <c r="AP31" s="172"/>
      <c r="AQ31" s="173">
        <v>44.884</v>
      </c>
      <c r="AR31" s="172"/>
      <c r="AS31" s="173">
        <v>79.302000000000007</v>
      </c>
      <c r="AT31" s="172"/>
      <c r="AU31" s="173">
        <v>54.183999999999997</v>
      </c>
      <c r="AV31" s="172"/>
      <c r="AW31" s="2193">
        <v>54.323999999999998</v>
      </c>
      <c r="AX31" s="172">
        <f>+AX81*AX87</f>
        <v>0</v>
      </c>
      <c r="AY31" s="172">
        <f>+AY81*AY87</f>
        <v>55.3118265590318</v>
      </c>
      <c r="AZ31" s="172"/>
      <c r="BA31" s="172">
        <f>+BA81*BA87</f>
        <v>56.402724788749879</v>
      </c>
      <c r="BB31" s="172"/>
      <c r="BC31" s="172">
        <f>+BC81*BC87</f>
        <v>57.635207443097677</v>
      </c>
      <c r="BD31" s="172"/>
      <c r="BE31" s="172">
        <f>+BE81*BE87</f>
        <v>58.031464267414592</v>
      </c>
      <c r="BF31" s="172"/>
      <c r="BG31" s="172">
        <f>+BG81*BG87</f>
        <v>59.399122644502413</v>
      </c>
      <c r="BH31" s="172"/>
    </row>
    <row r="32" spans="1:60" ht="12.75">
      <c r="A32" s="158" t="s">
        <v>102</v>
      </c>
      <c r="B32" s="11"/>
      <c r="C32" s="266">
        <v>3.4039999999999999</v>
      </c>
      <c r="D32" s="56"/>
      <c r="E32" s="173">
        <v>4.55</v>
      </c>
      <c r="F32" s="108"/>
      <c r="G32" s="173">
        <v>6.0060000000000002</v>
      </c>
      <c r="H32" s="169"/>
      <c r="I32" s="173">
        <v>7.9089999999999998</v>
      </c>
      <c r="J32" s="169"/>
      <c r="K32" s="173">
        <v>13.042</v>
      </c>
      <c r="L32" s="169"/>
      <c r="M32" s="173">
        <v>17.754999999999999</v>
      </c>
      <c r="N32" s="11"/>
      <c r="O32" s="263">
        <v>22.577000000000002</v>
      </c>
      <c r="P32" s="89"/>
      <c r="Q32" s="271">
        <v>29.779</v>
      </c>
      <c r="R32" s="89"/>
      <c r="S32" s="263">
        <v>28.475999999999999</v>
      </c>
      <c r="T32" s="89"/>
      <c r="U32" s="263">
        <v>40.667999999999999</v>
      </c>
      <c r="V32" s="89"/>
      <c r="W32" s="263">
        <v>45.088999999999999</v>
      </c>
      <c r="X32" s="89"/>
      <c r="Y32" s="263">
        <v>52.506</v>
      </c>
      <c r="Z32" s="89"/>
      <c r="AA32" s="263">
        <v>57.542999999999999</v>
      </c>
      <c r="AB32" s="263"/>
      <c r="AC32" s="263">
        <v>62.161000000000001</v>
      </c>
      <c r="AD32" s="649"/>
      <c r="AE32" s="263">
        <v>64.694999999999993</v>
      </c>
      <c r="AF32" s="281"/>
      <c r="AG32" s="263">
        <v>68.866</v>
      </c>
      <c r="AH32" s="281"/>
      <c r="AI32" s="263">
        <v>70.39</v>
      </c>
      <c r="AJ32" s="281"/>
      <c r="AK32" s="263">
        <v>76.921000000000006</v>
      </c>
      <c r="AL32" s="623"/>
      <c r="AM32" s="263">
        <v>77.873000000000005</v>
      </c>
      <c r="AN32" s="623"/>
      <c r="AO32" s="263">
        <v>76.397000000000006</v>
      </c>
      <c r="AP32" s="623"/>
      <c r="AQ32" s="263">
        <v>78.566999999999993</v>
      </c>
      <c r="AR32" s="623"/>
      <c r="AS32" s="263">
        <v>77.481999999999999</v>
      </c>
      <c r="AT32" s="623"/>
      <c r="AU32" s="263">
        <v>78.619</v>
      </c>
      <c r="AV32" s="623"/>
      <c r="AW32" s="2192">
        <v>83.311999999999998</v>
      </c>
      <c r="AX32" s="623">
        <f>+AW32+2</f>
        <v>85.311999999999998</v>
      </c>
      <c r="AY32" s="623">
        <f>+AX32+2</f>
        <v>87.311999999999998</v>
      </c>
      <c r="AZ32" s="623"/>
      <c r="BA32" s="623">
        <f>+AY32+2</f>
        <v>89.311999999999998</v>
      </c>
      <c r="BB32" s="623"/>
      <c r="BC32" s="623">
        <f>+BA32+2</f>
        <v>91.311999999999998</v>
      </c>
      <c r="BD32" s="623"/>
      <c r="BE32" s="623">
        <f>+BC32+2</f>
        <v>93.311999999999998</v>
      </c>
      <c r="BF32" s="623"/>
      <c r="BG32" s="623">
        <f>+BE32+2</f>
        <v>95.311999999999998</v>
      </c>
      <c r="BH32" s="623"/>
    </row>
    <row r="33" spans="1:60" ht="12.75">
      <c r="A33" s="158" t="s">
        <v>103</v>
      </c>
      <c r="B33" s="11"/>
      <c r="C33" s="266">
        <v>4.5720000000000001</v>
      </c>
      <c r="D33" s="56"/>
      <c r="E33" s="173">
        <v>3.536</v>
      </c>
      <c r="F33" s="108"/>
      <c r="G33" s="173">
        <v>5.4779999999999998</v>
      </c>
      <c r="H33" s="169"/>
      <c r="I33" s="173">
        <v>9.7149999999999999</v>
      </c>
      <c r="J33" s="169"/>
      <c r="K33" s="173">
        <v>4.7729999999999997</v>
      </c>
      <c r="L33" s="169"/>
      <c r="M33" s="173">
        <v>7.9269999999999996</v>
      </c>
      <c r="N33" s="88"/>
      <c r="O33" s="173">
        <v>29.719000000000001</v>
      </c>
      <c r="P33" s="11"/>
      <c r="Q33" s="263">
        <v>24.451000000000001</v>
      </c>
      <c r="R33" s="11"/>
      <c r="S33" s="263">
        <v>12.654999999999999</v>
      </c>
      <c r="T33" s="11"/>
      <c r="U33" s="263">
        <v>28.669</v>
      </c>
      <c r="V33" s="11"/>
      <c r="W33" s="263">
        <v>33.926000000000002</v>
      </c>
      <c r="X33" s="11"/>
      <c r="Y33" s="263">
        <v>43.273000000000003</v>
      </c>
      <c r="Z33" s="11"/>
      <c r="AA33" s="263">
        <v>87.78</v>
      </c>
      <c r="AB33" s="263"/>
      <c r="AC33" s="263">
        <v>22.803000000000001</v>
      </c>
      <c r="AD33" s="649"/>
      <c r="AE33" s="263">
        <v>6.2590000000000003</v>
      </c>
      <c r="AF33" s="281"/>
      <c r="AG33" s="263">
        <v>20.585000000000001</v>
      </c>
      <c r="AH33" s="281"/>
      <c r="AI33" s="263">
        <v>32.468000000000004</v>
      </c>
      <c r="AJ33" s="281"/>
      <c r="AK33" s="263">
        <v>20.135000000000002</v>
      </c>
      <c r="AL33" s="623"/>
      <c r="AM33" s="263">
        <v>29.155000000000001</v>
      </c>
      <c r="AN33" s="623"/>
      <c r="AO33" s="263">
        <v>5.7779999999999996</v>
      </c>
      <c r="AP33" s="623"/>
      <c r="AQ33" s="263">
        <v>33.11</v>
      </c>
      <c r="AR33" s="623"/>
      <c r="AS33" s="263">
        <v>22.222999999999999</v>
      </c>
      <c r="AT33" s="623"/>
      <c r="AU33" s="263">
        <v>12.22</v>
      </c>
      <c r="AV33" s="623"/>
      <c r="AW33" s="2192">
        <v>12.781000000000001</v>
      </c>
      <c r="AX33" s="623">
        <f>+AW33+2</f>
        <v>14.781000000000001</v>
      </c>
      <c r="AY33" s="623">
        <f>+AX33+2</f>
        <v>16.780999999999999</v>
      </c>
      <c r="AZ33" s="623"/>
      <c r="BA33" s="623">
        <f>+AY33+2</f>
        <v>18.780999999999999</v>
      </c>
      <c r="BB33" s="623"/>
      <c r="BC33" s="623">
        <f>+BA33+2</f>
        <v>20.780999999999999</v>
      </c>
      <c r="BD33" s="623"/>
      <c r="BE33" s="623">
        <f>+BC33+2</f>
        <v>22.780999999999999</v>
      </c>
      <c r="BF33" s="623"/>
      <c r="BG33" s="623">
        <f>+BE33+2</f>
        <v>24.780999999999999</v>
      </c>
      <c r="BH33" s="623"/>
    </row>
    <row r="34" spans="1:60" ht="12.75">
      <c r="A34" s="158" t="s">
        <v>170</v>
      </c>
      <c r="B34" s="11"/>
      <c r="C34" s="266">
        <v>0</v>
      </c>
      <c r="D34" s="56"/>
      <c r="E34" s="173">
        <v>0</v>
      </c>
      <c r="F34" s="108"/>
      <c r="G34" s="173">
        <v>0</v>
      </c>
      <c r="H34" s="169"/>
      <c r="I34" s="173">
        <v>1.7030000000000001</v>
      </c>
      <c r="J34" s="169"/>
      <c r="K34" s="173">
        <v>3.3719999999999999</v>
      </c>
      <c r="L34" s="169"/>
      <c r="M34" s="173">
        <v>7.7030000000000003</v>
      </c>
      <c r="N34" s="88"/>
      <c r="O34" s="173">
        <v>13.085000000000001</v>
      </c>
      <c r="P34" s="11"/>
      <c r="Q34" s="173">
        <v>17.577000000000002</v>
      </c>
      <c r="R34" s="11"/>
      <c r="S34" s="173">
        <v>22.837</v>
      </c>
      <c r="T34" s="11"/>
      <c r="U34" s="173">
        <v>25.785</v>
      </c>
      <c r="V34" s="11"/>
      <c r="W34" s="173">
        <v>32.723999999999997</v>
      </c>
      <c r="X34" s="11"/>
      <c r="Y34" s="263">
        <v>43.045000000000002</v>
      </c>
      <c r="Z34" s="11"/>
      <c r="AA34" s="173">
        <v>54.554000000000002</v>
      </c>
      <c r="AB34" s="173"/>
      <c r="AC34" s="173">
        <v>54.554000000000002</v>
      </c>
      <c r="AD34" s="281"/>
      <c r="AE34" s="173">
        <v>42.298999999999999</v>
      </c>
      <c r="AF34" s="281"/>
      <c r="AG34" s="173">
        <v>39.389000000000003</v>
      </c>
      <c r="AH34" s="281"/>
      <c r="AI34" s="173">
        <v>41.000999999999998</v>
      </c>
      <c r="AJ34" s="281"/>
      <c r="AK34" s="263">
        <v>44.97</v>
      </c>
      <c r="AL34" s="624"/>
      <c r="AM34" s="173">
        <v>46.457999999999998</v>
      </c>
      <c r="AN34" s="624"/>
      <c r="AO34" s="173">
        <v>47.194000000000003</v>
      </c>
      <c r="AP34" s="624"/>
      <c r="AQ34" s="173">
        <v>47.887999999999998</v>
      </c>
      <c r="AR34" s="624"/>
      <c r="AS34" s="173">
        <v>48.274000000000001</v>
      </c>
      <c r="AT34" s="624"/>
      <c r="AU34" s="173">
        <v>52.966000000000001</v>
      </c>
      <c r="AV34" s="624"/>
      <c r="AW34" s="2193">
        <v>52.347000000000001</v>
      </c>
      <c r="AX34" s="624">
        <f>AW34</f>
        <v>52.347000000000001</v>
      </c>
      <c r="AY34" s="624">
        <f>AX34</f>
        <v>52.347000000000001</v>
      </c>
      <c r="AZ34" s="624"/>
      <c r="BA34" s="624">
        <f>AY34</f>
        <v>52.347000000000001</v>
      </c>
      <c r="BB34" s="624"/>
      <c r="BC34" s="624">
        <f>BA34</f>
        <v>52.347000000000001</v>
      </c>
      <c r="BD34" s="624"/>
      <c r="BE34" s="624">
        <f>BC34</f>
        <v>52.347000000000001</v>
      </c>
      <c r="BF34" s="624"/>
      <c r="BG34" s="624">
        <f>BE34</f>
        <v>52.347000000000001</v>
      </c>
      <c r="BH34" s="624"/>
    </row>
    <row r="35" spans="1:60" ht="12.75">
      <c r="A35" s="158" t="s">
        <v>671</v>
      </c>
      <c r="B35" s="11"/>
      <c r="C35" s="266"/>
      <c r="D35" s="56"/>
      <c r="E35" s="173"/>
      <c r="F35" s="108"/>
      <c r="G35" s="173"/>
      <c r="H35" s="169"/>
      <c r="I35" s="173"/>
      <c r="J35" s="169"/>
      <c r="K35" s="173"/>
      <c r="L35" s="169"/>
      <c r="M35" s="173"/>
      <c r="N35" s="88"/>
      <c r="O35" s="173">
        <v>0</v>
      </c>
      <c r="P35" s="11"/>
      <c r="Q35" s="173">
        <v>0</v>
      </c>
      <c r="R35" s="11"/>
      <c r="S35" s="173">
        <v>0</v>
      </c>
      <c r="T35" s="11"/>
      <c r="U35" s="173">
        <v>10.260999999999999</v>
      </c>
      <c r="V35" s="11"/>
      <c r="W35" s="173">
        <v>9.798</v>
      </c>
      <c r="X35" s="11"/>
      <c r="Y35" s="263">
        <v>10.406000000000001</v>
      </c>
      <c r="Z35" s="11"/>
      <c r="AA35" s="173">
        <v>12.803000000000001</v>
      </c>
      <c r="AB35" s="173"/>
      <c r="AC35" s="173">
        <v>12.952999999999999</v>
      </c>
      <c r="AD35" s="281"/>
      <c r="AE35" s="173">
        <v>13.726000000000001</v>
      </c>
      <c r="AF35" s="281"/>
      <c r="AG35" s="173">
        <v>17.388000000000002</v>
      </c>
      <c r="AH35" s="281"/>
      <c r="AI35" s="173">
        <v>16.202999999999999</v>
      </c>
      <c r="AJ35" s="281"/>
      <c r="AK35" s="263">
        <v>15.066000000000001</v>
      </c>
      <c r="AL35" s="624"/>
      <c r="AM35" s="173">
        <v>13.381</v>
      </c>
      <c r="AN35" s="624"/>
      <c r="AO35" s="173">
        <v>13.292999999999999</v>
      </c>
      <c r="AP35" s="624"/>
      <c r="AQ35" s="173">
        <v>12.968999999999999</v>
      </c>
      <c r="AR35" s="624"/>
      <c r="AS35" s="173">
        <v>12.711</v>
      </c>
      <c r="AT35" s="624"/>
      <c r="AU35" s="173">
        <v>12.78</v>
      </c>
      <c r="AV35" s="624"/>
      <c r="AW35" s="2193">
        <v>11.202999999999999</v>
      </c>
      <c r="AX35" s="624">
        <f>+AW35</f>
        <v>11.202999999999999</v>
      </c>
      <c r="AY35" s="624">
        <f>+AX35</f>
        <v>11.202999999999999</v>
      </c>
      <c r="AZ35" s="624"/>
      <c r="BA35" s="624">
        <f>+AY35</f>
        <v>11.202999999999999</v>
      </c>
      <c r="BB35" s="624"/>
      <c r="BC35" s="624">
        <f>+BA35</f>
        <v>11.202999999999999</v>
      </c>
      <c r="BD35" s="624"/>
      <c r="BE35" s="624">
        <f>+BC35</f>
        <v>11.202999999999999</v>
      </c>
      <c r="BF35" s="624"/>
      <c r="BG35" s="624">
        <f>+BE35</f>
        <v>11.202999999999999</v>
      </c>
      <c r="BH35" s="624"/>
    </row>
    <row r="36" spans="1:60" ht="12.75">
      <c r="A36" s="11" t="s">
        <v>104</v>
      </c>
      <c r="B36" s="11"/>
      <c r="C36" s="236">
        <v>2.4319999999999999</v>
      </c>
      <c r="D36" s="56"/>
      <c r="E36" s="236">
        <v>3.06</v>
      </c>
      <c r="F36" s="108"/>
      <c r="G36" s="236">
        <v>2.5419999999999998</v>
      </c>
      <c r="H36" s="169"/>
      <c r="I36" s="236">
        <v>0.82699999999999996</v>
      </c>
      <c r="J36" s="169"/>
      <c r="K36" s="236">
        <v>2.274</v>
      </c>
      <c r="L36" s="169"/>
      <c r="M36" s="236">
        <v>3.0329999999999999</v>
      </c>
      <c r="N36" s="11"/>
      <c r="O36" s="236">
        <v>11.879</v>
      </c>
      <c r="P36" s="11"/>
      <c r="Q36" s="236">
        <v>7.4790000000000001</v>
      </c>
      <c r="R36" s="11"/>
      <c r="S36" s="236">
        <v>9.7840000000000007</v>
      </c>
      <c r="T36" s="11"/>
      <c r="U36" s="236">
        <v>13.025</v>
      </c>
      <c r="V36" s="11"/>
      <c r="W36" s="236">
        <v>16.152000000000001</v>
      </c>
      <c r="X36" s="11"/>
      <c r="Y36" s="265">
        <v>15.01</v>
      </c>
      <c r="Z36" s="11"/>
      <c r="AA36" s="236">
        <v>18.263000000000002</v>
      </c>
      <c r="AB36" s="172"/>
      <c r="AC36" s="236">
        <v>16.285</v>
      </c>
      <c r="AD36" s="17"/>
      <c r="AE36" s="236">
        <v>18.298999999999999</v>
      </c>
      <c r="AF36" s="17"/>
      <c r="AG36" s="236">
        <v>19.056999999999999</v>
      </c>
      <c r="AH36" s="17"/>
      <c r="AI36" s="236">
        <v>25.097999999999999</v>
      </c>
      <c r="AJ36" s="17"/>
      <c r="AK36" s="265">
        <v>21.901</v>
      </c>
      <c r="AL36" s="172"/>
      <c r="AM36" s="236">
        <v>26.628</v>
      </c>
      <c r="AN36" s="172"/>
      <c r="AO36" s="236">
        <v>45.384</v>
      </c>
      <c r="AP36" s="172"/>
      <c r="AQ36" s="236">
        <v>50.529000000000003</v>
      </c>
      <c r="AR36" s="172"/>
      <c r="AS36" s="236">
        <v>40.901000000000003</v>
      </c>
      <c r="AT36" s="172"/>
      <c r="AU36" s="236">
        <v>36.81</v>
      </c>
      <c r="AV36" s="165"/>
      <c r="AW36" s="2191">
        <v>34.551000000000002</v>
      </c>
      <c r="AX36" s="172">
        <f>+AX81*AX88</f>
        <v>0</v>
      </c>
      <c r="AY36" s="165">
        <f>+AY81*AY88</f>
        <v>35.179274711750018</v>
      </c>
      <c r="AZ36" s="172"/>
      <c r="BA36" s="165">
        <f>+BA81*BA88</f>
        <v>35.873104781976608</v>
      </c>
      <c r="BB36" s="165"/>
      <c r="BC36" s="165">
        <f>+BC81*BC88</f>
        <v>36.656984985760772</v>
      </c>
      <c r="BD36" s="165"/>
      <c r="BE36" s="165">
        <f>+BE81*BE88</f>
        <v>36.909011153513028</v>
      </c>
      <c r="BF36" s="172"/>
      <c r="BG36" s="165">
        <f>+BG81*BG88</f>
        <v>37.778865446031276</v>
      </c>
      <c r="BH36" s="172"/>
    </row>
    <row r="37" spans="1:60" ht="12.75">
      <c r="A37" s="158" t="s">
        <v>55</v>
      </c>
      <c r="B37" s="11"/>
      <c r="C37" s="159">
        <f>SUM(C29:C36)</f>
        <v>38.312000000000005</v>
      </c>
      <c r="D37" s="11"/>
      <c r="E37" s="166">
        <f>SUM(E29:E36)</f>
        <v>31.567</v>
      </c>
      <c r="F37" s="167"/>
      <c r="G37" s="168">
        <f>SUM(G29:G36)</f>
        <v>39.382000000000005</v>
      </c>
      <c r="H37" s="11"/>
      <c r="I37" s="168">
        <f>SUM(I29:I36)</f>
        <v>53.986999999999995</v>
      </c>
      <c r="J37" s="11"/>
      <c r="K37" s="168">
        <f>SUM(K29:K36)</f>
        <v>59.751000000000005</v>
      </c>
      <c r="L37" s="11"/>
      <c r="M37" s="168">
        <f>SUM(M29:M36)</f>
        <v>88.424999999999997</v>
      </c>
      <c r="N37" s="11"/>
      <c r="O37" s="168">
        <f>SUM(O29:O36)</f>
        <v>149.14699999999999</v>
      </c>
      <c r="P37" s="11"/>
      <c r="Q37" s="168">
        <f>SUM(Q29:Q36)</f>
        <v>149.94200000000001</v>
      </c>
      <c r="R37" s="11"/>
      <c r="S37" s="168">
        <f>SUM(S29:S36)</f>
        <v>141.58599999999998</v>
      </c>
      <c r="T37" s="11"/>
      <c r="U37" s="168">
        <f>SUM(U29:U36)</f>
        <v>208.97900000000001</v>
      </c>
      <c r="V37" s="11"/>
      <c r="W37" s="168">
        <f>SUM(W29:W36)</f>
        <v>282.62599999999998</v>
      </c>
      <c r="X37" s="11"/>
      <c r="Y37" s="580">
        <f>SUM(Y29:Y36)</f>
        <v>351.48700000000002</v>
      </c>
      <c r="Z37" s="11"/>
      <c r="AA37" s="168">
        <f>SUM(AA29:AA36)</f>
        <v>460.464</v>
      </c>
      <c r="AB37" s="168"/>
      <c r="AC37" s="168">
        <f>SUM(AC29:AC36)</f>
        <v>376.17799999999994</v>
      </c>
      <c r="AD37" s="17"/>
      <c r="AE37" s="168">
        <f>SUM(AE29:AE36)</f>
        <v>401.76299999999998</v>
      </c>
      <c r="AF37" s="17"/>
      <c r="AG37" s="168">
        <f>SUM(AG29:AG36)</f>
        <v>408.95499999999998</v>
      </c>
      <c r="AH37" s="17"/>
      <c r="AI37" s="168">
        <f>SUM(AI29:AI36)</f>
        <v>387.83699999999999</v>
      </c>
      <c r="AJ37" s="17"/>
      <c r="AK37" s="580">
        <f>SUM(AK29:AK36)</f>
        <v>405.40099999999995</v>
      </c>
      <c r="AL37" s="376"/>
      <c r="AM37" s="168">
        <f>SUM(AM29:AM36)</f>
        <v>435.90199999999987</v>
      </c>
      <c r="AN37" s="376"/>
      <c r="AO37" s="168">
        <f>SUM(AO29:AO36)</f>
        <v>415.47800000000007</v>
      </c>
      <c r="AP37" s="376"/>
      <c r="AQ37" s="168">
        <f>SUM(AQ29:AQ36)</f>
        <v>459.09299999999996</v>
      </c>
      <c r="AR37" s="376"/>
      <c r="AS37" s="168">
        <f>SUM(AS29:AS36)</f>
        <v>463.68200000000002</v>
      </c>
      <c r="AT37" s="168"/>
      <c r="AU37" s="168">
        <f>SUM(AU29:AU36)</f>
        <v>493.78300000000007</v>
      </c>
      <c r="AV37" s="168"/>
      <c r="AW37" s="168">
        <f>SUM(AW29:AW36)</f>
        <v>485.22099999999995</v>
      </c>
      <c r="AX37" s="376">
        <f>SUM(AX29:AX36)</f>
        <v>163.643</v>
      </c>
      <c r="AY37" s="168">
        <f>SUM(AY29:AY36)</f>
        <v>509.62814782236546</v>
      </c>
      <c r="AZ37" s="376"/>
      <c r="BA37" s="168">
        <f>SUM(BA29:BA36)</f>
        <v>531.41701985255543</v>
      </c>
      <c r="BB37" s="168"/>
      <c r="BC37" s="168">
        <f>SUM(BC29:BC36)</f>
        <v>553.46243135958491</v>
      </c>
      <c r="BD37" s="168"/>
      <c r="BE37" s="168">
        <f>SUM(BE29:BE36)</f>
        <v>558.12787732560946</v>
      </c>
      <c r="BF37" s="2101"/>
      <c r="BG37" s="168">
        <f>SUM(BG29:BG36)</f>
        <v>564.33183861684518</v>
      </c>
      <c r="BH37" s="168"/>
    </row>
    <row r="38" spans="1:60" ht="6" customHeight="1">
      <c r="A38" s="158"/>
      <c r="B38" s="11"/>
      <c r="C38" s="181"/>
      <c r="D38" s="11"/>
      <c r="E38" s="182"/>
      <c r="F38" s="11"/>
      <c r="G38" s="182"/>
      <c r="H38" s="11"/>
      <c r="I38" s="182"/>
      <c r="J38" s="11"/>
      <c r="K38" s="182"/>
      <c r="L38" s="11"/>
      <c r="M38" s="164"/>
      <c r="N38" s="11"/>
      <c r="O38" s="86"/>
      <c r="P38" s="11"/>
      <c r="Q38" s="86"/>
      <c r="R38" s="11"/>
      <c r="S38" s="86"/>
      <c r="T38" s="11"/>
      <c r="U38" s="86"/>
      <c r="V38" s="11"/>
      <c r="W38" s="86"/>
      <c r="X38" s="11"/>
      <c r="Y38" s="582"/>
      <c r="Z38" s="11"/>
      <c r="AA38" s="86"/>
      <c r="AB38" s="86"/>
      <c r="AC38" s="86"/>
      <c r="AD38" s="17"/>
      <c r="AE38" s="86"/>
      <c r="AF38" s="17"/>
      <c r="AG38" s="86"/>
      <c r="AH38" s="17"/>
      <c r="AI38" s="86"/>
      <c r="AJ38" s="17"/>
      <c r="AK38" s="582"/>
      <c r="AL38" s="377"/>
      <c r="AM38" s="86"/>
      <c r="AN38" s="377"/>
      <c r="AO38" s="86"/>
      <c r="AP38" s="377"/>
      <c r="AQ38" s="86"/>
      <c r="AR38" s="377"/>
      <c r="AS38" s="86"/>
      <c r="AT38" s="86"/>
      <c r="AU38" s="86"/>
      <c r="AV38" s="86"/>
      <c r="AW38" s="86"/>
      <c r="AX38" s="377"/>
      <c r="AY38" s="86"/>
      <c r="AZ38" s="377"/>
      <c r="BA38" s="86"/>
      <c r="BB38" s="86"/>
      <c r="BC38" s="86"/>
      <c r="BD38" s="86"/>
      <c r="BE38" s="86"/>
      <c r="BF38" s="86"/>
      <c r="BG38" s="86"/>
      <c r="BH38" s="86"/>
    </row>
    <row r="39" spans="1:60" ht="12.75">
      <c r="A39" s="158" t="s">
        <v>515</v>
      </c>
      <c r="B39" s="11"/>
      <c r="C39" s="185">
        <v>0</v>
      </c>
      <c r="D39" s="11"/>
      <c r="E39" s="185">
        <v>0</v>
      </c>
      <c r="F39" s="11"/>
      <c r="G39" s="185">
        <v>0</v>
      </c>
      <c r="H39" s="11"/>
      <c r="I39" s="185">
        <v>0</v>
      </c>
      <c r="J39" s="11"/>
      <c r="K39" s="185">
        <v>0</v>
      </c>
      <c r="L39" s="11"/>
      <c r="M39" s="185">
        <v>0</v>
      </c>
      <c r="N39" s="11"/>
      <c r="O39" s="185">
        <v>24.888999999999999</v>
      </c>
      <c r="P39" s="11"/>
      <c r="Q39" s="275">
        <v>19.361000000000001</v>
      </c>
      <c r="R39" s="11"/>
      <c r="S39" s="324">
        <v>16.356000000000002</v>
      </c>
      <c r="T39" s="11"/>
      <c r="U39" s="324">
        <v>13.874000000000001</v>
      </c>
      <c r="V39" s="11"/>
      <c r="W39" s="173">
        <v>0</v>
      </c>
      <c r="X39" s="11"/>
      <c r="Y39" s="583">
        <v>0</v>
      </c>
      <c r="Z39" s="11"/>
      <c r="AA39" s="324">
        <v>0</v>
      </c>
      <c r="AB39" s="275"/>
      <c r="AC39" s="324">
        <v>0</v>
      </c>
      <c r="AD39" s="17"/>
      <c r="AE39" s="324">
        <v>0</v>
      </c>
      <c r="AF39" s="17"/>
      <c r="AG39" s="324">
        <v>0</v>
      </c>
      <c r="AH39" s="17"/>
      <c r="AI39" s="324">
        <v>0</v>
      </c>
      <c r="AJ39" s="17"/>
      <c r="AK39" s="583">
        <v>0</v>
      </c>
      <c r="AL39" s="747"/>
      <c r="AM39" s="324">
        <v>0</v>
      </c>
      <c r="AN39" s="747"/>
      <c r="AO39" s="275">
        <v>0</v>
      </c>
      <c r="AP39" s="747"/>
      <c r="AQ39" s="275">
        <v>0</v>
      </c>
      <c r="AR39" s="747"/>
      <c r="AS39" s="275">
        <v>0</v>
      </c>
      <c r="AT39" s="275"/>
      <c r="AU39" s="275">
        <v>0</v>
      </c>
      <c r="AV39" s="275"/>
      <c r="AW39" s="275">
        <v>0</v>
      </c>
      <c r="AX39" s="747">
        <v>1</v>
      </c>
      <c r="AY39" s="275">
        <v>0</v>
      </c>
      <c r="AZ39" s="747"/>
      <c r="BA39" s="275">
        <v>0</v>
      </c>
      <c r="BB39" s="275"/>
      <c r="BC39" s="275">
        <v>0</v>
      </c>
      <c r="BD39" s="275"/>
      <c r="BE39" s="275">
        <v>0</v>
      </c>
      <c r="BF39" s="275"/>
      <c r="BG39" s="275">
        <v>0</v>
      </c>
      <c r="BH39" s="275"/>
    </row>
    <row r="40" spans="1:60" ht="12.75">
      <c r="A40" s="158" t="s">
        <v>131</v>
      </c>
      <c r="B40" s="11"/>
      <c r="C40" s="185">
        <v>0</v>
      </c>
      <c r="D40" s="11"/>
      <c r="E40" s="185">
        <v>0</v>
      </c>
      <c r="F40" s="11"/>
      <c r="G40" s="185">
        <v>0</v>
      </c>
      <c r="H40" s="56"/>
      <c r="I40" s="185">
        <v>0</v>
      </c>
      <c r="J40" s="56"/>
      <c r="K40" s="185">
        <v>0</v>
      </c>
      <c r="L40" s="11"/>
      <c r="M40" s="185">
        <v>1.702</v>
      </c>
      <c r="N40" s="11"/>
      <c r="O40" s="185">
        <v>1.3149999999999999</v>
      </c>
      <c r="P40" s="11"/>
      <c r="Q40" s="185">
        <v>1.3660000000000001</v>
      </c>
      <c r="R40" s="11"/>
      <c r="S40" s="185">
        <v>5.915</v>
      </c>
      <c r="T40" s="11"/>
      <c r="U40" s="185">
        <v>18.248000000000001</v>
      </c>
      <c r="V40" s="11"/>
      <c r="W40" s="185">
        <v>25.056000000000001</v>
      </c>
      <c r="X40" s="11"/>
      <c r="Y40" s="382">
        <v>38.523000000000003</v>
      </c>
      <c r="Z40" s="11"/>
      <c r="AA40" s="185">
        <v>44.594000000000001</v>
      </c>
      <c r="AB40" s="185"/>
      <c r="AC40" s="185">
        <f>44.837+35.846</f>
        <v>80.682999999999993</v>
      </c>
      <c r="AD40" s="17"/>
      <c r="AE40" s="185">
        <f>39.898+24.67</f>
        <v>64.568000000000012</v>
      </c>
      <c r="AF40" s="17"/>
      <c r="AG40" s="185">
        <f>38.618+22.467</f>
        <v>61.085000000000001</v>
      </c>
      <c r="AH40" s="17"/>
      <c r="AI40" s="185">
        <f>38.671+23.813</f>
        <v>62.483999999999995</v>
      </c>
      <c r="AJ40" s="17"/>
      <c r="AK40" s="382">
        <f>35.471+21.199</f>
        <v>56.67</v>
      </c>
      <c r="AL40" s="173"/>
      <c r="AM40" s="185">
        <f>19.011+20.382</f>
        <v>39.393000000000001</v>
      </c>
      <c r="AN40" s="173"/>
      <c r="AO40" s="185">
        <f>16.543+36.455</f>
        <v>52.997999999999998</v>
      </c>
      <c r="AP40" s="173"/>
      <c r="AQ40" s="185">
        <f>10.456+33.097</f>
        <v>43.552999999999997</v>
      </c>
      <c r="AR40" s="173"/>
      <c r="AS40" s="185">
        <f>4.566+42.518</f>
        <v>47.084000000000003</v>
      </c>
      <c r="AT40" s="185"/>
      <c r="AU40" s="185">
        <f>34.657+4.537</f>
        <v>39.193999999999996</v>
      </c>
      <c r="AV40" s="185"/>
      <c r="AW40" s="185">
        <f>29.055+7.269</f>
        <v>36.323999999999998</v>
      </c>
      <c r="AX40" s="173">
        <f>+AW40</f>
        <v>36.323999999999998</v>
      </c>
      <c r="AY40" s="185">
        <f>+AX40</f>
        <v>36.323999999999998</v>
      </c>
      <c r="AZ40" s="173"/>
      <c r="BA40" s="185">
        <f>+AY40</f>
        <v>36.323999999999998</v>
      </c>
      <c r="BB40" s="185"/>
      <c r="BC40" s="185">
        <f>+BA40</f>
        <v>36.323999999999998</v>
      </c>
      <c r="BD40" s="185"/>
      <c r="BE40" s="185">
        <f>+BC40</f>
        <v>36.323999999999998</v>
      </c>
      <c r="BF40" s="185"/>
      <c r="BG40" s="185">
        <f>+BE40</f>
        <v>36.323999999999998</v>
      </c>
      <c r="BH40" s="185"/>
    </row>
    <row r="41" spans="1:60" ht="12.75">
      <c r="A41" s="158" t="s">
        <v>672</v>
      </c>
      <c r="B41" s="11"/>
      <c r="C41" s="185"/>
      <c r="D41" s="11"/>
      <c r="E41" s="185"/>
      <c r="F41" s="11"/>
      <c r="G41" s="185"/>
      <c r="H41" s="56"/>
      <c r="I41" s="185"/>
      <c r="J41" s="56"/>
      <c r="K41" s="185"/>
      <c r="L41" s="11"/>
      <c r="M41" s="185"/>
      <c r="N41" s="11"/>
      <c r="O41" s="185">
        <v>0</v>
      </c>
      <c r="P41" s="11"/>
      <c r="Q41" s="185">
        <v>0</v>
      </c>
      <c r="R41" s="11"/>
      <c r="S41" s="185">
        <v>0</v>
      </c>
      <c r="T41" s="11"/>
      <c r="U41" s="185">
        <v>53.936</v>
      </c>
      <c r="V41" s="11"/>
      <c r="W41" s="185">
        <v>57.758000000000003</v>
      </c>
      <c r="X41" s="11"/>
      <c r="Y41" s="382">
        <v>60.087000000000003</v>
      </c>
      <c r="Z41" s="11"/>
      <c r="AA41" s="185">
        <v>65.114000000000004</v>
      </c>
      <c r="AB41" s="185"/>
      <c r="AC41" s="185">
        <v>70.355000000000004</v>
      </c>
      <c r="AD41" s="17"/>
      <c r="AE41" s="185">
        <v>88.313999999999993</v>
      </c>
      <c r="AF41" s="17"/>
      <c r="AG41" s="185">
        <v>89.590999999999994</v>
      </c>
      <c r="AH41" s="17"/>
      <c r="AI41" s="185">
        <v>78.605999999999995</v>
      </c>
      <c r="AJ41" s="17"/>
      <c r="AK41" s="382">
        <v>71.88</v>
      </c>
      <c r="AL41" s="173"/>
      <c r="AM41" s="185">
        <v>59.570999999999998</v>
      </c>
      <c r="AN41" s="173"/>
      <c r="AO41" s="185">
        <v>59.51</v>
      </c>
      <c r="AP41" s="173"/>
      <c r="AQ41" s="185">
        <v>54.515999999999998</v>
      </c>
      <c r="AR41" s="173"/>
      <c r="AS41" s="185">
        <v>50.103999999999999</v>
      </c>
      <c r="AT41" s="185"/>
      <c r="AU41" s="185">
        <v>45.113999999999997</v>
      </c>
      <c r="AV41" s="185"/>
      <c r="AW41" s="185">
        <v>47.976999999999997</v>
      </c>
      <c r="AX41" s="173">
        <f>AW41+1.5</f>
        <v>49.476999999999997</v>
      </c>
      <c r="AY41" s="185">
        <f>AX41+1.5</f>
        <v>50.976999999999997</v>
      </c>
      <c r="AZ41" s="173"/>
      <c r="BA41" s="185">
        <f>AY41+1.5</f>
        <v>52.476999999999997</v>
      </c>
      <c r="BB41" s="185"/>
      <c r="BC41" s="185">
        <f>BA41+1.5</f>
        <v>53.976999999999997</v>
      </c>
      <c r="BD41" s="185"/>
      <c r="BE41" s="185">
        <f>BC41+1.5</f>
        <v>55.476999999999997</v>
      </c>
      <c r="BF41" s="185"/>
      <c r="BG41" s="185">
        <f>BE41+1.5</f>
        <v>56.976999999999997</v>
      </c>
      <c r="BH41" s="185"/>
    </row>
    <row r="42" spans="1:60" ht="12.75">
      <c r="A42" s="158" t="s">
        <v>56</v>
      </c>
      <c r="B42" s="11"/>
      <c r="C42" s="268">
        <v>65.781999999999996</v>
      </c>
      <c r="D42" s="56"/>
      <c r="E42" s="185">
        <v>63.795999999999999</v>
      </c>
      <c r="F42" s="11"/>
      <c r="G42" s="185">
        <v>71.055999999999997</v>
      </c>
      <c r="H42" s="56"/>
      <c r="I42" s="185">
        <v>90.808000000000007</v>
      </c>
      <c r="J42" s="56"/>
      <c r="K42" s="185">
        <v>151.197</v>
      </c>
      <c r="L42" s="56"/>
      <c r="M42" s="185">
        <v>264.50099999999998</v>
      </c>
      <c r="N42" s="11"/>
      <c r="O42" s="185">
        <v>367.69499999999999</v>
      </c>
      <c r="P42" s="11"/>
      <c r="Q42" s="185">
        <v>502.05200000000002</v>
      </c>
      <c r="R42" s="11"/>
      <c r="S42" s="185">
        <v>577.48199999999997</v>
      </c>
      <c r="T42" s="11"/>
      <c r="U42" s="185">
        <v>637.37699999999995</v>
      </c>
      <c r="V42" s="11"/>
      <c r="W42" s="382">
        <v>963.48599999999999</v>
      </c>
      <c r="X42" s="11"/>
      <c r="Y42" s="382">
        <v>1155.5519999999999</v>
      </c>
      <c r="Z42" s="11"/>
      <c r="AA42" s="382">
        <v>1417.3119999999999</v>
      </c>
      <c r="AB42" s="161"/>
      <c r="AC42" s="382">
        <v>1340.4639999999999</v>
      </c>
      <c r="AD42" s="17"/>
      <c r="AE42" s="382">
        <v>1409.0309999999999</v>
      </c>
      <c r="AF42" s="17"/>
      <c r="AG42" s="382">
        <v>1578.5170000000001</v>
      </c>
      <c r="AH42" s="17"/>
      <c r="AI42" s="382">
        <v>1351.0709999999999</v>
      </c>
      <c r="AJ42" s="17"/>
      <c r="AK42" s="382">
        <v>1416.8510000000001</v>
      </c>
      <c r="AL42" s="264"/>
      <c r="AM42" s="382">
        <v>1221.1869999999999</v>
      </c>
      <c r="AN42" s="264"/>
      <c r="AO42" s="382">
        <v>1166.1780000000001</v>
      </c>
      <c r="AP42" s="264"/>
      <c r="AQ42" s="382">
        <f>1139.746</f>
        <v>1139.7460000000001</v>
      </c>
      <c r="AR42" s="264"/>
      <c r="AS42" s="382">
        <v>1051.376</v>
      </c>
      <c r="AT42" s="338"/>
      <c r="AU42" s="382">
        <v>1204.569</v>
      </c>
      <c r="AV42" s="338"/>
      <c r="AW42" s="2188">
        <v>1246.7909999999999</v>
      </c>
      <c r="AX42" s="264">
        <f>AX26-AX37-AX40-AX41</f>
        <v>676.73900000000015</v>
      </c>
      <c r="AY42" s="338">
        <f>AY26-AY37-AY40-AY41</f>
        <v>1397.6906387720908</v>
      </c>
      <c r="AZ42" s="264"/>
      <c r="BA42" s="338">
        <f>BA26-BA37-BA40-BA41</f>
        <v>1537.0758467306102</v>
      </c>
      <c r="BB42" s="338"/>
      <c r="BC42" s="338">
        <f>BC26-BC37-BC40-BC41</f>
        <v>1666.7882249528218</v>
      </c>
      <c r="BD42" s="338"/>
      <c r="BE42" s="338">
        <f>BE26-BE37-BE40-BE41</f>
        <v>1786.3316826163011</v>
      </c>
      <c r="BF42" s="338"/>
      <c r="BG42" s="338">
        <f>BG26-BG37-BG40-BG41</f>
        <v>1889.7055931786042</v>
      </c>
      <c r="BH42" s="338"/>
    </row>
    <row r="43" spans="1:60" ht="6" customHeight="1">
      <c r="A43" s="11"/>
      <c r="B43" s="11"/>
      <c r="C43" s="181"/>
      <c r="D43" s="11"/>
      <c r="E43" s="182"/>
      <c r="F43" s="11"/>
      <c r="G43" s="182"/>
      <c r="H43" s="11"/>
      <c r="I43" s="182"/>
      <c r="J43" s="11"/>
      <c r="K43" s="182"/>
      <c r="L43" s="11"/>
      <c r="M43" s="164"/>
      <c r="N43" s="11"/>
      <c r="O43" s="183"/>
      <c r="P43" s="11"/>
      <c r="Q43" s="183"/>
      <c r="R43" s="11"/>
      <c r="S43" s="183"/>
      <c r="T43" s="11"/>
      <c r="U43" s="183"/>
      <c r="V43" s="11"/>
      <c r="W43" s="183"/>
      <c r="X43" s="11"/>
      <c r="Y43" s="584"/>
      <c r="Z43" s="11"/>
      <c r="AA43" s="183"/>
      <c r="AB43" s="375"/>
      <c r="AC43" s="183"/>
      <c r="AD43" s="17"/>
      <c r="AE43" s="183"/>
      <c r="AF43" s="17"/>
      <c r="AG43" s="183"/>
      <c r="AH43" s="17"/>
      <c r="AI43" s="183"/>
      <c r="AJ43" s="17"/>
      <c r="AK43" s="183"/>
      <c r="AL43" s="375"/>
      <c r="AM43" s="183"/>
      <c r="AN43" s="375"/>
      <c r="AO43" s="183"/>
      <c r="AP43" s="375"/>
      <c r="AQ43" s="183"/>
      <c r="AR43" s="375"/>
      <c r="AS43" s="183"/>
      <c r="AT43" s="183"/>
      <c r="AU43" s="183"/>
      <c r="AV43" s="183"/>
      <c r="AW43" s="183"/>
      <c r="AX43" s="375"/>
      <c r="AY43" s="183"/>
      <c r="AZ43" s="375"/>
      <c r="BA43" s="183"/>
      <c r="BB43" s="183"/>
      <c r="BC43" s="183"/>
      <c r="BD43" s="183"/>
      <c r="BE43" s="183"/>
      <c r="BF43" s="183"/>
      <c r="BG43" s="183"/>
      <c r="BH43" s="183"/>
    </row>
    <row r="44" spans="1:60" ht="12.75">
      <c r="A44" s="158" t="s">
        <v>180</v>
      </c>
      <c r="B44" s="11"/>
      <c r="C44" s="211">
        <f>C37+C39+C40+C42</f>
        <v>104.09399999999999</v>
      </c>
      <c r="D44" s="11"/>
      <c r="E44" s="211">
        <f>E37+E39+E40+E42</f>
        <v>95.363</v>
      </c>
      <c r="F44" s="11"/>
      <c r="G44" s="211">
        <f>G37+G39+G40+G42</f>
        <v>110.438</v>
      </c>
      <c r="H44" s="11"/>
      <c r="I44" s="211">
        <f>I37+I39+I40+I42</f>
        <v>144.79500000000002</v>
      </c>
      <c r="J44" s="11"/>
      <c r="K44" s="211">
        <f>K37+K39+K40+K42</f>
        <v>210.94800000000001</v>
      </c>
      <c r="L44" s="11"/>
      <c r="M44" s="211">
        <f>M37+M39+M40+M42</f>
        <v>354.62799999999999</v>
      </c>
      <c r="N44" s="11"/>
      <c r="O44" s="211">
        <f>O37+O39+O40+O42</f>
        <v>543.04600000000005</v>
      </c>
      <c r="P44" s="45"/>
      <c r="Q44" s="211">
        <f>Q37+Q39+Q40+Q42</f>
        <v>672.721</v>
      </c>
      <c r="R44" s="45"/>
      <c r="S44" s="211">
        <f>S37+S39+S40+S41+S42</f>
        <v>741.33899999999994</v>
      </c>
      <c r="T44" s="45"/>
      <c r="U44" s="211">
        <f>U37+U39+U40+U41+U42</f>
        <v>932.41399999999999</v>
      </c>
      <c r="V44" s="45"/>
      <c r="W44" s="211">
        <f>W37+W39+W40+W41+W42</f>
        <v>1328.9259999999999</v>
      </c>
      <c r="X44" s="45"/>
      <c r="Y44" s="585">
        <f>Y37+Y39+Y40+Y41+Y42</f>
        <v>1605.6489999999999</v>
      </c>
      <c r="Z44" s="45"/>
      <c r="AA44" s="211">
        <f>AA37+AA39+AA40+AA41+AA42</f>
        <v>1987.4839999999999</v>
      </c>
      <c r="AB44" s="376"/>
      <c r="AC44" s="211">
        <f>AC37+AC39+AC40+AC41+AC42</f>
        <v>1867.6799999999998</v>
      </c>
      <c r="AD44" s="19"/>
      <c r="AE44" s="211">
        <f>AE37+AE39+AE40+AE41+AE42</f>
        <v>1963.6759999999999</v>
      </c>
      <c r="AF44" s="19"/>
      <c r="AG44" s="211">
        <f>AG37+AG39+AG40+AG41+AG42</f>
        <v>2138.1480000000001</v>
      </c>
      <c r="AH44" s="19"/>
      <c r="AI44" s="211">
        <f>AI37+AI39+AI40+AI41+AI42</f>
        <v>1879.9979999999998</v>
      </c>
      <c r="AJ44" s="19"/>
      <c r="AK44" s="211">
        <f>AK37+AK39+AK40+AK41+AK42</f>
        <v>1950.8020000000001</v>
      </c>
      <c r="AL44" s="376"/>
      <c r="AM44" s="211">
        <f>AM37+AM39+AM40+AM41+AM42</f>
        <v>1756.0529999999999</v>
      </c>
      <c r="AN44" s="376"/>
      <c r="AO44" s="211">
        <f>AO37+AO39+AO40+AO41+AO42</f>
        <v>1694.1640000000002</v>
      </c>
      <c r="AP44" s="376"/>
      <c r="AQ44" s="211">
        <f>AQ37+AQ39+AQ40+AQ41+AQ42</f>
        <v>1696.9079999999999</v>
      </c>
      <c r="AR44" s="376"/>
      <c r="AS44" s="211">
        <f>AS37+AS39+AS40+AS41+AS42</f>
        <v>1612.2460000000001</v>
      </c>
      <c r="AT44" s="376"/>
      <c r="AU44" s="211">
        <f>AU37+AU39+AU40+AU41+AU42</f>
        <v>1782.66</v>
      </c>
      <c r="AV44" s="211"/>
      <c r="AW44" s="211">
        <f>AW37+AW39+AW40+AW41+AW42</f>
        <v>1816.3129999999999</v>
      </c>
      <c r="AX44" s="376">
        <f>AX37+AX39+AX40+AX41+AX42</f>
        <v>927.18300000000011</v>
      </c>
      <c r="AY44" s="211">
        <f>AY37+AY39+AY40+AY41+AY42</f>
        <v>1994.6197865944562</v>
      </c>
      <c r="AZ44" s="376"/>
      <c r="BA44" s="211">
        <f>BA37+BA39+BA40+BA41+BA42</f>
        <v>2157.2938665831657</v>
      </c>
      <c r="BB44" s="211"/>
      <c r="BC44" s="211">
        <f>BC37+BC39+BC40+BC41+BC42</f>
        <v>2310.5516563124065</v>
      </c>
      <c r="BD44" s="211"/>
      <c r="BE44" s="211">
        <f>BE37+BE39+BE40+BE41+BE42</f>
        <v>2436.2605599419103</v>
      </c>
      <c r="BF44" s="2101"/>
      <c r="BG44" s="211">
        <f>BG37+BG39+BG40+BG41+BG42</f>
        <v>2547.3384317954492</v>
      </c>
      <c r="BH44" s="376"/>
    </row>
    <row r="45" spans="1:60" ht="12.75">
      <c r="A45" s="158"/>
      <c r="B45" s="11"/>
      <c r="C45" s="181"/>
      <c r="D45" s="11"/>
      <c r="E45" s="182"/>
      <c r="F45" s="11"/>
      <c r="G45" s="182"/>
      <c r="H45" s="11"/>
      <c r="I45" s="182"/>
      <c r="J45" s="11"/>
      <c r="K45" s="182"/>
      <c r="L45" s="11"/>
      <c r="M45" s="184"/>
      <c r="N45" s="11"/>
      <c r="O45" s="86"/>
      <c r="P45" s="11"/>
      <c r="Q45" s="86"/>
      <c r="R45" s="11"/>
      <c r="S45" s="86"/>
      <c r="T45" s="11"/>
      <c r="U45" s="86"/>
      <c r="V45" s="11"/>
      <c r="W45" s="86"/>
      <c r="X45" s="11"/>
      <c r="Y45" s="582"/>
      <c r="Z45" s="11"/>
      <c r="AA45" s="86"/>
      <c r="AB45" s="377"/>
      <c r="AC45" s="86"/>
      <c r="AD45" s="17"/>
      <c r="AE45" s="86"/>
      <c r="AF45" s="17"/>
      <c r="AG45" s="86"/>
      <c r="AH45" s="17"/>
      <c r="AI45" s="86"/>
      <c r="AJ45" s="17"/>
      <c r="AK45" s="86"/>
      <c r="AL45" s="377"/>
      <c r="AM45" s="86"/>
      <c r="AN45" s="377"/>
      <c r="AO45" s="86"/>
      <c r="AP45" s="377"/>
      <c r="AQ45" s="86"/>
      <c r="AR45" s="377"/>
      <c r="AS45" s="86"/>
      <c r="AT45" s="86"/>
      <c r="AU45" s="86"/>
      <c r="AV45" s="86"/>
      <c r="AW45" s="86"/>
      <c r="AX45" s="377"/>
      <c r="AY45" s="86"/>
      <c r="AZ45" s="377"/>
      <c r="BA45" s="86"/>
      <c r="BB45" s="86"/>
      <c r="BC45" s="86"/>
      <c r="BD45" s="86"/>
      <c r="BE45" s="86"/>
      <c r="BF45" s="2102"/>
      <c r="BG45" s="86"/>
      <c r="BH45" s="86"/>
    </row>
    <row r="46" spans="1:60" ht="12.75">
      <c r="A46" s="17"/>
      <c r="B46" s="17"/>
      <c r="C46" s="17"/>
      <c r="D46" s="17"/>
      <c r="E46" s="18"/>
      <c r="F46" s="17"/>
      <c r="G46" s="18"/>
      <c r="H46" s="17"/>
      <c r="I46" s="18"/>
      <c r="J46" s="17"/>
      <c r="K46" s="18"/>
      <c r="L46" s="17"/>
      <c r="M46" s="58"/>
      <c r="N46" s="17"/>
      <c r="O46" s="17"/>
      <c r="P46" s="17"/>
      <c r="Q46" s="17"/>
      <c r="R46" s="17"/>
      <c r="S46" s="17"/>
      <c r="T46" s="17"/>
      <c r="U46" s="36"/>
      <c r="V46" s="17"/>
      <c r="W46" s="36"/>
      <c r="X46" s="17"/>
      <c r="Y46" s="501"/>
      <c r="Z46" s="17"/>
      <c r="AA46" s="17"/>
      <c r="AB46" s="17"/>
      <c r="AC46" s="17"/>
      <c r="AD46" s="17"/>
      <c r="AE46" s="17"/>
      <c r="AF46" s="17"/>
      <c r="AG46" s="17"/>
      <c r="AH46" s="17"/>
      <c r="AI46" s="17"/>
      <c r="AJ46" s="17"/>
      <c r="AK46" s="34"/>
      <c r="AL46" s="48"/>
      <c r="AM46" s="17"/>
      <c r="AN46" s="48"/>
      <c r="AO46" s="17"/>
      <c r="AP46" s="48"/>
      <c r="AQ46" s="17"/>
      <c r="AR46" s="48"/>
      <c r="AS46" s="17"/>
      <c r="AT46" s="17"/>
      <c r="AU46" s="17"/>
      <c r="AV46" s="17"/>
      <c r="AW46" s="17"/>
      <c r="AX46" s="17"/>
      <c r="AY46" s="17"/>
      <c r="AZ46" s="17"/>
      <c r="BA46" s="17"/>
      <c r="BB46" s="17"/>
      <c r="BC46" s="17"/>
      <c r="BD46" s="17"/>
      <c r="BE46" s="17"/>
      <c r="BF46" s="17"/>
      <c r="BG46" s="17"/>
      <c r="BH46" s="17"/>
    </row>
    <row r="47" spans="1:60" ht="12.75">
      <c r="A47" s="17"/>
      <c r="B47" s="17"/>
      <c r="C47" s="17"/>
      <c r="D47" s="17"/>
      <c r="E47" s="18"/>
      <c r="F47" s="17"/>
      <c r="G47" s="18"/>
      <c r="H47" s="17"/>
      <c r="I47" s="18"/>
      <c r="J47" s="17"/>
      <c r="K47" s="18"/>
      <c r="L47" s="17"/>
      <c r="M47" s="58"/>
      <c r="N47" s="17"/>
      <c r="O47" s="17"/>
      <c r="P47" s="17"/>
      <c r="Q47" s="17"/>
      <c r="R47" s="17"/>
      <c r="S47" s="17"/>
      <c r="T47" s="17"/>
      <c r="U47" s="17"/>
      <c r="V47" s="17"/>
      <c r="W47" s="36"/>
      <c r="X47" s="17"/>
      <c r="Y47" s="341"/>
      <c r="Z47" s="17"/>
      <c r="AA47" s="17"/>
      <c r="AB47" s="17"/>
      <c r="AC47" s="17"/>
      <c r="AD47" s="17"/>
      <c r="AE47" s="17"/>
      <c r="AF47" s="17"/>
      <c r="AG47" s="17"/>
      <c r="AH47" s="17"/>
      <c r="AI47" s="17"/>
      <c r="AJ47" s="17"/>
      <c r="AK47" s="17"/>
      <c r="AL47" s="17"/>
      <c r="AM47" s="17"/>
      <c r="AN47" s="17"/>
      <c r="AO47" s="17"/>
      <c r="AP47" s="48"/>
      <c r="AQ47" s="17"/>
      <c r="AR47" s="48"/>
      <c r="AS47" s="34"/>
      <c r="AT47" s="34"/>
      <c r="AU47" s="34"/>
      <c r="AV47" s="34"/>
      <c r="AW47" s="34"/>
      <c r="AX47" s="34"/>
      <c r="AY47" s="34"/>
      <c r="AZ47" s="34"/>
      <c r="BA47" s="34"/>
      <c r="BB47" s="34"/>
      <c r="BC47" s="34"/>
      <c r="BD47" s="34"/>
      <c r="BE47" s="34"/>
      <c r="BF47" s="34"/>
      <c r="BG47" s="34"/>
      <c r="BH47" s="34"/>
    </row>
    <row r="48" spans="1:60" ht="12.75">
      <c r="A48" s="17"/>
      <c r="B48" s="17"/>
      <c r="C48" s="17"/>
      <c r="D48" s="17"/>
      <c r="E48" s="18"/>
      <c r="F48" s="17"/>
      <c r="G48" s="18"/>
      <c r="H48" s="17"/>
      <c r="I48" s="18"/>
      <c r="J48" s="17"/>
      <c r="K48" s="18"/>
      <c r="L48" s="17"/>
      <c r="M48" s="58"/>
      <c r="N48" s="17"/>
      <c r="O48" s="17"/>
      <c r="P48" s="17"/>
      <c r="Q48" s="17"/>
      <c r="R48" s="17"/>
      <c r="S48" s="17"/>
      <c r="T48" s="17"/>
      <c r="U48" s="36"/>
      <c r="V48" s="36"/>
      <c r="W48" s="36"/>
      <c r="X48" s="17"/>
      <c r="Y48" s="341"/>
      <c r="Z48" s="17"/>
      <c r="AA48" s="17"/>
      <c r="AB48" s="17"/>
      <c r="AC48" s="17"/>
      <c r="AD48" s="17"/>
      <c r="AE48" s="17"/>
      <c r="AF48" s="17"/>
      <c r="AG48" s="17"/>
      <c r="AH48" s="17"/>
      <c r="AI48" s="17"/>
      <c r="AJ48" s="17"/>
      <c r="AK48" s="17"/>
      <c r="AL48" s="17"/>
      <c r="AM48" s="17"/>
      <c r="AN48" s="17"/>
      <c r="AO48" s="17"/>
      <c r="AP48" s="17"/>
      <c r="AQ48" s="17"/>
      <c r="AR48" s="17"/>
      <c r="AS48" s="17"/>
      <c r="AT48" s="17"/>
      <c r="AU48" s="17"/>
      <c r="AV48" s="17"/>
      <c r="AW48" s="17"/>
      <c r="AX48" s="17"/>
      <c r="AY48" s="17"/>
      <c r="AZ48" s="17"/>
      <c r="BA48" s="17"/>
      <c r="BB48" s="17"/>
      <c r="BC48" s="17"/>
      <c r="BD48" s="17"/>
      <c r="BE48" s="17"/>
      <c r="BF48" s="17"/>
      <c r="BG48" s="17"/>
      <c r="BH48" s="17"/>
    </row>
    <row r="49" spans="1:60" ht="12.75">
      <c r="A49" s="112" t="s">
        <v>572</v>
      </c>
      <c r="B49" s="17"/>
      <c r="C49" s="22"/>
      <c r="D49" s="17"/>
      <c r="E49" s="200"/>
      <c r="F49" s="201"/>
      <c r="G49" s="200"/>
      <c r="H49" s="17"/>
      <c r="I49" s="200"/>
      <c r="J49" s="17"/>
      <c r="K49" s="200"/>
      <c r="L49" s="17"/>
      <c r="M49" s="202"/>
      <c r="N49" s="17"/>
      <c r="O49" s="17"/>
      <c r="P49" s="17"/>
      <c r="Q49" s="17"/>
      <c r="R49" s="17"/>
      <c r="S49" s="17"/>
      <c r="T49" s="17"/>
      <c r="U49" s="17"/>
      <c r="V49" s="17"/>
      <c r="W49" s="17"/>
      <c r="X49" s="17"/>
      <c r="Y49" s="341"/>
      <c r="Z49" s="17"/>
      <c r="AA49" s="17"/>
      <c r="AB49" s="17"/>
      <c r="AC49" s="17"/>
      <c r="AD49" s="17"/>
      <c r="AE49" s="17"/>
      <c r="AF49" s="17"/>
      <c r="AG49" s="17"/>
      <c r="AH49" s="17"/>
      <c r="AI49" s="17"/>
      <c r="AJ49" s="17"/>
      <c r="AK49" s="17"/>
      <c r="AL49" s="17"/>
      <c r="AM49" s="17"/>
      <c r="AN49" s="17"/>
      <c r="AO49" s="17"/>
      <c r="AP49" s="17"/>
      <c r="AQ49" s="17"/>
      <c r="AR49" s="17"/>
      <c r="AS49" s="17"/>
      <c r="AT49" s="17"/>
      <c r="AU49" s="17"/>
      <c r="AV49" s="17"/>
      <c r="AW49" s="17"/>
      <c r="AX49" s="17"/>
      <c r="AY49" s="17"/>
      <c r="AZ49" s="17"/>
      <c r="BA49" s="17"/>
      <c r="BB49" s="17"/>
      <c r="BC49" s="17"/>
      <c r="BD49" s="17"/>
      <c r="BE49" s="17"/>
      <c r="BF49" s="17"/>
      <c r="BG49" s="17"/>
      <c r="BH49" s="17"/>
    </row>
    <row r="50" spans="1:60" ht="12.75">
      <c r="A50" s="283" t="s">
        <v>144</v>
      </c>
      <c r="B50" s="283"/>
      <c r="C50" s="742"/>
      <c r="D50" s="283"/>
      <c r="E50" s="743"/>
      <c r="F50" s="744"/>
      <c r="G50" s="743"/>
      <c r="H50" s="283"/>
      <c r="I50" s="743"/>
      <c r="J50" s="283"/>
      <c r="K50" s="743"/>
      <c r="L50" s="283"/>
      <c r="M50" s="282"/>
      <c r="N50" s="283"/>
      <c r="O50" s="283"/>
      <c r="P50" s="283"/>
      <c r="Q50" s="283"/>
      <c r="R50" s="283"/>
      <c r="S50" s="283"/>
      <c r="T50" s="283"/>
      <c r="U50" s="283"/>
      <c r="V50" s="283"/>
      <c r="W50" s="283" t="str">
        <f>IF(W44=W26,"",W44-W26)</f>
        <v/>
      </c>
      <c r="X50" s="283"/>
      <c r="Y50" s="283" t="str">
        <f>IF(Y44=Y26,"",Y44-Y26)</f>
        <v/>
      </c>
      <c r="Z50" s="283"/>
      <c r="AA50" s="283" t="str">
        <f>IF(AA44=AA26,"",AA44-AA26)</f>
        <v/>
      </c>
      <c r="AB50" s="283"/>
      <c r="AC50" s="283" t="str">
        <f>IF(AC44=AC26,"",AC44-AC26)</f>
        <v/>
      </c>
      <c r="AD50" s="745"/>
      <c r="AE50" s="283" t="str">
        <f>IF(AE44=AE26,"",AE44-AE26)</f>
        <v/>
      </c>
      <c r="AF50" s="745"/>
      <c r="AG50" s="283" t="str">
        <f>IF(AG44=AG26,"",AG44-AG26)</f>
        <v/>
      </c>
      <c r="AH50" s="745"/>
      <c r="AI50" s="283" t="str">
        <f>IF(AI44=AI26,"",AI44-AI26)</f>
        <v/>
      </c>
      <c r="AJ50" s="745"/>
      <c r="AK50" s="283" t="str">
        <f>IF(AK44=AK26,"",AK44-AK26)</f>
        <v/>
      </c>
      <c r="AL50" s="283"/>
      <c r="AM50" s="880" t="str">
        <f>IF(AM44=AM26,"",AM44-AM26)</f>
        <v/>
      </c>
      <c r="AN50" s="283"/>
      <c r="AO50" s="880">
        <f>IF(AO44=AO26,"",AO44-AO26)</f>
        <v>3.8600000000769796E-2</v>
      </c>
      <c r="AP50" s="283"/>
      <c r="AQ50" s="880">
        <f>IF(AQ44=AQ26,"",AQ44-AQ26)</f>
        <v>5.7600000000320506E-2</v>
      </c>
      <c r="AR50" s="283"/>
      <c r="AS50" s="880">
        <f t="shared" ref="AS50:AY50" si="1">IF(AS44=AS26,"",AS44-AS26)</f>
        <v>5.760000000054788E-2</v>
      </c>
      <c r="AT50" s="283" t="str">
        <f t="shared" si="1"/>
        <v/>
      </c>
      <c r="AU50" s="880">
        <f t="shared" si="1"/>
        <v>5.7600000000320506E-2</v>
      </c>
      <c r="AV50" s="283"/>
      <c r="AW50" s="284" t="str">
        <f t="shared" si="1"/>
        <v/>
      </c>
      <c r="AX50" s="283">
        <f t="shared" si="1"/>
        <v>1</v>
      </c>
      <c r="AY50" s="283" t="str">
        <f t="shared" si="1"/>
        <v/>
      </c>
      <c r="AZ50" s="283"/>
      <c r="BA50" s="283" t="str">
        <f>IF(BA44=BA26,"",BA44-BA26)</f>
        <v/>
      </c>
      <c r="BB50" s="283"/>
      <c r="BC50" s="283" t="str">
        <f>IF(BC44=BC26,"",BC44-BC26)</f>
        <v/>
      </c>
      <c r="BD50" s="283"/>
      <c r="BE50" s="283" t="str">
        <f>IF(BE44=BE26,"",BE44-BE26)</f>
        <v/>
      </c>
      <c r="BF50" s="283"/>
      <c r="BG50" s="283" t="str">
        <f>IF(BG44=BG26,"",BG44-BG26)</f>
        <v/>
      </c>
      <c r="BH50" s="283"/>
    </row>
    <row r="52" spans="1:60" ht="12.75">
      <c r="A52" s="11" t="s">
        <v>145</v>
      </c>
      <c r="B52" s="11"/>
      <c r="C52" s="160"/>
      <c r="D52" s="11"/>
      <c r="E52" s="161"/>
      <c r="F52" s="88"/>
      <c r="G52" s="161"/>
      <c r="H52" s="11"/>
      <c r="I52" s="282"/>
      <c r="J52" s="283"/>
      <c r="K52" s="282"/>
      <c r="L52" s="283"/>
      <c r="M52" s="284" t="str">
        <f>IF(M44=M26," ",M44-M26)</f>
        <v xml:space="preserve"> </v>
      </c>
      <c r="N52" s="283"/>
      <c r="O52" s="283" t="str">
        <f>IF(O44=O26," ",O44-O26)</f>
        <v xml:space="preserve"> </v>
      </c>
      <c r="P52" s="283"/>
      <c r="Q52" s="283" t="str">
        <f>IF(Q44=Q26," ",Q44-Q26)</f>
        <v xml:space="preserve"> </v>
      </c>
      <c r="R52" s="283"/>
      <c r="S52" s="283" t="str">
        <f>IF(S44=S26," ",S44-S26)</f>
        <v xml:space="preserve"> </v>
      </c>
      <c r="T52" s="11"/>
      <c r="U52" s="283" t="str">
        <f>IF(U44=U26," ",U44-U26)</f>
        <v xml:space="preserve"> </v>
      </c>
      <c r="V52" s="11"/>
      <c r="W52" s="283" t="str">
        <f>IF(W44=W26," ",W44-W26)</f>
        <v xml:space="preserve"> </v>
      </c>
      <c r="X52" s="11"/>
      <c r="Y52" s="586" t="str">
        <f>IF(Y44=Y26," ",Y44-Y26)</f>
        <v xml:space="preserve"> </v>
      </c>
      <c r="Z52" s="11"/>
      <c r="AA52" s="283" t="str">
        <f>IF(AA44=AA26," ",AA44-AA26)</f>
        <v xml:space="preserve"> </v>
      </c>
      <c r="AB52" s="283"/>
      <c r="AC52" s="283" t="str">
        <f>IF(AC44=AC26," ",AC44-AC26)</f>
        <v xml:space="preserve"> </v>
      </c>
      <c r="AD52" s="17"/>
      <c r="AE52" s="283" t="str">
        <f>IF(AE44=AE26," ",AE44-AE26)</f>
        <v xml:space="preserve"> </v>
      </c>
      <c r="AF52" s="17"/>
      <c r="AG52" s="283" t="str">
        <f>IF(AG44=AG26," ",AG44-AG26)</f>
        <v xml:space="preserve"> </v>
      </c>
      <c r="AH52" s="17"/>
      <c r="AI52" s="283" t="str">
        <f>IF(AI44=AI26," ",AI44-AI26)</f>
        <v xml:space="preserve"> </v>
      </c>
      <c r="AJ52" s="17"/>
      <c r="AK52" s="283" t="str">
        <f>IF(AK44=AK26," ",AK44-AK26)</f>
        <v xml:space="preserve"> </v>
      </c>
      <c r="AL52" s="283"/>
      <c r="AM52" s="283" t="str">
        <f>IF(AM44=AM26," ",AM44-AM26)</f>
        <v xml:space="preserve"> </v>
      </c>
      <c r="AN52" s="283"/>
      <c r="AO52" s="283">
        <f>IF(AO44=AO26," ",AO44-AO26)</f>
        <v>3.8600000000769796E-2</v>
      </c>
      <c r="AP52" s="283"/>
      <c r="AQ52" s="283">
        <f>IF(AQ44=AQ26," ",AQ44-AQ26)</f>
        <v>5.7600000000320506E-2</v>
      </c>
      <c r="AR52" s="283"/>
      <c r="AS52" s="283">
        <f t="shared" ref="AS52:AY52" si="2">IF(AS44=AS26," ",AS44-AS26)</f>
        <v>5.760000000054788E-2</v>
      </c>
      <c r="AT52" s="283" t="str">
        <f t="shared" si="2"/>
        <v xml:space="preserve"> </v>
      </c>
      <c r="AU52" s="283">
        <f t="shared" si="2"/>
        <v>5.7600000000320506E-2</v>
      </c>
      <c r="AV52" s="283"/>
      <c r="AW52" s="283" t="str">
        <f t="shared" si="2"/>
        <v xml:space="preserve"> </v>
      </c>
      <c r="AX52" s="283">
        <f t="shared" si="2"/>
        <v>1</v>
      </c>
      <c r="AY52" s="283" t="str">
        <f t="shared" si="2"/>
        <v xml:space="preserve"> </v>
      </c>
      <c r="AZ52" s="283"/>
      <c r="BA52" s="283" t="str">
        <f>IF(BA44=BA26," ",BA44-BA26)</f>
        <v xml:space="preserve"> </v>
      </c>
      <c r="BB52" s="283"/>
      <c r="BC52" s="283" t="str">
        <f>IF(BC44=BC26," ",BC44-BC26)</f>
        <v xml:space="preserve"> </v>
      </c>
      <c r="BD52" s="283"/>
      <c r="BE52" s="283" t="str">
        <f>IF(BE44=BE26," ",BE44-BE26)</f>
        <v xml:space="preserve"> </v>
      </c>
      <c r="BF52" s="283"/>
      <c r="BG52" s="283" t="str">
        <f>IF(BG44=BG26," ",BG44-BG26)</f>
        <v xml:space="preserve"> </v>
      </c>
      <c r="BH52" s="283"/>
    </row>
    <row r="53" spans="1:60" ht="12.75">
      <c r="A53" s="158" t="s">
        <v>121</v>
      </c>
      <c r="B53" s="11"/>
      <c r="C53" s="186"/>
      <c r="D53" s="11"/>
      <c r="E53" s="167"/>
      <c r="F53" s="167"/>
      <c r="G53" s="167"/>
      <c r="H53" s="88"/>
      <c r="I53" s="167"/>
      <c r="J53" s="88"/>
      <c r="K53" s="167"/>
      <c r="L53" s="88"/>
      <c r="M53" s="187"/>
      <c r="N53" s="88"/>
      <c r="O53" s="11"/>
      <c r="P53" s="11"/>
      <c r="Q53" s="11"/>
      <c r="R53" s="11"/>
      <c r="S53" s="11"/>
      <c r="T53" s="11"/>
      <c r="U53" s="11"/>
      <c r="V53" s="11"/>
      <c r="W53" s="11"/>
      <c r="X53" s="11"/>
      <c r="Y53" s="110"/>
      <c r="Z53" s="11"/>
      <c r="AA53" s="11"/>
      <c r="AB53" s="11"/>
      <c r="AC53" s="11"/>
      <c r="AD53" s="17"/>
      <c r="AE53" s="11"/>
      <c r="AF53" s="17"/>
      <c r="AG53" s="11"/>
      <c r="AH53" s="17"/>
      <c r="AI53" s="11"/>
      <c r="AJ53" s="17"/>
      <c r="AK53" s="11"/>
      <c r="AL53" s="11"/>
      <c r="AM53" s="11"/>
      <c r="AN53" s="11"/>
      <c r="AO53" s="11"/>
      <c r="AP53" s="11"/>
      <c r="AQ53" s="11"/>
      <c r="AR53" s="11"/>
      <c r="AS53" s="11"/>
      <c r="AT53" s="11"/>
      <c r="AU53" s="11"/>
      <c r="AV53" s="11"/>
      <c r="AW53" s="11"/>
      <c r="AX53" s="11"/>
      <c r="AY53" s="11"/>
      <c r="AZ53" s="11"/>
      <c r="BA53" s="11"/>
      <c r="BB53" s="11"/>
      <c r="BC53" s="11"/>
      <c r="BD53" s="11"/>
      <c r="BE53" s="11"/>
      <c r="BF53" s="11"/>
      <c r="BG53" s="11"/>
      <c r="BH53" s="11"/>
    </row>
    <row r="54" spans="1:60" ht="12.75">
      <c r="A54" s="158" t="s">
        <v>192</v>
      </c>
      <c r="B54" s="11"/>
      <c r="C54" s="186"/>
      <c r="D54" s="11"/>
      <c r="E54" s="167"/>
      <c r="F54" s="167"/>
      <c r="G54" s="167"/>
      <c r="H54" s="88"/>
      <c r="I54" s="167"/>
      <c r="J54" s="88"/>
      <c r="K54" s="176">
        <f>flow!I45+flow!I46</f>
        <v>2.0329999999999999</v>
      </c>
      <c r="L54" s="176"/>
      <c r="M54" s="176">
        <f>flow!K45+flow!K46</f>
        <v>2.6760000000000002</v>
      </c>
      <c r="N54" s="176"/>
      <c r="O54" s="176">
        <f>flow!M45+flow!M46</f>
        <v>-12.147999999999998</v>
      </c>
      <c r="P54" s="176"/>
      <c r="Q54" s="176">
        <f>flow!O45+flow!O46</f>
        <v>13.317</v>
      </c>
      <c r="R54" s="176"/>
      <c r="S54" s="176">
        <f>flow!Q45+flow!Q46</f>
        <v>-17.635999999999999</v>
      </c>
      <c r="T54" s="176"/>
      <c r="U54" s="176">
        <f>flow!S45+flow!S46</f>
        <v>0.45000000000000007</v>
      </c>
      <c r="V54" s="176"/>
      <c r="W54" s="176">
        <f>flow!U45+flow!U46</f>
        <v>57.533000000000001</v>
      </c>
      <c r="X54" s="176"/>
      <c r="Y54" s="176">
        <f>flow!W45+flow!W46</f>
        <v>-123.297</v>
      </c>
      <c r="Z54" s="176"/>
      <c r="AA54" s="176">
        <f>flow!Y45+flow!Y46</f>
        <v>-125.786</v>
      </c>
      <c r="AB54" s="176"/>
      <c r="AC54" s="176">
        <f>flow!AA45+flow!AA46</f>
        <v>-431.262</v>
      </c>
      <c r="AD54" s="176"/>
      <c r="AE54" s="176">
        <f>flow!AC45+flow!AC46</f>
        <v>1.06</v>
      </c>
      <c r="AF54" s="176"/>
      <c r="AG54" s="176">
        <f>flow!AE45+flow!AE46</f>
        <v>10.195</v>
      </c>
      <c r="AH54" s="176"/>
      <c r="AI54" s="176">
        <f>flow!AG45+flow!AG46</f>
        <v>-220.774</v>
      </c>
      <c r="AJ54" s="176"/>
      <c r="AK54" s="176">
        <f>flow!AI45+flow!AI46</f>
        <v>-11.878</v>
      </c>
      <c r="AL54" s="176"/>
      <c r="AM54" s="176">
        <f>flow!AK45+flow!AK46</f>
        <v>-87.999000000000009</v>
      </c>
      <c r="AN54" s="176"/>
      <c r="AO54" s="176">
        <f>flow!AM45+flow!AM46</f>
        <v>-47.499600000000001</v>
      </c>
      <c r="AP54" s="176"/>
      <c r="AQ54" s="176">
        <f>flow!AO45+flow!AO46</f>
        <v>0.58300000000000018</v>
      </c>
      <c r="AR54" s="176"/>
      <c r="AS54" s="176">
        <f>flow!AQ45+flow!AQ46</f>
        <v>-224.29400000000001</v>
      </c>
      <c r="AT54" s="176"/>
      <c r="AU54" s="176">
        <f>flow!AS45+flow!AS46</f>
        <v>9.9910000000000032</v>
      </c>
      <c r="AV54" s="176"/>
      <c r="AW54" s="176">
        <f>flow!AU45+flow!AU46</f>
        <v>-70.977000000000004</v>
      </c>
      <c r="AY54" s="176">
        <f>flow!AW45+flow!AW46</f>
        <v>-30.476999999999997</v>
      </c>
      <c r="AZ54" s="176"/>
      <c r="BA54" s="176">
        <f>flow!AY45+flow!AY46</f>
        <v>-42.976999999999997</v>
      </c>
      <c r="BB54" s="176"/>
      <c r="BC54" s="176">
        <f>flow!BA45+flow!BA46</f>
        <v>-42.976999999999997</v>
      </c>
      <c r="BD54" s="176"/>
      <c r="BE54" s="176">
        <f>flow!BC45+flow!BC46</f>
        <v>-42.976999999999997</v>
      </c>
      <c r="BF54" s="176"/>
      <c r="BG54" s="176">
        <f>flow!BE45+flow!BE46</f>
        <v>-42.976999999999997</v>
      </c>
      <c r="BH54" s="176"/>
    </row>
    <row r="55" spans="1:60" ht="12.75">
      <c r="A55" s="158" t="s">
        <v>128</v>
      </c>
      <c r="B55" s="11"/>
      <c r="C55" s="186"/>
      <c r="D55" s="11"/>
      <c r="E55" s="167"/>
      <c r="F55" s="167"/>
      <c r="G55" s="167"/>
      <c r="H55" s="88"/>
      <c r="I55" s="167"/>
      <c r="J55" s="88"/>
      <c r="K55" s="167">
        <v>0</v>
      </c>
      <c r="L55" s="167">
        <v>0</v>
      </c>
      <c r="M55" s="167">
        <v>0</v>
      </c>
      <c r="N55" s="167">
        <v>0</v>
      </c>
      <c r="O55" s="167">
        <v>0</v>
      </c>
      <c r="P55" s="167">
        <v>0</v>
      </c>
      <c r="Q55" s="167">
        <v>0</v>
      </c>
      <c r="R55" s="167">
        <v>0</v>
      </c>
      <c r="S55" s="167">
        <v>0</v>
      </c>
      <c r="T55" s="167">
        <v>0</v>
      </c>
      <c r="U55" s="167">
        <v>0</v>
      </c>
      <c r="V55" s="167">
        <v>0</v>
      </c>
      <c r="W55" s="167">
        <v>0</v>
      </c>
      <c r="X55" s="167">
        <v>0</v>
      </c>
      <c r="Y55" s="167">
        <v>0</v>
      </c>
      <c r="Z55" s="167">
        <v>0</v>
      </c>
      <c r="AA55" s="167">
        <v>0</v>
      </c>
      <c r="AB55" s="167">
        <v>0</v>
      </c>
      <c r="AC55" s="167">
        <v>0</v>
      </c>
      <c r="AD55" s="167">
        <v>0</v>
      </c>
      <c r="AE55" s="167">
        <v>0</v>
      </c>
      <c r="AF55" s="167">
        <v>0</v>
      </c>
      <c r="AG55" s="167">
        <v>0</v>
      </c>
      <c r="AH55" s="167">
        <v>0</v>
      </c>
      <c r="AI55" s="167">
        <v>0</v>
      </c>
      <c r="AJ55" s="167">
        <v>0</v>
      </c>
      <c r="AK55" s="167">
        <v>0</v>
      </c>
      <c r="AL55" s="167">
        <v>0</v>
      </c>
      <c r="AM55" s="167">
        <v>0</v>
      </c>
      <c r="AN55" s="167"/>
      <c r="AO55" s="167">
        <v>0</v>
      </c>
      <c r="AP55" s="167"/>
      <c r="AQ55" s="167">
        <v>0</v>
      </c>
      <c r="AR55" s="167"/>
      <c r="AS55" s="167">
        <v>0</v>
      </c>
      <c r="AT55" s="167"/>
      <c r="AU55" s="167">
        <v>0</v>
      </c>
      <c r="AV55" s="167"/>
      <c r="AW55" s="167">
        <v>0</v>
      </c>
      <c r="AX55" s="167"/>
      <c r="AY55" s="167">
        <v>0</v>
      </c>
      <c r="AZ55" s="167"/>
      <c r="BA55" s="167">
        <v>0</v>
      </c>
      <c r="BB55" s="167"/>
      <c r="BC55" s="167">
        <v>0</v>
      </c>
      <c r="BD55" s="167"/>
      <c r="BE55" s="167">
        <v>0</v>
      </c>
      <c r="BF55" s="167"/>
      <c r="BG55" s="167">
        <v>0</v>
      </c>
      <c r="BH55" s="167"/>
    </row>
    <row r="56" spans="1:60" ht="12.75">
      <c r="A56" s="158" t="s">
        <v>382</v>
      </c>
      <c r="B56" s="11"/>
      <c r="C56" s="186"/>
      <c r="D56" s="11"/>
      <c r="E56" s="167"/>
      <c r="F56" s="167"/>
      <c r="G56" s="167"/>
      <c r="H56" s="88"/>
      <c r="I56" s="167"/>
      <c r="J56" s="88"/>
      <c r="K56" s="167">
        <f>-flow!I50</f>
        <v>0</v>
      </c>
      <c r="L56" s="167">
        <f>-flow!J50</f>
        <v>0</v>
      </c>
      <c r="M56" s="167">
        <f>-flow!K50</f>
        <v>0</v>
      </c>
      <c r="N56" s="167">
        <f>-flow!L50</f>
        <v>0</v>
      </c>
      <c r="O56" s="167">
        <f>-flow!M50</f>
        <v>0</v>
      </c>
      <c r="P56" s="167">
        <f>-flow!N50</f>
        <v>0</v>
      </c>
      <c r="Q56" s="167">
        <f>-flow!O50</f>
        <v>0</v>
      </c>
      <c r="R56" s="167">
        <f>-flow!P50</f>
        <v>0</v>
      </c>
      <c r="S56" s="167">
        <f>-flow!Q50</f>
        <v>0</v>
      </c>
      <c r="T56" s="167">
        <f>-flow!R50</f>
        <v>0</v>
      </c>
      <c r="U56" s="167">
        <f>-flow!S50</f>
        <v>0</v>
      </c>
      <c r="V56" s="167">
        <f>-flow!T50</f>
        <v>0</v>
      </c>
      <c r="W56" s="167">
        <f>-flow!U50</f>
        <v>8.8409999999999993</v>
      </c>
      <c r="X56" s="167">
        <f>-flow!V50</f>
        <v>0</v>
      </c>
      <c r="Y56" s="167">
        <f>-flow!W50</f>
        <v>42.058</v>
      </c>
      <c r="Z56" s="167">
        <f>-flow!X50</f>
        <v>0</v>
      </c>
      <c r="AA56" s="167">
        <f>-flow!Y50</f>
        <v>61.521000000000001</v>
      </c>
      <c r="AB56" s="167">
        <f>-flow!Z50</f>
        <v>0</v>
      </c>
      <c r="AC56" s="167">
        <f>-flow!AA50</f>
        <v>80.796000000000006</v>
      </c>
      <c r="AD56" s="167">
        <f>-flow!AB50</f>
        <v>0</v>
      </c>
      <c r="AE56" s="167">
        <f>-flow!AC50</f>
        <v>82.394000000000005</v>
      </c>
      <c r="AF56" s="167">
        <f>-flow!AD50</f>
        <v>0</v>
      </c>
      <c r="AG56" s="167">
        <f>-flow!AE50</f>
        <v>82.984999999999999</v>
      </c>
      <c r="AH56" s="167">
        <f>-flow!AF50</f>
        <v>0</v>
      </c>
      <c r="AI56" s="167">
        <f>-flow!AG50</f>
        <v>183.166</v>
      </c>
      <c r="AJ56" s="167">
        <f>-flow!AH50</f>
        <v>0</v>
      </c>
      <c r="AK56" s="167">
        <f>-flow!AI50</f>
        <v>85.591999999999999</v>
      </c>
      <c r="AL56" s="167">
        <f>-flow!AJ50</f>
        <v>0</v>
      </c>
      <c r="AM56" s="167">
        <f>-flow!AK50</f>
        <v>403.49</v>
      </c>
      <c r="AN56" s="167"/>
      <c r="AO56" s="167">
        <f>-flow!AM50</f>
        <v>72.28</v>
      </c>
      <c r="AP56" s="167"/>
      <c r="AQ56" s="167">
        <f>-flow!AO50</f>
        <v>97.224000000000004</v>
      </c>
      <c r="AR56" s="167"/>
      <c r="AS56" s="167">
        <f>-flow!AQ50</f>
        <v>97.236999999999995</v>
      </c>
      <c r="AT56" s="167"/>
      <c r="AU56" s="167">
        <f>-flow!AS50</f>
        <v>90.68</v>
      </c>
      <c r="AV56" s="167"/>
      <c r="AW56" s="167">
        <f>-flow!AU50</f>
        <v>90.078000000000003</v>
      </c>
      <c r="AX56" s="167"/>
      <c r="AY56" s="167">
        <f>-flow!AW50</f>
        <v>98.141450000000006</v>
      </c>
      <c r="AZ56" s="167"/>
      <c r="BA56" s="167">
        <f>-flow!AY50</f>
        <v>97.591450000000009</v>
      </c>
      <c r="BB56" s="167"/>
      <c r="BC56" s="167">
        <f>-flow!BA50</f>
        <v>97.041449999999998</v>
      </c>
      <c r="BD56" s="167"/>
      <c r="BE56" s="167">
        <f>-flow!BC50</f>
        <v>96.49145</v>
      </c>
      <c r="BF56" s="167"/>
      <c r="BG56" s="167">
        <f>-flow!BE50</f>
        <v>95.941450000000003</v>
      </c>
      <c r="BH56" s="167"/>
    </row>
    <row r="57" spans="1:60" ht="12.75">
      <c r="A57" s="158" t="s">
        <v>122</v>
      </c>
      <c r="B57" s="11"/>
      <c r="C57" s="186"/>
      <c r="D57" s="11"/>
      <c r="E57" s="167"/>
      <c r="F57" s="167"/>
      <c r="G57" s="167"/>
      <c r="H57" s="88"/>
      <c r="I57" s="167"/>
      <c r="J57" s="88"/>
      <c r="K57" s="167" t="s">
        <v>126</v>
      </c>
      <c r="L57" s="167"/>
      <c r="M57" s="167" t="s">
        <v>126</v>
      </c>
      <c r="N57" s="167"/>
      <c r="O57" s="167" t="s">
        <v>126</v>
      </c>
      <c r="P57" s="167"/>
      <c r="Q57" s="167" t="s">
        <v>126</v>
      </c>
      <c r="R57" s="167"/>
      <c r="S57" s="167" t="s">
        <v>126</v>
      </c>
      <c r="T57" s="167"/>
      <c r="U57" s="167" t="s">
        <v>126</v>
      </c>
      <c r="V57" s="167"/>
      <c r="W57" s="167" t="s">
        <v>126</v>
      </c>
      <c r="X57" s="167"/>
      <c r="Y57" s="167" t="s">
        <v>126</v>
      </c>
      <c r="Z57" s="167"/>
      <c r="AA57" s="167" t="s">
        <v>126</v>
      </c>
      <c r="AB57" s="167"/>
      <c r="AC57" s="167" t="s">
        <v>126</v>
      </c>
      <c r="AD57" s="167"/>
      <c r="AE57" s="167" t="s">
        <v>126</v>
      </c>
      <c r="AF57" s="167"/>
      <c r="AG57" s="167" t="s">
        <v>126</v>
      </c>
      <c r="AH57" s="167"/>
      <c r="AI57" s="167" t="s">
        <v>126</v>
      </c>
      <c r="AJ57" s="167"/>
      <c r="AK57" s="167" t="s">
        <v>126</v>
      </c>
      <c r="AL57" s="167"/>
      <c r="AM57" s="167" t="s">
        <v>126</v>
      </c>
      <c r="AN57" s="167"/>
      <c r="AO57" s="167" t="s">
        <v>126</v>
      </c>
      <c r="AP57" s="167"/>
      <c r="AQ57" s="167" t="s">
        <v>126</v>
      </c>
      <c r="AR57" s="167"/>
      <c r="AS57" s="167" t="s">
        <v>126</v>
      </c>
      <c r="AT57" s="167"/>
      <c r="AU57" s="167" t="s">
        <v>126</v>
      </c>
      <c r="AV57" s="167"/>
      <c r="AW57" s="167" t="s">
        <v>126</v>
      </c>
      <c r="AX57" s="167"/>
      <c r="AY57" s="167" t="s">
        <v>126</v>
      </c>
      <c r="AZ57" s="167"/>
      <c r="BA57" s="167" t="s">
        <v>126</v>
      </c>
      <c r="BB57" s="167"/>
      <c r="BC57" s="167" t="s">
        <v>126</v>
      </c>
      <c r="BD57" s="167"/>
      <c r="BE57" s="167" t="s">
        <v>126</v>
      </c>
      <c r="BF57" s="167"/>
      <c r="BG57" s="167" t="s">
        <v>126</v>
      </c>
      <c r="BH57" s="167"/>
    </row>
    <row r="58" spans="1:60" ht="12.75">
      <c r="A58" s="158" t="s">
        <v>125</v>
      </c>
      <c r="B58" s="17"/>
      <c r="C58" s="17"/>
      <c r="D58" s="17"/>
      <c r="E58" s="18"/>
      <c r="F58" s="17"/>
      <c r="G58" s="18"/>
      <c r="H58" s="17"/>
      <c r="I58" s="18"/>
      <c r="J58" s="17"/>
      <c r="K58" s="167" t="s">
        <v>126</v>
      </c>
      <c r="L58" s="167"/>
      <c r="M58" s="167" t="s">
        <v>126</v>
      </c>
      <c r="N58" s="167"/>
      <c r="O58" s="167" t="s">
        <v>126</v>
      </c>
      <c r="P58" s="167"/>
      <c r="Q58" s="167" t="s">
        <v>126</v>
      </c>
      <c r="R58" s="167"/>
      <c r="S58" s="167" t="s">
        <v>126</v>
      </c>
      <c r="T58" s="167"/>
      <c r="U58" s="167" t="s">
        <v>126</v>
      </c>
      <c r="V58" s="167"/>
      <c r="W58" s="167" t="s">
        <v>126</v>
      </c>
      <c r="X58" s="167"/>
      <c r="Y58" s="167" t="s">
        <v>126</v>
      </c>
      <c r="Z58" s="167"/>
      <c r="AA58" s="167" t="s">
        <v>126</v>
      </c>
      <c r="AB58" s="167"/>
      <c r="AC58" s="167" t="s">
        <v>126</v>
      </c>
      <c r="AD58" s="167"/>
      <c r="AE58" s="167" t="s">
        <v>126</v>
      </c>
      <c r="AF58" s="167"/>
      <c r="AG58" s="167" t="s">
        <v>126</v>
      </c>
      <c r="AH58" s="167"/>
      <c r="AI58" s="167" t="s">
        <v>126</v>
      </c>
      <c r="AJ58" s="167"/>
      <c r="AK58" s="167" t="s">
        <v>126</v>
      </c>
      <c r="AL58" s="167"/>
      <c r="AM58" s="167" t="s">
        <v>126</v>
      </c>
      <c r="AN58" s="167"/>
      <c r="AO58" s="167" t="s">
        <v>126</v>
      </c>
      <c r="AP58" s="167"/>
      <c r="AQ58" s="167" t="s">
        <v>126</v>
      </c>
      <c r="AR58" s="167"/>
      <c r="AS58" s="167" t="s">
        <v>126</v>
      </c>
      <c r="AT58" s="167"/>
      <c r="AU58" s="167" t="s">
        <v>126</v>
      </c>
      <c r="AV58" s="167"/>
      <c r="AW58" s="167" t="s">
        <v>126</v>
      </c>
      <c r="AX58" s="167"/>
      <c r="AY58" s="167" t="s">
        <v>126</v>
      </c>
      <c r="AZ58" s="167"/>
      <c r="BA58" s="167" t="s">
        <v>126</v>
      </c>
      <c r="BB58" s="167"/>
      <c r="BC58" s="167" t="s">
        <v>126</v>
      </c>
      <c r="BD58" s="167"/>
      <c r="BE58" s="167" t="s">
        <v>126</v>
      </c>
      <c r="BF58" s="167"/>
      <c r="BG58" s="167" t="s">
        <v>126</v>
      </c>
      <c r="BH58" s="167"/>
    </row>
    <row r="59" spans="1:60" ht="12.75" outlineLevel="1">
      <c r="A59" s="503" t="s">
        <v>600</v>
      </c>
      <c r="B59" s="503"/>
      <c r="C59" s="504"/>
      <c r="D59" s="503"/>
      <c r="E59" s="505"/>
      <c r="F59" s="503"/>
      <c r="G59" s="506"/>
      <c r="H59" s="503"/>
      <c r="I59" s="506"/>
      <c r="J59" s="503"/>
      <c r="K59" s="506"/>
      <c r="L59" s="503"/>
      <c r="M59" s="507">
        <f>M8/'yrP&amp;L'!F59</f>
        <v>0.34914447499076773</v>
      </c>
      <c r="N59" s="508"/>
      <c r="O59" s="507">
        <f>O8/'yrP&amp;L'!G59</f>
        <v>0.61667498475017979</v>
      </c>
      <c r="P59" s="508"/>
      <c r="Q59" s="507">
        <f>Q8/'yrP&amp;L'!H59</f>
        <v>0.81483890492386812</v>
      </c>
      <c r="R59" s="508"/>
      <c r="S59" s="507">
        <f>S8/'yrP&amp;L'!I59</f>
        <v>0.89089485181979367</v>
      </c>
      <c r="T59" s="508"/>
      <c r="U59" s="507">
        <f>U8/'yrP&amp;L'!J59</f>
        <v>0.39652665254061281</v>
      </c>
      <c r="V59" s="508"/>
      <c r="W59" s="507">
        <f>W8/'yrP&amp;L'!K59</f>
        <v>0.97340326402385513</v>
      </c>
      <c r="X59" s="508"/>
      <c r="Y59" s="507">
        <f>Y8/'yrP&amp;L'!L59</f>
        <v>0.56013577592680852</v>
      </c>
      <c r="Z59" s="508"/>
      <c r="AA59" s="507">
        <f>AA8/'yrP&amp;L'!M59</f>
        <v>0.26156385736303706</v>
      </c>
      <c r="AB59" s="507"/>
      <c r="AC59" s="507">
        <f>AC8/'yrP&amp;L'!N59</f>
        <v>0.52687942618485395</v>
      </c>
      <c r="AD59" s="509"/>
      <c r="AE59" s="507">
        <f>AE8/'yrP&amp;L'!O59</f>
        <v>2.2802651482305776</v>
      </c>
      <c r="AF59" s="509"/>
      <c r="AG59" s="507">
        <f>AG8/'yrP&amp;L'!P59</f>
        <v>3.3122685096796354</v>
      </c>
      <c r="AH59" s="509"/>
      <c r="AI59" s="507">
        <f>AI8/'yrP&amp;L'!Q59</f>
        <v>3.3078962233299301</v>
      </c>
      <c r="AJ59" s="509"/>
      <c r="AK59" s="507">
        <f>AK8/'yrP&amp;L'!R59</f>
        <v>3.6659623058709032</v>
      </c>
      <c r="AL59" s="507"/>
      <c r="AM59" s="507">
        <f>AM8/'yrP&amp;L'!S59</f>
        <v>2.5371589465028763</v>
      </c>
      <c r="AN59" s="507"/>
      <c r="AO59" s="507">
        <f>AO8/'yrP&amp;L'!T59</f>
        <v>2.1539755752667422</v>
      </c>
      <c r="AP59" s="507"/>
      <c r="AQ59" s="507">
        <f>AQ8/'yrP&amp;L'!V59</f>
        <v>2.0925686797087182</v>
      </c>
      <c r="AR59" s="507"/>
      <c r="AS59" s="507">
        <f>AS8/'yrP&amp;L'!V59</f>
        <v>1.3249764315597954</v>
      </c>
      <c r="AT59" s="507">
        <f>AT8/'yrP&amp;L'!W59</f>
        <v>0</v>
      </c>
      <c r="AU59" s="507">
        <f>AU8/'yrP&amp;L'!X59</f>
        <v>2.1012644596904884</v>
      </c>
      <c r="AV59" s="507"/>
      <c r="AW59" s="507">
        <f>AW8/'yrP&amp;L'!X59</f>
        <v>2.2958602544461431</v>
      </c>
      <c r="AX59" s="507"/>
      <c r="AY59" s="507">
        <f>AY8/'yrP&amp;L'!Y59</f>
        <v>3.1329071469711267</v>
      </c>
      <c r="AZ59" s="507"/>
      <c r="BA59" s="507"/>
      <c r="BB59" s="507"/>
      <c r="BC59" s="507"/>
      <c r="BD59" s="507"/>
      <c r="BE59" s="507"/>
      <c r="BF59" s="507"/>
      <c r="BG59" s="507"/>
      <c r="BH59" s="507"/>
    </row>
    <row r="60" spans="1:60" ht="13.5" customHeight="1" outlineLevel="1">
      <c r="A60" s="503" t="s">
        <v>670</v>
      </c>
      <c r="B60" s="503"/>
      <c r="C60" s="510"/>
      <c r="D60" s="503"/>
      <c r="E60" s="511"/>
      <c r="F60" s="503"/>
      <c r="G60" s="511"/>
      <c r="H60" s="503"/>
      <c r="I60" s="511"/>
      <c r="J60" s="503"/>
      <c r="K60" s="511"/>
      <c r="L60" s="503"/>
      <c r="M60" s="513">
        <f>(M8+M9)/'yrP&amp;L'!F59</f>
        <v>0.76818076128732249</v>
      </c>
      <c r="N60" s="503"/>
      <c r="O60" s="513">
        <f>(O8+O9)/'yrP&amp;L'!G59</f>
        <v>0.74573005046303953</v>
      </c>
      <c r="P60" s="503"/>
      <c r="Q60" s="513">
        <f>(Q8+Q9)/'yrP&amp;L'!H59</f>
        <v>1.0184831361708475</v>
      </c>
      <c r="R60" s="503"/>
      <c r="S60" s="513">
        <f>(S8+S9)/'yrP&amp;L'!I59</f>
        <v>1.1063618335783545</v>
      </c>
      <c r="T60" s="503"/>
      <c r="U60" s="513">
        <f>(U8+U9)/'yrP&amp;L'!J59</f>
        <v>1.5594609940864463</v>
      </c>
      <c r="V60" s="503"/>
      <c r="W60" s="513">
        <f>(W8+W9)/'yrP&amp;L'!K59</f>
        <v>2.616219837952487</v>
      </c>
      <c r="X60" s="503"/>
      <c r="Y60" s="513">
        <f>(Y8+Y9)/'yrP&amp;L'!L59</f>
        <v>3.2249700683600042</v>
      </c>
      <c r="Z60" s="503"/>
      <c r="AA60" s="513">
        <f>(AA8+AA9)/'yrP&amp;L'!M59</f>
        <v>3.6215890780439954</v>
      </c>
      <c r="AB60" s="513"/>
      <c r="AC60" s="513">
        <f>(AC8+AC9)/'yrP&amp;L'!N59</f>
        <v>2.8143226802251662</v>
      </c>
      <c r="AD60" s="509"/>
      <c r="AE60" s="513">
        <f>(AE8+AE9)/'yrP&amp;L'!O59</f>
        <v>2.3309005597787853</v>
      </c>
      <c r="AF60" s="509"/>
      <c r="AG60" s="513">
        <f>(AG8+AG9)/'yrP&amp;L'!P59</f>
        <v>3.3345822673641594</v>
      </c>
      <c r="AH60" s="509"/>
      <c r="AI60" s="513">
        <f>(AI8+AI9)/'yrP&amp;L'!Q59</f>
        <v>3.6403839102557738</v>
      </c>
      <c r="AJ60" s="509"/>
      <c r="AK60" s="513">
        <f>(AK8+AK9)/'yrP&amp;L'!R59</f>
        <v>3.7958754771630421</v>
      </c>
      <c r="AL60" s="513"/>
      <c r="AM60" s="513">
        <f>(AM8+AM9)/'yrP&amp;L'!S59</f>
        <v>3.1445045224628099</v>
      </c>
      <c r="AN60" s="513"/>
      <c r="AO60" s="513">
        <f>(AO8+AO9)/'yrP&amp;L'!T59</f>
        <v>2.2054063504306449</v>
      </c>
      <c r="AP60" s="513"/>
      <c r="AQ60" s="513">
        <f>(AQ8+AQ9)/'yrP&amp;L'!V59</f>
        <v>2.0925686797087182</v>
      </c>
      <c r="AR60" s="513"/>
      <c r="AS60" s="513">
        <f>(AS8+AS9)/'yrP&amp;L'!V59</f>
        <v>1.3249764315597954</v>
      </c>
      <c r="AT60" s="513">
        <f>(AT8+AT9)/'yrP&amp;L'!W59</f>
        <v>0</v>
      </c>
      <c r="AU60" s="513">
        <f>(AU8+AU9)/'yrP&amp;L'!X59</f>
        <v>2.1012644596904884</v>
      </c>
      <c r="AV60" s="513"/>
      <c r="AW60" s="513">
        <f>(AW8+AW9)/'yrP&amp;L'!X59</f>
        <v>2.2958602544461431</v>
      </c>
      <c r="AX60" s="513"/>
      <c r="AY60" s="513">
        <f>(AY8+AY9)/'yrP&amp;L'!Y59</f>
        <v>3.1329071469711267</v>
      </c>
      <c r="AZ60" s="513"/>
      <c r="BA60" s="513"/>
      <c r="BB60" s="513"/>
      <c r="BC60" s="513"/>
      <c r="BD60" s="513"/>
      <c r="BE60" s="513"/>
      <c r="BF60" s="513"/>
      <c r="BG60" s="513"/>
      <c r="BH60" s="513"/>
    </row>
    <row r="61" spans="1:60" ht="13.5" customHeight="1" outlineLevel="1">
      <c r="A61" s="503"/>
      <c r="B61" s="503"/>
      <c r="C61" s="510"/>
      <c r="D61" s="503"/>
      <c r="E61" s="511"/>
      <c r="F61" s="503"/>
      <c r="G61" s="511"/>
      <c r="H61" s="503"/>
      <c r="I61" s="511"/>
      <c r="J61" s="503"/>
      <c r="K61" s="511"/>
      <c r="L61" s="503"/>
      <c r="M61" s="512"/>
      <c r="N61" s="503"/>
      <c r="O61" s="513"/>
      <c r="P61" s="503"/>
      <c r="Q61" s="513"/>
      <c r="R61" s="503"/>
      <c r="S61" s="513"/>
      <c r="T61" s="503"/>
      <c r="U61" s="513"/>
      <c r="V61" s="503"/>
      <c r="W61" s="513"/>
      <c r="X61" s="503"/>
      <c r="Y61" s="513"/>
      <c r="Z61" s="503"/>
      <c r="AA61" s="513"/>
      <c r="AB61" s="513"/>
      <c r="AC61" s="513"/>
      <c r="AD61" s="509"/>
      <c r="AE61" s="513"/>
      <c r="AF61" s="509"/>
      <c r="AG61" s="513"/>
      <c r="AH61" s="509"/>
      <c r="AI61" s="513"/>
      <c r="AJ61" s="509"/>
      <c r="AK61" s="513"/>
      <c r="AL61" s="513"/>
      <c r="AM61" s="513"/>
      <c r="AN61" s="513"/>
      <c r="AO61" s="513"/>
      <c r="AP61" s="513"/>
      <c r="AQ61" s="513"/>
      <c r="AR61" s="513"/>
      <c r="AS61" s="513"/>
      <c r="AT61" s="513"/>
      <c r="AU61" s="513"/>
      <c r="AV61" s="513"/>
      <c r="AW61" s="513"/>
      <c r="AX61" s="513"/>
      <c r="AY61" s="513"/>
      <c r="AZ61" s="513"/>
      <c r="BA61" s="513"/>
      <c r="BB61" s="513"/>
      <c r="BC61" s="513"/>
      <c r="BD61" s="513"/>
      <c r="BE61" s="513"/>
      <c r="BF61" s="513"/>
      <c r="BG61" s="513"/>
      <c r="BH61" s="513"/>
    </row>
    <row r="62" spans="1:60" ht="12.75" outlineLevel="1">
      <c r="A62" s="515" t="s">
        <v>574</v>
      </c>
      <c r="B62" s="516"/>
      <c r="C62" s="517"/>
      <c r="D62" s="516"/>
      <c r="E62" s="518"/>
      <c r="F62" s="516"/>
      <c r="G62" s="518"/>
      <c r="H62" s="516"/>
      <c r="I62" s="518"/>
      <c r="J62" s="516"/>
      <c r="K62" s="518"/>
      <c r="L62" s="516"/>
      <c r="M62" s="516"/>
      <c r="N62" s="516"/>
      <c r="O62" s="516"/>
      <c r="P62" s="516"/>
      <c r="Q62" s="516"/>
      <c r="R62" s="516"/>
      <c r="S62" s="516"/>
      <c r="T62" s="516"/>
      <c r="U62" s="516"/>
      <c r="V62" s="516"/>
      <c r="W62" s="516"/>
      <c r="X62" s="516"/>
      <c r="Y62" s="587"/>
      <c r="Z62" s="516"/>
      <c r="AA62" s="516"/>
      <c r="AB62" s="516"/>
      <c r="AC62" s="516"/>
      <c r="AD62" s="519"/>
      <c r="AE62" s="516"/>
      <c r="AF62" s="519"/>
      <c r="AG62" s="516"/>
      <c r="AH62" s="519"/>
      <c r="AI62" s="516"/>
      <c r="AJ62" s="519"/>
      <c r="AK62" s="516"/>
      <c r="AL62" s="516"/>
      <c r="AM62" s="516"/>
      <c r="AN62" s="516"/>
      <c r="AO62" s="516"/>
      <c r="AP62" s="516"/>
      <c r="AQ62" s="516"/>
      <c r="AR62" s="516"/>
      <c r="AS62" s="516"/>
      <c r="AT62" s="516"/>
      <c r="AU62" s="516"/>
      <c r="AV62" s="521"/>
      <c r="AW62" s="516"/>
      <c r="AX62" s="521"/>
      <c r="AY62" s="516"/>
      <c r="AZ62" s="521"/>
      <c r="BA62" s="521"/>
      <c r="BB62" s="521"/>
      <c r="BC62" s="521"/>
      <c r="BD62" s="521"/>
      <c r="BE62" s="521"/>
      <c r="BF62" s="521"/>
      <c r="BG62" s="521"/>
      <c r="BH62" s="521"/>
    </row>
    <row r="63" spans="1:60" ht="12.75" outlineLevel="1">
      <c r="A63" s="503" t="s">
        <v>393</v>
      </c>
      <c r="B63" s="503"/>
      <c r="C63" s="510"/>
      <c r="D63" s="503"/>
      <c r="E63" s="511"/>
      <c r="F63" s="503"/>
      <c r="G63" s="511"/>
      <c r="H63" s="503"/>
      <c r="I63" s="511"/>
      <c r="J63" s="503"/>
      <c r="K63" s="511"/>
      <c r="L63" s="503"/>
      <c r="M63" s="533">
        <v>0</v>
      </c>
      <c r="N63" s="503"/>
      <c r="O63" s="533">
        <v>0</v>
      </c>
      <c r="P63" s="503"/>
      <c r="Q63" s="533">
        <v>0</v>
      </c>
      <c r="R63" s="503"/>
      <c r="S63" s="533">
        <v>0</v>
      </c>
      <c r="T63" s="503"/>
      <c r="U63" s="533">
        <v>0</v>
      </c>
      <c r="V63" s="503"/>
      <c r="W63" s="533">
        <v>0</v>
      </c>
      <c r="X63" s="503"/>
      <c r="Y63" s="533">
        <v>0</v>
      </c>
      <c r="Z63" s="503"/>
      <c r="AA63" s="533">
        <v>0</v>
      </c>
      <c r="AB63" s="513"/>
      <c r="AC63" s="533">
        <v>0</v>
      </c>
      <c r="AD63" s="509"/>
      <c r="AE63" s="533">
        <v>0</v>
      </c>
      <c r="AF63" s="509"/>
      <c r="AG63" s="533">
        <v>0</v>
      </c>
      <c r="AH63" s="509"/>
      <c r="AI63" s="533">
        <v>0</v>
      </c>
      <c r="AJ63" s="509"/>
      <c r="AK63" s="533">
        <v>0</v>
      </c>
      <c r="AL63" s="533"/>
      <c r="AM63" s="533">
        <v>0</v>
      </c>
      <c r="AN63" s="533"/>
      <c r="AO63" s="533">
        <v>0</v>
      </c>
      <c r="AP63" s="533"/>
      <c r="AQ63" s="533">
        <v>0</v>
      </c>
      <c r="AR63" s="533"/>
      <c r="AS63" s="533">
        <v>0</v>
      </c>
      <c r="AT63" s="533">
        <v>0</v>
      </c>
      <c r="AU63" s="533">
        <v>0</v>
      </c>
      <c r="AV63" s="533"/>
      <c r="AW63" s="533">
        <v>0</v>
      </c>
      <c r="AX63" s="533"/>
      <c r="AY63" s="533">
        <v>0</v>
      </c>
      <c r="AZ63" s="533"/>
      <c r="BA63" s="533"/>
      <c r="BB63" s="533"/>
      <c r="BC63" s="533"/>
      <c r="BD63" s="533"/>
      <c r="BE63" s="533"/>
      <c r="BF63" s="533"/>
      <c r="BG63" s="533"/>
      <c r="BH63" s="533"/>
    </row>
    <row r="64" spans="1:60" ht="12.75" outlineLevel="1">
      <c r="A64" s="503" t="s">
        <v>394</v>
      </c>
      <c r="B64" s="503"/>
      <c r="C64" s="510"/>
      <c r="D64" s="503"/>
      <c r="E64" s="511"/>
      <c r="F64" s="503"/>
      <c r="G64" s="511"/>
      <c r="H64" s="503"/>
      <c r="I64" s="511"/>
      <c r="J64" s="503"/>
      <c r="K64" s="511"/>
      <c r="L64" s="503"/>
      <c r="M64" s="537">
        <v>0</v>
      </c>
      <c r="N64" s="534"/>
      <c r="O64" s="537">
        <v>0</v>
      </c>
      <c r="P64" s="534"/>
      <c r="Q64" s="537">
        <v>0</v>
      </c>
      <c r="R64" s="534"/>
      <c r="S64" s="537">
        <v>0</v>
      </c>
      <c r="T64" s="534"/>
      <c r="U64" s="537">
        <v>0</v>
      </c>
      <c r="V64" s="534"/>
      <c r="W64" s="537">
        <v>0</v>
      </c>
      <c r="X64" s="534"/>
      <c r="Y64" s="537">
        <v>0</v>
      </c>
      <c r="Z64" s="534"/>
      <c r="AA64" s="537">
        <v>0</v>
      </c>
      <c r="AB64" s="535"/>
      <c r="AC64" s="537">
        <v>0</v>
      </c>
      <c r="AD64" s="536"/>
      <c r="AE64" s="537">
        <v>0</v>
      </c>
      <c r="AF64" s="536"/>
      <c r="AG64" s="537">
        <v>0</v>
      </c>
      <c r="AH64" s="536"/>
      <c r="AI64" s="537">
        <v>0</v>
      </c>
      <c r="AJ64" s="536"/>
      <c r="AK64" s="537">
        <v>0</v>
      </c>
      <c r="AL64" s="537"/>
      <c r="AM64" s="537">
        <v>0</v>
      </c>
      <c r="AN64" s="537"/>
      <c r="AO64" s="537">
        <v>0</v>
      </c>
      <c r="AP64" s="537"/>
      <c r="AQ64" s="537">
        <v>0</v>
      </c>
      <c r="AR64" s="537"/>
      <c r="AS64" s="537">
        <v>0</v>
      </c>
      <c r="AT64" s="537">
        <v>0</v>
      </c>
      <c r="AU64" s="537">
        <v>0</v>
      </c>
      <c r="AV64" s="537"/>
      <c r="AW64" s="537">
        <v>0</v>
      </c>
      <c r="AX64" s="537"/>
      <c r="AY64" s="537">
        <v>0</v>
      </c>
      <c r="AZ64" s="537"/>
      <c r="BA64" s="537"/>
      <c r="BB64" s="537"/>
      <c r="BC64" s="537"/>
      <c r="BD64" s="537"/>
      <c r="BE64" s="537"/>
      <c r="BF64" s="537"/>
      <c r="BG64" s="537"/>
      <c r="BH64" s="537"/>
    </row>
    <row r="65" spans="1:60" ht="12.75" outlineLevel="1">
      <c r="A65" s="503" t="s">
        <v>395</v>
      </c>
      <c r="B65" s="503"/>
      <c r="C65" s="510"/>
      <c r="D65" s="503"/>
      <c r="E65" s="511"/>
      <c r="F65" s="503"/>
      <c r="G65" s="511"/>
      <c r="H65" s="503"/>
      <c r="I65" s="511"/>
      <c r="J65" s="503"/>
      <c r="K65" s="511"/>
      <c r="L65" s="503"/>
      <c r="M65" s="533">
        <f>M63-M64</f>
        <v>0</v>
      </c>
      <c r="N65" s="503"/>
      <c r="O65" s="533">
        <f>O63-O64</f>
        <v>0</v>
      </c>
      <c r="P65" s="503"/>
      <c r="Q65" s="533">
        <f>Q63-Q64</f>
        <v>0</v>
      </c>
      <c r="R65" s="503"/>
      <c r="S65" s="533">
        <f>S63-S64</f>
        <v>0</v>
      </c>
      <c r="T65" s="503"/>
      <c r="U65" s="533">
        <f>U63-U64</f>
        <v>0</v>
      </c>
      <c r="V65" s="503"/>
      <c r="W65" s="533">
        <f>W63-W64</f>
        <v>0</v>
      </c>
      <c r="X65" s="503"/>
      <c r="Y65" s="533">
        <f>Y63-Y64</f>
        <v>0</v>
      </c>
      <c r="Z65" s="503"/>
      <c r="AA65" s="533">
        <f>AA63-AA64</f>
        <v>0</v>
      </c>
      <c r="AB65" s="513"/>
      <c r="AC65" s="533">
        <f>AC63-AC64</f>
        <v>0</v>
      </c>
      <c r="AD65" s="509"/>
      <c r="AE65" s="533">
        <f>AE63-AE64</f>
        <v>0</v>
      </c>
      <c r="AF65" s="509"/>
      <c r="AG65" s="533">
        <f>AG63-AG64</f>
        <v>0</v>
      </c>
      <c r="AH65" s="509"/>
      <c r="AI65" s="533">
        <f>AI63-AI64</f>
        <v>0</v>
      </c>
      <c r="AJ65" s="509"/>
      <c r="AK65" s="533">
        <f>AK63-AK64</f>
        <v>0</v>
      </c>
      <c r="AL65" s="533"/>
      <c r="AM65" s="533">
        <f>AM63-AM64</f>
        <v>0</v>
      </c>
      <c r="AN65" s="533"/>
      <c r="AO65" s="533">
        <f>AO63-AO64</f>
        <v>0</v>
      </c>
      <c r="AP65" s="533"/>
      <c r="AQ65" s="533">
        <f>AQ63-AQ64</f>
        <v>0</v>
      </c>
      <c r="AR65" s="533"/>
      <c r="AS65" s="533">
        <f>AS63-AS64</f>
        <v>0</v>
      </c>
      <c r="AT65" s="533">
        <f>AT63-AT64</f>
        <v>0</v>
      </c>
      <c r="AU65" s="533">
        <f>AU63-AU64</f>
        <v>0</v>
      </c>
      <c r="AV65" s="533"/>
      <c r="AW65" s="533">
        <f>AW63-AW64</f>
        <v>0</v>
      </c>
      <c r="AX65" s="533"/>
      <c r="AY65" s="533">
        <f>AY63-AY64</f>
        <v>0</v>
      </c>
      <c r="AZ65" s="533"/>
      <c r="BA65" s="533"/>
      <c r="BB65" s="533"/>
      <c r="BC65" s="533"/>
      <c r="BD65" s="533"/>
      <c r="BE65" s="533"/>
      <c r="BF65" s="533"/>
      <c r="BG65" s="533"/>
      <c r="BH65" s="533"/>
    </row>
    <row r="66" spans="1:60" ht="12.75" outlineLevel="1">
      <c r="A66" s="514"/>
      <c r="B66" s="503"/>
      <c r="C66" s="510"/>
      <c r="D66" s="503"/>
      <c r="E66" s="511"/>
      <c r="F66" s="503"/>
      <c r="G66" s="511"/>
      <c r="H66" s="503"/>
      <c r="I66" s="511"/>
      <c r="J66" s="503"/>
      <c r="K66" s="511"/>
      <c r="L66" s="503"/>
      <c r="M66" s="512"/>
      <c r="N66" s="503"/>
      <c r="O66" s="513"/>
      <c r="P66" s="503"/>
      <c r="Q66" s="513"/>
      <c r="R66" s="503"/>
      <c r="S66" s="513"/>
      <c r="T66" s="503"/>
      <c r="U66" s="513"/>
      <c r="V66" s="503"/>
      <c r="W66" s="513"/>
      <c r="X66" s="503"/>
      <c r="Y66" s="513"/>
      <c r="Z66" s="503"/>
      <c r="AA66" s="513"/>
      <c r="AB66" s="513"/>
      <c r="AC66" s="513"/>
      <c r="AD66" s="509"/>
      <c r="AE66" s="513"/>
      <c r="AF66" s="509"/>
      <c r="AG66" s="513"/>
      <c r="AH66" s="509"/>
      <c r="AI66" s="513"/>
      <c r="AJ66" s="509"/>
      <c r="AK66" s="513"/>
      <c r="AL66" s="513"/>
      <c r="AM66" s="513"/>
      <c r="AN66" s="513"/>
      <c r="AO66" s="513"/>
      <c r="AP66" s="513"/>
      <c r="AQ66" s="513"/>
      <c r="AR66" s="513"/>
      <c r="AS66" s="513"/>
      <c r="AT66" s="513"/>
      <c r="AU66" s="513"/>
      <c r="AV66" s="513"/>
      <c r="AW66" s="513"/>
      <c r="AX66" s="513"/>
      <c r="AY66" s="513"/>
      <c r="AZ66" s="513"/>
      <c r="BA66" s="513"/>
      <c r="BB66" s="513"/>
      <c r="BC66" s="513"/>
      <c r="BD66" s="513"/>
      <c r="BE66" s="513"/>
      <c r="BF66" s="513"/>
      <c r="BG66" s="513"/>
      <c r="BH66" s="513"/>
    </row>
    <row r="67" spans="1:60" ht="12.75">
      <c r="A67" s="17"/>
      <c r="B67" s="17"/>
      <c r="C67" s="17"/>
      <c r="D67" s="17"/>
      <c r="E67" s="18"/>
      <c r="F67" s="17"/>
      <c r="G67" s="18"/>
      <c r="H67" s="17"/>
      <c r="I67" s="18"/>
      <c r="J67" s="17"/>
      <c r="K67" s="18"/>
      <c r="L67" s="17"/>
      <c r="M67" s="58"/>
      <c r="N67" s="17"/>
      <c r="O67" s="17"/>
      <c r="P67" s="17"/>
      <c r="Q67" s="17"/>
      <c r="R67" s="17"/>
      <c r="S67" s="17"/>
      <c r="T67" s="17"/>
      <c r="U67" s="17"/>
      <c r="V67" s="17"/>
      <c r="W67" s="17"/>
      <c r="X67" s="17"/>
      <c r="Y67" s="341"/>
      <c r="Z67" s="17"/>
      <c r="AA67" s="17"/>
      <c r="AB67" s="17"/>
      <c r="AC67" s="17"/>
      <c r="AD67" s="17"/>
      <c r="AE67" s="17"/>
      <c r="AF67" s="17"/>
      <c r="AG67" s="17"/>
      <c r="AH67" s="17"/>
      <c r="AI67" s="17"/>
      <c r="AJ67" s="17"/>
      <c r="AK67" s="17"/>
      <c r="AL67" s="17"/>
      <c r="AM67" s="17"/>
      <c r="AN67" s="17"/>
      <c r="AO67" s="17"/>
      <c r="AP67" s="17"/>
      <c r="AQ67" s="17"/>
      <c r="AR67" s="17"/>
      <c r="AS67" s="17"/>
      <c r="AT67" s="17"/>
      <c r="AU67" s="17"/>
      <c r="AV67" s="17"/>
      <c r="AW67" s="17"/>
      <c r="AX67" s="17"/>
      <c r="AY67" s="17"/>
      <c r="AZ67" s="17"/>
      <c r="BA67" s="17"/>
      <c r="BB67" s="17"/>
      <c r="BC67" s="17"/>
      <c r="BD67" s="17"/>
      <c r="BE67" s="17"/>
      <c r="BF67" s="17"/>
      <c r="BG67" s="17"/>
      <c r="BH67" s="17"/>
    </row>
    <row r="68" spans="1:60" ht="12.75">
      <c r="A68" s="379"/>
      <c r="B68" s="386"/>
      <c r="C68" s="387"/>
      <c r="D68" s="386"/>
      <c r="E68" s="388"/>
      <c r="F68" s="386"/>
      <c r="G68" s="388"/>
      <c r="H68" s="386"/>
      <c r="I68" s="388"/>
      <c r="J68" s="386"/>
      <c r="K68" s="388"/>
      <c r="L68" s="386"/>
      <c r="M68" s="389"/>
      <c r="N68" s="386"/>
      <c r="O68" s="390"/>
      <c r="P68" s="386"/>
      <c r="Q68" s="390"/>
      <c r="R68" s="386"/>
      <c r="S68" s="390"/>
      <c r="T68" s="386"/>
      <c r="U68" s="390"/>
      <c r="V68" s="386"/>
      <c r="W68" s="390"/>
      <c r="X68" s="386"/>
      <c r="Y68" s="390"/>
      <c r="Z68" s="386"/>
      <c r="AA68" s="390"/>
      <c r="AB68" s="390"/>
      <c r="AC68" s="390"/>
      <c r="AD68" s="17"/>
      <c r="AE68" s="390"/>
      <c r="AF68" s="17"/>
      <c r="AG68" s="390"/>
      <c r="AH68" s="17"/>
      <c r="AI68" s="390"/>
      <c r="AJ68" s="17"/>
      <c r="AK68" s="390"/>
      <c r="AL68" s="390"/>
      <c r="AM68" s="390"/>
      <c r="AN68" s="390"/>
      <c r="AO68" s="390"/>
      <c r="AP68" s="390"/>
      <c r="AQ68" s="390"/>
      <c r="AR68" s="390"/>
      <c r="AS68" s="390"/>
      <c r="AT68" s="390"/>
      <c r="AU68" s="390"/>
      <c r="AV68" s="390"/>
      <c r="AW68" s="390"/>
      <c r="AX68" s="390"/>
      <c r="AY68" s="390"/>
      <c r="AZ68" s="390"/>
      <c r="BA68" s="390"/>
      <c r="BB68" s="390"/>
      <c r="BC68" s="390"/>
      <c r="BD68" s="390"/>
      <c r="BE68" s="390"/>
      <c r="BF68" s="390"/>
      <c r="BG68" s="390"/>
      <c r="BH68" s="390"/>
    </row>
    <row r="69" spans="1:60" ht="12.75">
      <c r="A69" s="379"/>
      <c r="B69" s="386"/>
      <c r="C69" s="387"/>
      <c r="D69" s="386"/>
      <c r="E69" s="388"/>
      <c r="F69" s="386"/>
      <c r="G69" s="388"/>
      <c r="H69" s="386"/>
      <c r="I69" s="388"/>
      <c r="J69" s="386"/>
      <c r="K69" s="388"/>
      <c r="L69" s="386"/>
      <c r="M69" s="389"/>
      <c r="N69" s="386"/>
      <c r="O69" s="390"/>
      <c r="P69" s="386"/>
      <c r="Q69" s="390"/>
      <c r="R69" s="386"/>
      <c r="S69" s="390"/>
      <c r="T69" s="386"/>
      <c r="U69" s="390"/>
      <c r="V69" s="386"/>
      <c r="W69" s="390"/>
      <c r="X69" s="386"/>
      <c r="Y69" s="390"/>
      <c r="Z69" s="386"/>
      <c r="AA69" s="390"/>
      <c r="AB69" s="390"/>
      <c r="AC69" s="390"/>
      <c r="AD69" s="17"/>
      <c r="AE69" s="390"/>
      <c r="AF69" s="17"/>
      <c r="AG69" s="390"/>
      <c r="AH69" s="17"/>
      <c r="AI69" s="390"/>
      <c r="AJ69" s="17"/>
      <c r="AK69" s="390"/>
      <c r="AL69" s="390"/>
      <c r="AM69" s="390"/>
      <c r="AN69" s="390"/>
      <c r="AO69" s="390"/>
      <c r="AP69" s="390"/>
      <c r="AQ69" s="390"/>
      <c r="AR69" s="390"/>
      <c r="AS69" s="390"/>
      <c r="AT69" s="390"/>
      <c r="AU69" s="390"/>
      <c r="AV69" s="390"/>
      <c r="AW69" s="390"/>
      <c r="AX69" s="390"/>
      <c r="AY69" s="390"/>
      <c r="AZ69" s="390"/>
      <c r="BA69" s="390"/>
      <c r="BB69" s="390"/>
      <c r="BC69" s="390"/>
      <c r="BD69" s="390"/>
      <c r="BE69" s="390"/>
      <c r="BF69" s="390"/>
      <c r="BG69" s="390"/>
      <c r="BH69" s="390"/>
    </row>
    <row r="70" spans="1:60" ht="12.75">
      <c r="A70" s="11"/>
      <c r="B70" s="11"/>
      <c r="C70" s="160"/>
      <c r="D70" s="11"/>
      <c r="E70" s="161"/>
      <c r="F70" s="11"/>
      <c r="G70" s="161"/>
      <c r="H70" s="88"/>
      <c r="I70" s="161"/>
      <c r="J70" s="88"/>
      <c r="K70" s="161"/>
      <c r="L70" s="88"/>
      <c r="M70" s="56"/>
      <c r="N70" s="88"/>
      <c r="O70" s="11"/>
      <c r="P70" s="11"/>
      <c r="Q70" s="11"/>
      <c r="R70" s="11"/>
      <c r="S70" s="11"/>
      <c r="T70" s="11"/>
      <c r="U70" s="11"/>
      <c r="V70" s="11"/>
      <c r="W70" s="11"/>
      <c r="X70" s="11"/>
      <c r="Y70" s="110"/>
      <c r="Z70" s="11"/>
      <c r="AA70" s="11"/>
      <c r="AB70" s="11"/>
      <c r="AC70" s="11"/>
      <c r="AD70" s="17"/>
      <c r="AE70" s="11"/>
      <c r="AF70" s="17"/>
      <c r="AG70" s="11"/>
      <c r="AH70" s="17"/>
      <c r="AI70" s="11"/>
      <c r="AJ70" s="17"/>
      <c r="AK70" s="11"/>
      <c r="AL70" s="11"/>
      <c r="AM70" s="11"/>
      <c r="AN70" s="11"/>
      <c r="AO70" s="11"/>
      <c r="AP70" s="11"/>
      <c r="AQ70" s="11"/>
      <c r="AR70" s="11"/>
      <c r="AS70" s="11"/>
      <c r="AT70" s="11"/>
      <c r="AU70" s="11"/>
      <c r="AV70" s="11"/>
      <c r="AW70" s="11"/>
      <c r="AX70" s="11"/>
      <c r="AY70" s="11"/>
      <c r="AZ70" s="11"/>
      <c r="BA70" s="11"/>
      <c r="BB70" s="11"/>
      <c r="BC70" s="11"/>
      <c r="BD70" s="11"/>
      <c r="BE70" s="11"/>
      <c r="BF70" s="11"/>
      <c r="BG70" s="11"/>
      <c r="BH70" s="11"/>
    </row>
    <row r="71" spans="1:60" ht="12.75">
      <c r="A71" s="158" t="s">
        <v>57</v>
      </c>
      <c r="B71" s="11"/>
      <c r="C71" s="188">
        <f>(C40/C44)*100</f>
        <v>0</v>
      </c>
      <c r="D71" s="11" t="s">
        <v>697</v>
      </c>
      <c r="E71" s="188">
        <f>(E40/E44)*100</f>
        <v>0</v>
      </c>
      <c r="F71" s="11" t="s">
        <v>697</v>
      </c>
      <c r="G71" s="209">
        <v>0</v>
      </c>
      <c r="H71" s="11" t="s">
        <v>697</v>
      </c>
      <c r="I71" s="209">
        <v>0</v>
      </c>
      <c r="J71" s="11" t="s">
        <v>697</v>
      </c>
      <c r="K71" s="209">
        <v>0</v>
      </c>
      <c r="L71" s="11"/>
      <c r="M71" s="209">
        <v>0</v>
      </c>
      <c r="N71" s="11" t="s">
        <v>697</v>
      </c>
      <c r="O71" s="188">
        <f>+(O30+O39)/(O30+O39+O42)</f>
        <v>7.3545418812549765E-2</v>
      </c>
      <c r="P71" s="11" t="s">
        <v>697</v>
      </c>
      <c r="Q71" s="209">
        <v>0</v>
      </c>
      <c r="R71" s="11" t="s">
        <v>697</v>
      </c>
      <c r="S71" s="209">
        <v>0</v>
      </c>
      <c r="T71" s="11" t="s">
        <v>697</v>
      </c>
      <c r="U71" s="209">
        <v>0</v>
      </c>
      <c r="V71" s="11" t="s">
        <v>697</v>
      </c>
      <c r="W71" s="209">
        <v>0</v>
      </c>
      <c r="X71" s="11" t="s">
        <v>697</v>
      </c>
      <c r="Y71" s="588">
        <v>0</v>
      </c>
      <c r="Z71" s="11" t="s">
        <v>697</v>
      </c>
      <c r="AA71" s="209">
        <v>0</v>
      </c>
      <c r="AB71" s="209"/>
      <c r="AC71" s="209">
        <f>AA71</f>
        <v>0</v>
      </c>
      <c r="AD71" s="17"/>
      <c r="AE71" s="209">
        <f>AC71</f>
        <v>0</v>
      </c>
      <c r="AF71" s="17"/>
      <c r="AG71" s="209">
        <f>AE71</f>
        <v>0</v>
      </c>
      <c r="AH71" s="17"/>
      <c r="AI71" s="209">
        <f>AG71</f>
        <v>0</v>
      </c>
      <c r="AJ71" s="17"/>
      <c r="AK71" s="209">
        <f>AI71</f>
        <v>0</v>
      </c>
      <c r="AL71" s="209"/>
      <c r="AM71" s="209">
        <f>AK71</f>
        <v>0</v>
      </c>
      <c r="AN71" s="209"/>
      <c r="AO71" s="209">
        <f>AM71</f>
        <v>0</v>
      </c>
      <c r="AP71" s="209"/>
      <c r="AQ71" s="209">
        <f>AO71</f>
        <v>0</v>
      </c>
      <c r="AR71" s="209"/>
      <c r="AS71" s="209">
        <f>AQ71</f>
        <v>0</v>
      </c>
      <c r="AT71" s="209"/>
      <c r="AU71" s="209">
        <f>AS71</f>
        <v>0</v>
      </c>
      <c r="AV71" s="209"/>
      <c r="AW71" s="209">
        <f>AU71</f>
        <v>0</v>
      </c>
      <c r="AX71" s="209"/>
      <c r="AY71" s="209">
        <f>AX71</f>
        <v>0</v>
      </c>
      <c r="AZ71" s="209"/>
      <c r="BA71" s="209">
        <f>AY71</f>
        <v>0</v>
      </c>
      <c r="BB71" s="209"/>
      <c r="BC71" s="209">
        <f>BA71</f>
        <v>0</v>
      </c>
      <c r="BD71" s="209"/>
      <c r="BE71" s="209">
        <f>BC71</f>
        <v>0</v>
      </c>
      <c r="BF71" s="209"/>
      <c r="BG71" s="209">
        <f>BE71</f>
        <v>0</v>
      </c>
      <c r="BH71" s="209"/>
    </row>
    <row r="72" spans="1:60" ht="12.75">
      <c r="A72" s="158" t="s">
        <v>58</v>
      </c>
      <c r="B72" s="11"/>
      <c r="C72" s="160">
        <f>C82/(C26-C33)*100</f>
        <v>0</v>
      </c>
      <c r="D72" s="160"/>
      <c r="E72" s="160">
        <f>E82/(E26-E37)*100</f>
        <v>0</v>
      </c>
      <c r="F72" s="160"/>
      <c r="G72" s="160">
        <f>G82/(G26-G37)*100</f>
        <v>0</v>
      </c>
      <c r="H72" s="171"/>
      <c r="I72" s="160">
        <f>I82/(I26-I37)*100</f>
        <v>21.514624262179552</v>
      </c>
      <c r="J72" s="171"/>
      <c r="K72" s="160">
        <f>K82/(K26-K37)*100</f>
        <v>35.793038221657831</v>
      </c>
      <c r="L72" s="171"/>
      <c r="M72" s="160">
        <f>M82/(M26-M37)*100</f>
        <v>34.056716115145221</v>
      </c>
      <c r="N72" s="171"/>
      <c r="O72" s="160">
        <f>O82/(O26-O37)*100</f>
        <v>23.802548368998135</v>
      </c>
      <c r="P72" s="171"/>
      <c r="Q72" s="160">
        <f>Q82/(Q26-Q37)*100</f>
        <v>0</v>
      </c>
      <c r="R72" s="171"/>
      <c r="S72" s="160">
        <f>S82/(S26-S37)*100</f>
        <v>0</v>
      </c>
      <c r="T72" s="171"/>
      <c r="U72" s="160">
        <f>U82/(U26-U37)*100</f>
        <v>9.324403712842205</v>
      </c>
      <c r="V72" s="171"/>
      <c r="W72" s="160">
        <f>W82/(W26-W37)*100</f>
        <v>21.430947147089739</v>
      </c>
      <c r="X72" s="171"/>
      <c r="Y72" s="337">
        <f>Y82/(Y26-Y37)*100</f>
        <v>23.418904415856964</v>
      </c>
      <c r="Z72" s="171"/>
      <c r="AA72" s="160">
        <f>AA82/(AA26-AA37)*100</f>
        <v>25.366989299419757</v>
      </c>
      <c r="AB72" s="160"/>
      <c r="AC72" s="160">
        <f>AC82/(AC26-AC37)*100</f>
        <v>26.819876875793643</v>
      </c>
      <c r="AD72" s="17"/>
      <c r="AE72" s="160">
        <f>AE82/(AE26-AE37)*100</f>
        <v>13.123528647242194</v>
      </c>
      <c r="AF72" s="17"/>
      <c r="AG72" s="160">
        <f>AG82/(AG26-AG37)*100</f>
        <v>12.021503672522378</v>
      </c>
      <c r="AH72" s="17"/>
      <c r="AI72" s="160">
        <f>AI82/(AI26-AI37)*100</f>
        <v>14.739133377698524</v>
      </c>
      <c r="AJ72" s="17"/>
      <c r="AK72" s="160">
        <f>AK82/(AK26-AK37)*100</f>
        <v>12.328189253145307</v>
      </c>
      <c r="AL72" s="160"/>
      <c r="AM72" s="160">
        <f>AM82/(AM26-AM37)*100</f>
        <v>21.1103123809322</v>
      </c>
      <c r="AN72" s="160"/>
      <c r="AO72" s="160">
        <f>AO82/(AO26-AO37)*100</f>
        <v>11.307886755957872</v>
      </c>
      <c r="AP72" s="160"/>
      <c r="AQ72" s="160">
        <f>AQ82/(AQ26-AQ37)*100</f>
        <v>9.9256839829840757</v>
      </c>
      <c r="AR72" s="160"/>
      <c r="AS72" s="160">
        <f>AS82/(AS26-AS37)*100</f>
        <v>18.571163382285029</v>
      </c>
      <c r="AT72" s="160"/>
      <c r="AU72" s="160">
        <f>AU82/(AU26-AU37)*100</f>
        <v>16.158734109682076</v>
      </c>
      <c r="AV72" s="160"/>
      <c r="AW72" s="160">
        <f>AW82/(AW26-AW37)*100</f>
        <v>15.645567699302521</v>
      </c>
      <c r="AX72" s="160"/>
      <c r="AY72" s="160">
        <f>AY82/(AY26-AY37)*100</f>
        <v>16.261511679066945</v>
      </c>
      <c r="AZ72" s="160"/>
      <c r="BA72" s="160">
        <f>BA82/(BA26-BA37)*100</f>
        <v>14.786953786934253</v>
      </c>
      <c r="BB72" s="160"/>
      <c r="BC72" s="160">
        <f>BC82/(BC26-BC37)*100</f>
        <v>13.100918550587117</v>
      </c>
      <c r="BD72" s="160"/>
      <c r="BE72" s="160">
        <f>BE82/(BE26-BE37)*100</f>
        <v>11.685857431421839</v>
      </c>
      <c r="BF72" s="160"/>
      <c r="BG72" s="160">
        <f>BG82/(BG26-BG37)*100</f>
        <v>10.22469422238788</v>
      </c>
      <c r="BH72" s="160"/>
    </row>
    <row r="73" spans="1:60" ht="12.75">
      <c r="A73" s="158" t="s">
        <v>59</v>
      </c>
      <c r="B73" s="11"/>
      <c r="C73" s="161">
        <f>C82/AVERAGEA(C42,A42)*100</f>
        <v>0</v>
      </c>
      <c r="D73" s="161"/>
      <c r="E73" s="161">
        <f>E82/AVERAGEA(E42,C42)*100</f>
        <v>0</v>
      </c>
      <c r="F73" s="11"/>
      <c r="G73" s="161">
        <f>G82/AVERAGEA(G42,E42)*100</f>
        <v>0</v>
      </c>
      <c r="H73" s="172"/>
      <c r="I73" s="161">
        <f>I82/AVERAGEA(I42,G42)*100</f>
        <v>24.140018781199046</v>
      </c>
      <c r="J73" s="172"/>
      <c r="K73" s="161">
        <f>K82/AVERAGEA(K42,I42)*100</f>
        <v>44.724695770748539</v>
      </c>
      <c r="L73" s="172"/>
      <c r="M73" s="161">
        <f>M82/AVERAGEA(M42,K42)*100</f>
        <v>43.618203599728673</v>
      </c>
      <c r="N73" s="172"/>
      <c r="O73" s="161">
        <f>O82/AVERAGEA(O42,M42)*100</f>
        <v>29.661054483103332</v>
      </c>
      <c r="P73" s="172"/>
      <c r="Q73" s="161">
        <f>Q82/AVERAGEA(Q42,O42)*100</f>
        <v>0</v>
      </c>
      <c r="R73" s="172"/>
      <c r="S73" s="161">
        <f>S82/AVERAGEA(S42,Q42)*100</f>
        <v>0</v>
      </c>
      <c r="T73" s="172"/>
      <c r="U73" s="161">
        <f>U82/AVERAGEA(U42,S42)*100</f>
        <v>11.105157059378906</v>
      </c>
      <c r="V73" s="172"/>
      <c r="W73" s="161">
        <f>W82/AVERAGEA(W42,U42)*100</f>
        <v>28.013890008076903</v>
      </c>
      <c r="X73" s="172"/>
      <c r="Y73" s="338">
        <f>Y82/AVERAGEA(Y42,W42)*100</f>
        <v>27.721164037643497</v>
      </c>
      <c r="Z73" s="172"/>
      <c r="AA73" s="161">
        <f>AA82/AVERAGEA(AA42,Y42)*100</f>
        <v>30.111113529514167</v>
      </c>
      <c r="AB73" s="161"/>
      <c r="AC73" s="161">
        <f>AC82/AVERAGEA(AC42,AA42)*100</f>
        <v>29.010260441747239</v>
      </c>
      <c r="AD73" s="17"/>
      <c r="AE73" s="161">
        <f>AE82/AVERAGEA(AE42,AC42)*100</f>
        <v>14.910236243382874</v>
      </c>
      <c r="AF73" s="17"/>
      <c r="AG73" s="161">
        <f>AG82/AVERAGEA(AG42,AE42)*100</f>
        <v>13.916094402499969</v>
      </c>
      <c r="AH73" s="17"/>
      <c r="AI73" s="161">
        <f>AI82/AVERAGEA(AI42,AG42)*100</f>
        <v>15.014507159368486</v>
      </c>
      <c r="AJ73" s="17"/>
      <c r="AK73" s="161">
        <f>AK82/AVERAGEA(AK42,AI42)*100</f>
        <v>13.766280986241672</v>
      </c>
      <c r="AL73" s="161"/>
      <c r="AM73" s="161">
        <f>AM82/AVERAGEA(AM42,AK42)*100</f>
        <v>21.128429537406223</v>
      </c>
      <c r="AN73" s="161"/>
      <c r="AO73" s="161">
        <f>AO82/AVERAGEA(AO42,AM42)*100</f>
        <v>12.11276868011382</v>
      </c>
      <c r="AP73" s="161"/>
      <c r="AQ73" s="161">
        <f>AQ82/AVERAGEA(AQ42,AO42)*100</f>
        <v>10.655675382189532</v>
      </c>
      <c r="AR73" s="161"/>
      <c r="AS73" s="161">
        <f>AS82/AVERAGEA(AS42,AQ42)*100</f>
        <v>19.468655784570636</v>
      </c>
      <c r="AT73" s="161"/>
      <c r="AU73" s="161">
        <f>AU82/AVERAGEA(AU42,AS42)*100</f>
        <v>18.46294125078402</v>
      </c>
      <c r="AV73" s="161"/>
      <c r="AW73" s="161">
        <f>AW82/AVERAGEA(AW42,AU42)*100</f>
        <v>16.991131453560456</v>
      </c>
      <c r="AX73" s="161"/>
      <c r="AY73" s="161">
        <f>AY82/AVERAGEA(AY42,AX42)*100</f>
        <v>23.281781580698077</v>
      </c>
      <c r="AZ73" s="161"/>
      <c r="BA73" s="161">
        <f>BA82/AVERAGEA(BA42,AY42)*100</f>
        <v>16.384108183471891</v>
      </c>
      <c r="BB73" s="161"/>
      <c r="BC73" s="161">
        <f>BC82/AVERAGEA(BC42,BA42)*100</f>
        <v>14.369824878448014</v>
      </c>
      <c r="BD73" s="161"/>
      <c r="BE73" s="161">
        <f>BE82/AVERAGEA(BE42,BC42)*100</f>
        <v>12.711745525105894</v>
      </c>
      <c r="BF73" s="161"/>
      <c r="BG73" s="161">
        <f>BG82/AVERAGEA(BG42,BE42)*100</f>
        <v>11.031246168115066</v>
      </c>
      <c r="BH73" s="161"/>
    </row>
    <row r="74" spans="1:60" ht="12.75">
      <c r="A74" s="11"/>
      <c r="B74" s="11"/>
      <c r="C74" s="11"/>
      <c r="D74" s="11"/>
      <c r="E74" s="12"/>
      <c r="F74" s="11"/>
      <c r="G74" s="12"/>
      <c r="H74" s="11"/>
      <c r="I74" s="12"/>
      <c r="J74" s="11"/>
      <c r="K74" s="12"/>
      <c r="L74" s="11"/>
      <c r="M74" s="56"/>
      <c r="N74" s="11"/>
      <c r="O74" s="11"/>
      <c r="P74" s="11"/>
      <c r="Q74" s="11"/>
      <c r="R74" s="11"/>
      <c r="S74" s="11"/>
      <c r="T74" s="11"/>
      <c r="U74" s="11"/>
      <c r="V74" s="11"/>
      <c r="W74" s="11"/>
      <c r="X74" s="11"/>
      <c r="Y74" s="110"/>
      <c r="Z74" s="11"/>
      <c r="AA74" s="11"/>
      <c r="AB74" s="11"/>
      <c r="AC74" s="11"/>
      <c r="AD74" s="17"/>
      <c r="AE74" s="11"/>
      <c r="AF74" s="17"/>
      <c r="AG74" s="11"/>
      <c r="AH74" s="17"/>
      <c r="AI74" s="11"/>
      <c r="AJ74" s="17"/>
      <c r="AK74" s="11"/>
      <c r="AL74" s="11"/>
      <c r="AM74" s="11"/>
      <c r="AN74" s="11"/>
      <c r="AO74" s="11"/>
      <c r="AP74" s="11"/>
      <c r="AQ74" s="11"/>
      <c r="AR74" s="11"/>
      <c r="AS74" s="11"/>
      <c r="AT74" s="11"/>
      <c r="AU74" s="11"/>
      <c r="AV74" s="11"/>
      <c r="AW74" s="11"/>
      <c r="AX74" s="11"/>
      <c r="AY74" s="11"/>
      <c r="AZ74" s="11"/>
      <c r="BA74" s="11"/>
      <c r="BB74" s="11"/>
      <c r="BC74" s="11"/>
      <c r="BD74" s="11"/>
      <c r="BE74" s="11"/>
      <c r="BF74" s="11"/>
      <c r="BG74" s="11"/>
      <c r="BH74" s="11"/>
    </row>
    <row r="75" spans="1:60" ht="12.75">
      <c r="A75" s="11"/>
      <c r="B75" s="11"/>
      <c r="C75" s="160"/>
      <c r="D75" s="11"/>
      <c r="E75" s="161"/>
      <c r="F75" s="11"/>
      <c r="G75" s="161"/>
      <c r="H75" s="11"/>
      <c r="I75" s="161"/>
      <c r="J75" s="11"/>
      <c r="K75" s="161"/>
      <c r="L75" s="11"/>
      <c r="M75" s="56"/>
      <c r="N75" s="11"/>
      <c r="O75" s="11"/>
      <c r="P75" s="11"/>
      <c r="Q75" s="11"/>
      <c r="R75" s="11"/>
      <c r="S75" s="11"/>
      <c r="T75" s="11"/>
      <c r="U75" s="11"/>
      <c r="V75" s="11"/>
      <c r="W75" s="11"/>
      <c r="X75" s="11"/>
      <c r="Y75" s="110"/>
      <c r="Z75" s="11"/>
      <c r="AA75" s="11"/>
      <c r="AB75" s="11"/>
      <c r="AC75" s="11"/>
      <c r="AD75" s="17"/>
      <c r="AE75" s="11"/>
      <c r="AF75" s="17"/>
      <c r="AG75" s="11"/>
      <c r="AH75" s="17"/>
      <c r="AI75" s="11"/>
      <c r="AJ75" s="17"/>
      <c r="AK75" s="11"/>
      <c r="AL75" s="11"/>
      <c r="AM75" s="11"/>
      <c r="AN75" s="11"/>
      <c r="AO75" s="11"/>
      <c r="AP75" s="11"/>
      <c r="AQ75" s="11"/>
      <c r="AR75" s="11"/>
      <c r="AS75" s="11"/>
      <c r="AT75" s="11"/>
      <c r="AU75" s="11"/>
      <c r="AV75" s="11"/>
      <c r="AW75" s="11"/>
      <c r="AX75" s="11"/>
      <c r="AY75" s="11"/>
      <c r="AZ75" s="11"/>
      <c r="BA75" s="11"/>
      <c r="BB75" s="11"/>
      <c r="BC75" s="11"/>
      <c r="BD75" s="11"/>
      <c r="BE75" s="11"/>
      <c r="BF75" s="11"/>
      <c r="BG75" s="11"/>
      <c r="BH75" s="11"/>
    </row>
    <row r="76" spans="1:60" ht="12.75">
      <c r="A76" s="110"/>
      <c r="B76" s="110"/>
      <c r="C76" s="337"/>
      <c r="D76" s="110"/>
      <c r="E76" s="338"/>
      <c r="F76" s="110"/>
      <c r="G76" s="339"/>
      <c r="H76" s="110"/>
      <c r="I76" s="339"/>
      <c r="J76" s="110"/>
      <c r="K76" s="339"/>
      <c r="L76" s="110"/>
      <c r="M76" s="340"/>
      <c r="N76" s="110"/>
      <c r="O76" s="110"/>
      <c r="P76" s="110"/>
      <c r="Q76" s="110"/>
      <c r="R76" s="110"/>
      <c r="S76" s="110"/>
      <c r="T76" s="110"/>
      <c r="U76" s="110"/>
      <c r="V76" s="110"/>
      <c r="W76" s="110"/>
      <c r="X76" s="110"/>
      <c r="Y76" s="110"/>
      <c r="Z76" s="110"/>
      <c r="AA76" s="110"/>
      <c r="AB76" s="110"/>
      <c r="AC76" s="110"/>
      <c r="AD76" s="341"/>
      <c r="AE76" s="110"/>
      <c r="AF76" s="341"/>
      <c r="AG76" s="110"/>
      <c r="AH76" s="341"/>
      <c r="AI76" s="110"/>
      <c r="AJ76" s="341"/>
      <c r="AK76" s="110"/>
      <c r="AL76" s="110"/>
      <c r="AM76" s="110"/>
      <c r="AN76" s="110"/>
      <c r="AO76" s="110"/>
      <c r="AP76" s="110"/>
      <c r="AQ76" s="110"/>
      <c r="AR76" s="110"/>
      <c r="AS76" s="110"/>
      <c r="AT76" s="110"/>
      <c r="AU76" s="110"/>
      <c r="AV76" s="110"/>
      <c r="AW76" s="110"/>
      <c r="AX76" s="110"/>
      <c r="AY76" s="110"/>
      <c r="AZ76" s="110"/>
      <c r="BA76" s="110"/>
      <c r="BB76" s="110"/>
      <c r="BC76" s="110"/>
      <c r="BD76" s="110"/>
      <c r="BE76" s="110"/>
      <c r="BF76" s="110"/>
      <c r="BG76" s="110"/>
      <c r="BH76" s="110"/>
    </row>
    <row r="77" spans="1:60" ht="12.75">
      <c r="A77" s="17"/>
      <c r="B77" s="17"/>
      <c r="C77" s="17"/>
      <c r="D77" s="17"/>
      <c r="E77" s="18"/>
      <c r="F77" s="17"/>
      <c r="G77" s="18"/>
      <c r="H77" s="17"/>
      <c r="I77" s="18"/>
      <c r="J77" s="17"/>
      <c r="K77" s="18"/>
      <c r="L77" s="17"/>
      <c r="M77" s="58"/>
      <c r="N77" s="17"/>
      <c r="O77" s="17"/>
      <c r="P77" s="17"/>
      <c r="Q77" s="17"/>
      <c r="R77" s="17"/>
      <c r="S77" s="17"/>
      <c r="T77" s="17"/>
      <c r="U77" s="17"/>
      <c r="V77" s="17"/>
      <c r="W77" s="17"/>
      <c r="X77" s="17"/>
      <c r="Y77" s="341"/>
      <c r="Z77" s="17"/>
      <c r="AA77" s="17"/>
      <c r="AB77" s="17"/>
      <c r="AC77" s="17"/>
      <c r="AD77" s="17"/>
      <c r="AE77" s="17"/>
      <c r="AF77" s="17"/>
      <c r="AG77" s="17"/>
      <c r="AH77" s="17"/>
      <c r="AI77" s="17"/>
      <c r="AJ77" s="17"/>
      <c r="AK77" s="17"/>
      <c r="AL77" s="17"/>
      <c r="AM77" s="17"/>
      <c r="AN77" s="17"/>
      <c r="AO77" s="17"/>
      <c r="AP77" s="17"/>
      <c r="AQ77" s="17"/>
      <c r="AR77" s="17"/>
      <c r="AS77" s="17"/>
      <c r="AT77" s="17"/>
      <c r="AU77" s="17"/>
      <c r="AV77" s="17"/>
      <c r="AW77" s="17"/>
      <c r="AX77" s="17"/>
      <c r="AY77" s="17"/>
      <c r="AZ77" s="17"/>
      <c r="BA77" s="17"/>
      <c r="BB77" s="17"/>
      <c r="BC77" s="17"/>
      <c r="BD77" s="17"/>
      <c r="BE77" s="17"/>
      <c r="BF77" s="17"/>
      <c r="BG77" s="17"/>
      <c r="BH77" s="17"/>
    </row>
    <row r="78" spans="1:60" ht="12.75">
      <c r="A78" s="11"/>
      <c r="B78" s="11"/>
      <c r="C78" s="160"/>
      <c r="D78" s="11"/>
      <c r="E78" s="161"/>
      <c r="F78" s="11"/>
      <c r="G78" s="161"/>
      <c r="H78" s="11"/>
      <c r="I78" s="161"/>
      <c r="J78" s="11"/>
      <c r="K78" s="161"/>
      <c r="L78" s="11"/>
      <c r="M78" s="96"/>
      <c r="N78" s="11"/>
      <c r="O78" s="11"/>
      <c r="P78" s="11"/>
      <c r="Q78" s="11"/>
      <c r="R78" s="11"/>
      <c r="S78" s="11"/>
      <c r="T78" s="11"/>
      <c r="U78" s="11"/>
      <c r="V78" s="11"/>
      <c r="W78" s="11"/>
      <c r="X78" s="11"/>
      <c r="Y78" s="110"/>
      <c r="Z78" s="11"/>
      <c r="AA78" s="11"/>
      <c r="AB78" s="11"/>
      <c r="AC78" s="11"/>
      <c r="AD78" s="17"/>
      <c r="AE78" s="11"/>
      <c r="AF78" s="17"/>
      <c r="AG78" s="11"/>
      <c r="AH78" s="17"/>
      <c r="AI78" s="11"/>
      <c r="AJ78" s="17"/>
      <c r="AK78" s="11"/>
      <c r="AL78" s="11"/>
      <c r="AM78" s="163">
        <f>AM10</f>
        <v>332.452</v>
      </c>
      <c r="AN78" s="11"/>
      <c r="AO78" s="163">
        <f>AO10</f>
        <v>291.541</v>
      </c>
      <c r="AP78" s="11"/>
      <c r="AQ78" s="163">
        <f>AQ10</f>
        <v>278.97199999999998</v>
      </c>
      <c r="AR78" s="11"/>
      <c r="AS78" s="163">
        <f>AS10</f>
        <v>305.178</v>
      </c>
      <c r="AT78" s="163"/>
      <c r="AU78" s="163">
        <f>AU10</f>
        <v>358.44600000000003</v>
      </c>
      <c r="AV78" s="163"/>
      <c r="AW78" s="163">
        <f>AW10</f>
        <v>398.21300000000002</v>
      </c>
      <c r="AX78" s="163"/>
      <c r="AY78" s="163">
        <f>AY10</f>
        <v>423.09644896535247</v>
      </c>
      <c r="AZ78" s="163"/>
      <c r="BA78" s="163">
        <f>BA10</f>
        <v>450.02072997257306</v>
      </c>
      <c r="BB78" s="163"/>
      <c r="BC78" s="163">
        <f>BC10</f>
        <v>476.98690931809648</v>
      </c>
      <c r="BD78" s="163"/>
      <c r="BE78" s="163">
        <f>BE10</f>
        <v>477.01578313612032</v>
      </c>
      <c r="BF78" s="163"/>
      <c r="BG78" s="163">
        <f>BG10</f>
        <v>476.95933858309377</v>
      </c>
      <c r="BH78" s="163"/>
    </row>
    <row r="79" spans="1:60" ht="12.75">
      <c r="A79" s="11" t="s">
        <v>738</v>
      </c>
      <c r="B79" s="11"/>
      <c r="C79" s="167"/>
      <c r="D79" s="167"/>
      <c r="E79" s="167">
        <f>'qtrP&amp;L'!$C$14</f>
        <v>340.32299999999998</v>
      </c>
      <c r="F79" s="167"/>
      <c r="G79" s="167">
        <f>'qtrP&amp;L'!G14</f>
        <v>326.404</v>
      </c>
      <c r="H79" s="167"/>
      <c r="I79" s="167">
        <f>'qtrP&amp;L'!K14</f>
        <v>405.71299999999997</v>
      </c>
      <c r="J79" s="167"/>
      <c r="K79" s="167">
        <f>'qtrP&amp;L'!O14</f>
        <v>587.6</v>
      </c>
      <c r="L79" s="167"/>
      <c r="M79" s="167">
        <f>'qtrP&amp;L'!S14</f>
        <v>832.10400000000004</v>
      </c>
      <c r="N79" s="167"/>
      <c r="O79" s="167">
        <f>'qtrP&amp;L'!W14</f>
        <v>1093.4769999999999</v>
      </c>
      <c r="P79" s="11"/>
      <c r="Q79" s="167">
        <f>'qtrP&amp;L'!AB14</f>
        <v>1371.8990000000001</v>
      </c>
      <c r="R79" s="11"/>
      <c r="S79" s="167">
        <f>'qtrP&amp;L'!AF14</f>
        <v>1463.1410000000001</v>
      </c>
      <c r="T79" s="11"/>
      <c r="U79" s="167">
        <f>+'qtrP&amp;L'!AJ14</f>
        <v>1493.2929999999999</v>
      </c>
      <c r="V79" s="11"/>
      <c r="W79" s="167">
        <f>+'yrP&amp;L'!K7</f>
        <v>1889.6469999999999</v>
      </c>
      <c r="X79" s="11"/>
      <c r="Y79" s="589">
        <f>+'yrP&amp;L'!L7</f>
        <v>2321.962</v>
      </c>
      <c r="Z79" s="11"/>
      <c r="AA79" s="167">
        <f>+'yrP&amp;L'!M7</f>
        <v>2794.4089999999997</v>
      </c>
      <c r="AB79" s="167"/>
      <c r="AC79" s="167">
        <f>+'yrP&amp;L'!N7</f>
        <v>3055.4189999999999</v>
      </c>
      <c r="AD79" s="17"/>
      <c r="AE79" s="167">
        <f>+'yrP&amp;L'!O7</f>
        <v>2988.866</v>
      </c>
      <c r="AF79" s="17"/>
      <c r="AG79" s="167">
        <f>+'yrP&amp;L'!P7</f>
        <v>2940.2689999999998</v>
      </c>
      <c r="AH79" s="17"/>
      <c r="AI79" s="167">
        <f>+'yrP&amp;L'!Q7</f>
        <v>2945.2939999999999</v>
      </c>
      <c r="AJ79" s="17"/>
      <c r="AK79" s="167">
        <f>+'yrP&amp;L'!R7</f>
        <v>3120.0650000000001</v>
      </c>
      <c r="AL79" s="167"/>
      <c r="AM79" s="167">
        <f>+'yrP&amp;L'!S7</f>
        <v>3475.8019999999997</v>
      </c>
      <c r="AN79" s="167"/>
      <c r="AO79" s="167">
        <f>+'yrP&amp;L'!T7</f>
        <v>3305.8019999999997</v>
      </c>
      <c r="AP79" s="167"/>
      <c r="AQ79" s="167">
        <f>+'yrP&amp;L'!U7</f>
        <v>3282.8670000000002</v>
      </c>
      <c r="AR79" s="167"/>
      <c r="AS79" s="167">
        <f>+'yrP&amp;L'!V7</f>
        <v>3521.848</v>
      </c>
      <c r="AT79" s="167"/>
      <c r="AU79" s="167">
        <f>+'yrP&amp;L'!X7</f>
        <v>3795.549</v>
      </c>
      <c r="AV79" s="167"/>
      <c r="AW79" s="167">
        <f>'yrP&amp;L'!X7</f>
        <v>3795.549</v>
      </c>
      <c r="AX79" s="167"/>
      <c r="AY79" s="167">
        <f>'yrP&amp;L'!Y7</f>
        <v>3846.3313542304768</v>
      </c>
      <c r="AZ79" s="167"/>
      <c r="BA79" s="167">
        <f>'yrP&amp;L'!Z7</f>
        <v>3913.2237388919393</v>
      </c>
      <c r="BB79" s="167"/>
      <c r="BC79" s="167">
        <f>'yrP&amp;L'!AA7</f>
        <v>3974.8909109841375</v>
      </c>
      <c r="BD79" s="167"/>
      <c r="BE79" s="167">
        <f>'yrP&amp;L'!AB7</f>
        <v>3975.1315261343361</v>
      </c>
      <c r="BF79" s="167"/>
      <c r="BG79" s="167">
        <f>'yrP&amp;L'!AC7</f>
        <v>3974.661154859115</v>
      </c>
      <c r="BH79" s="167"/>
    </row>
    <row r="80" spans="1:60" ht="12.75">
      <c r="A80" s="11" t="s">
        <v>31</v>
      </c>
      <c r="B80" s="11"/>
      <c r="C80" s="167"/>
      <c r="D80" s="167"/>
      <c r="E80" s="167">
        <f>'qtrP&amp;L'!$C$24</f>
        <v>249.41500000000002</v>
      </c>
      <c r="F80" s="186"/>
      <c r="G80" s="167">
        <f>'qtrP&amp;L'!G24</f>
        <v>227.64800000000002</v>
      </c>
      <c r="H80" s="11"/>
      <c r="I80" s="167">
        <f>'qtrP&amp;L'!K24</f>
        <v>268.74599999999998</v>
      </c>
      <c r="J80" s="11"/>
      <c r="K80" s="167">
        <f>'qtrP&amp;L'!O24</f>
        <v>353.089</v>
      </c>
      <c r="L80" s="11"/>
      <c r="M80" s="167">
        <f>'qtrP&amp;L'!S24</f>
        <v>475.596</v>
      </c>
      <c r="N80" s="11"/>
      <c r="O80" s="167">
        <f>'qtrP&amp;L'!W24</f>
        <v>657.25199999999995</v>
      </c>
      <c r="P80" s="11"/>
      <c r="Q80" s="167">
        <f>'qtrP&amp;L'!AB24</f>
        <v>824.53099999999995</v>
      </c>
      <c r="R80" s="11"/>
      <c r="S80" s="167">
        <f>'qtrP&amp;L'!AF24</f>
        <v>920.64300000000003</v>
      </c>
      <c r="T80" s="11"/>
      <c r="U80" s="167">
        <f>+'qtrP&amp;L'!AJ24</f>
        <v>943.06700000000001</v>
      </c>
      <c r="V80" s="11"/>
      <c r="W80" s="167">
        <f>+'yrP&amp;L'!K11</f>
        <v>1008.4589999999999</v>
      </c>
      <c r="X80" s="11"/>
      <c r="Y80" s="589">
        <f>+'yrP&amp;L'!L11</f>
        <v>1244.213</v>
      </c>
      <c r="Z80" s="11"/>
      <c r="AA80" s="167">
        <f>+'yrP&amp;L'!M11</f>
        <v>1453.98</v>
      </c>
      <c r="AB80" s="167"/>
      <c r="AC80" s="167">
        <f>+'yrP&amp;L'!N11</f>
        <v>1632.2810000000002</v>
      </c>
      <c r="AD80" s="17"/>
      <c r="AE80" s="167">
        <f>+'yrP&amp;L'!O11</f>
        <v>1814.7660000000001</v>
      </c>
      <c r="AF80" s="17"/>
      <c r="AG80" s="167">
        <f>+'yrP&amp;L'!P11</f>
        <v>1766.8389999999999</v>
      </c>
      <c r="AH80" s="17"/>
      <c r="AI80" s="167">
        <f>+'yrP&amp;L'!Q11</f>
        <v>1763.1433999999999</v>
      </c>
      <c r="AJ80" s="17"/>
      <c r="AK80" s="167">
        <f>+'yrP&amp;L'!R11</f>
        <v>1975.471</v>
      </c>
      <c r="AL80" s="167"/>
      <c r="AM80" s="167">
        <f>+'yrP&amp;L'!S11</f>
        <v>2084.5869999999995</v>
      </c>
      <c r="AN80" s="167"/>
      <c r="AO80" s="167">
        <f>+'yrP&amp;L'!T11</f>
        <v>2163.1790000000001</v>
      </c>
      <c r="AP80" s="167"/>
      <c r="AQ80" s="167">
        <f>+'yrP&amp;L'!U11</f>
        <v>2128.1930000000002</v>
      </c>
      <c r="AR80" s="167"/>
      <c r="AS80" s="167">
        <f>+'yrP&amp;L'!V11</f>
        <v>2219.114</v>
      </c>
      <c r="AT80" s="167"/>
      <c r="AU80" s="167">
        <f>+'yrP&amp;L'!X11</f>
        <v>2423.3650000000002</v>
      </c>
      <c r="AV80" s="167"/>
      <c r="AW80" s="167">
        <f>'yrP&amp;L'!X11</f>
        <v>2423.3650000000002</v>
      </c>
      <c r="AX80" s="167"/>
      <c r="AY80" s="167">
        <f>'yrP&amp;L'!Y11</f>
        <v>2452.6299158005886</v>
      </c>
      <c r="AZ80" s="167"/>
      <c r="BA80" s="167">
        <f>'yrP&amp;L'!Z11</f>
        <v>2500.5499691519494</v>
      </c>
      <c r="BB80" s="167"/>
      <c r="BC80" s="167">
        <f>'yrP&amp;L'!AA11</f>
        <v>2547.9050739408322</v>
      </c>
      <c r="BD80" s="167"/>
      <c r="BE80" s="167">
        <f>'yrP&amp;L'!AB11</f>
        <v>2552.0344397782437</v>
      </c>
      <c r="BF80" s="167"/>
      <c r="BG80" s="167">
        <f>'yrP&amp;L'!AC11</f>
        <v>2551.7324614195518</v>
      </c>
      <c r="BH80" s="167"/>
    </row>
    <row r="81" spans="1:60" ht="12.75">
      <c r="A81" s="11" t="s">
        <v>33</v>
      </c>
      <c r="B81" s="11"/>
      <c r="C81" s="186"/>
      <c r="D81" s="11"/>
      <c r="E81" s="167">
        <f>'qtrP&amp;L'!$C$34</f>
        <v>82.679000000000002</v>
      </c>
      <c r="F81" s="167"/>
      <c r="G81" s="167">
        <f>'qtrP&amp;L'!G34</f>
        <v>83.81</v>
      </c>
      <c r="H81" s="167"/>
      <c r="I81" s="167">
        <f>'qtrP&amp;L'!K34</f>
        <v>98.528999999999996</v>
      </c>
      <c r="J81" s="167"/>
      <c r="K81" s="167">
        <f>'qtrP&amp;L'!O34</f>
        <v>138.84700000000001</v>
      </c>
      <c r="L81" s="167"/>
      <c r="M81" s="167">
        <f>'qtrP&amp;L'!S34</f>
        <v>194.79499999999999</v>
      </c>
      <c r="N81" s="167"/>
      <c r="O81" s="167">
        <f>'qtrP&amp;L'!W34</f>
        <v>266.47400000000005</v>
      </c>
      <c r="P81" s="11"/>
      <c r="Q81" s="167">
        <f>'qtrP&amp;L'!AB34</f>
        <v>339.02</v>
      </c>
      <c r="R81" s="11"/>
      <c r="S81" s="167">
        <f>'qtrP&amp;L'!AF34</f>
        <v>350.75200000000001</v>
      </c>
      <c r="T81" s="11"/>
      <c r="U81" s="167">
        <f>+'qtrP&amp;L'!AJ34</f>
        <v>372.19599999999997</v>
      </c>
      <c r="V81" s="11"/>
      <c r="W81" s="167">
        <f>+'yrP&amp;L'!K19</f>
        <v>450.77699999999999</v>
      </c>
      <c r="X81" s="11"/>
      <c r="Y81" s="589">
        <f>+'yrP&amp;L'!L19</f>
        <v>540.33199999999999</v>
      </c>
      <c r="Z81" s="11"/>
      <c r="AA81" s="167">
        <f>+'yrP&amp;L'!M19</f>
        <v>665.60700000000008</v>
      </c>
      <c r="AB81" s="167"/>
      <c r="AC81" s="167">
        <f>+'yrP&amp;L'!N19</f>
        <v>715.18000000000006</v>
      </c>
      <c r="AD81" s="17"/>
      <c r="AE81" s="167">
        <f>+'yrP&amp;L'!O19</f>
        <v>734.04099999999994</v>
      </c>
      <c r="AF81" s="17"/>
      <c r="AG81" s="167">
        <f>+'yrP&amp;L'!P19</f>
        <v>725.27800000000002</v>
      </c>
      <c r="AH81" s="17"/>
      <c r="AI81" s="167">
        <f>+'yrP&amp;L'!Q19</f>
        <v>702.92399999999998</v>
      </c>
      <c r="AJ81" s="17"/>
      <c r="AK81" s="167">
        <f>+'yrP&amp;L'!R19</f>
        <v>712.58699999999999</v>
      </c>
      <c r="AL81" s="167"/>
      <c r="AM81" s="167">
        <f>+'yrP&amp;L'!S19</f>
        <v>828.55499999999995</v>
      </c>
      <c r="AN81" s="167"/>
      <c r="AO81" s="167">
        <f>+'yrP&amp;L'!T19</f>
        <v>788.66499999999996</v>
      </c>
      <c r="AP81" s="167"/>
      <c r="AQ81" s="167">
        <f>+'yrP&amp;L'!U19</f>
        <v>806.49799999999993</v>
      </c>
      <c r="AR81" s="167"/>
      <c r="AS81" s="167">
        <f>+'yrP&amp;L'!V19</f>
        <v>834.7</v>
      </c>
      <c r="AT81" s="167"/>
      <c r="AU81" s="167">
        <f>+'yrP&amp;L'!X19</f>
        <v>879.68499999999995</v>
      </c>
      <c r="AV81" s="167"/>
      <c r="AW81" s="167">
        <f>'yrP&amp;L'!X19</f>
        <v>879.68499999999995</v>
      </c>
      <c r="AX81" s="167"/>
      <c r="AY81" s="167">
        <f>'yrP&amp;L'!Y19</f>
        <v>895.68117492419356</v>
      </c>
      <c r="AZ81" s="167"/>
      <c r="BA81" s="167">
        <f>'yrP&amp;L'!Z19</f>
        <v>913.34642065737864</v>
      </c>
      <c r="BB81" s="167"/>
      <c r="BC81" s="167">
        <f>'yrP&amp;L'!AA19</f>
        <v>933.30438589907556</v>
      </c>
      <c r="BD81" s="167"/>
      <c r="BE81" s="167">
        <f>'yrP&amp;L'!AB19</f>
        <v>939.72109277815707</v>
      </c>
      <c r="BF81" s="167"/>
      <c r="BG81" s="167">
        <f>'yrP&amp;L'!AC19</f>
        <v>961.86799947590578</v>
      </c>
      <c r="BH81" s="167"/>
    </row>
    <row r="82" spans="1:60" ht="12.75">
      <c r="A82" s="158" t="s">
        <v>34</v>
      </c>
      <c r="B82" s="11"/>
      <c r="C82" s="189"/>
      <c r="D82" s="11"/>
      <c r="E82" s="167">
        <f>'qtrP&amp;L'!C134</f>
        <v>0</v>
      </c>
      <c r="F82" s="190"/>
      <c r="G82" s="167">
        <f>'qtrP&amp;L'!G134</f>
        <v>0</v>
      </c>
      <c r="H82" s="11"/>
      <c r="I82" s="167">
        <f>'qtrP&amp;L'!K124</f>
        <v>19.537000000000013</v>
      </c>
      <c r="J82" s="11"/>
      <c r="K82" s="167">
        <f>'qtrP&amp;L'!O124</f>
        <v>54.118000000000002</v>
      </c>
      <c r="L82" s="11"/>
      <c r="M82" s="167">
        <f>'qtrP&amp;L'!S124</f>
        <v>90.660000000000039</v>
      </c>
      <c r="N82" s="11"/>
      <c r="O82" s="167">
        <f>'qtrP&amp;L'!W124</f>
        <v>93.757999999999953</v>
      </c>
      <c r="P82" s="11"/>
      <c r="Q82" s="167">
        <f>'qtrP&amp;L'!AB134</f>
        <v>0</v>
      </c>
      <c r="R82" s="11"/>
      <c r="S82" s="167">
        <f>'qtrP&amp;L'!AF134</f>
        <v>0</v>
      </c>
      <c r="T82" s="11"/>
      <c r="U82" s="167">
        <f>+'qtrP&amp;L'!AJ124</f>
        <v>67.455999999999989</v>
      </c>
      <c r="V82" s="11"/>
      <c r="W82" s="167">
        <f>+'yrP&amp;L'!K45</f>
        <v>224.23200000000003</v>
      </c>
      <c r="X82" s="11"/>
      <c r="Y82" s="589">
        <f>+'yrP&amp;L'!L45</f>
        <v>293.71100000000001</v>
      </c>
      <c r="Z82" s="11"/>
      <c r="AA82" s="167">
        <f>+'yrP&amp;L'!M45</f>
        <v>387.35899999999958</v>
      </c>
      <c r="AB82" s="167"/>
      <c r="AC82" s="167">
        <f>+'yrP&amp;L'!N45</f>
        <v>400.01899999999961</v>
      </c>
      <c r="AD82" s="17"/>
      <c r="AE82" s="167">
        <f>+'yrP&amp;L'!O45</f>
        <v>204.97809999999996</v>
      </c>
      <c r="AF82" s="17"/>
      <c r="AG82" s="167">
        <f>+'yrP&amp;L'!P45</f>
        <v>207.87499999999986</v>
      </c>
      <c r="AH82" s="17"/>
      <c r="AI82" s="167">
        <f>+'yrP&amp;L'!Q45</f>
        <v>219.9316</v>
      </c>
      <c r="AJ82" s="17"/>
      <c r="AK82" s="167">
        <f>+'yrP&amp;L'!R45</f>
        <v>190.51996000000011</v>
      </c>
      <c r="AL82" s="167"/>
      <c r="AM82" s="167">
        <f>+'yrP&amp;L'!S45</f>
        <v>278.68800000000022</v>
      </c>
      <c r="AN82" s="167"/>
      <c r="AO82" s="167">
        <f>+'yrP&amp;L'!T45</f>
        <v>144.58799999999962</v>
      </c>
      <c r="AP82" s="167"/>
      <c r="AQ82" s="167">
        <f>+'yrP&amp;L'!U45</f>
        <v>122.85588800000008</v>
      </c>
      <c r="AR82" s="167"/>
      <c r="AS82" s="167">
        <f>+'yrP&amp;L'!V45</f>
        <v>213.29099999999991</v>
      </c>
      <c r="AT82" s="167"/>
      <c r="AU82" s="167">
        <f>+'yrP&amp;L'!X45</f>
        <v>208.25689999999977</v>
      </c>
      <c r="AV82" s="167"/>
      <c r="AW82" s="167">
        <f>'yrP&amp;L'!X45</f>
        <v>208.25689999999977</v>
      </c>
      <c r="AX82" s="167"/>
      <c r="AY82" s="167">
        <f>'yrP&amp;L'!Y45</f>
        <v>241.48208877209117</v>
      </c>
      <c r="AZ82" s="167"/>
      <c r="BA82" s="167">
        <f>'yrP&amp;L'!Z45</f>
        <v>240.41765795851921</v>
      </c>
      <c r="BB82" s="167"/>
      <c r="BC82" s="167">
        <f>'yrP&amp;L'!AA45</f>
        <v>230.19482822221167</v>
      </c>
      <c r="BD82" s="167"/>
      <c r="BE82" s="167">
        <f>'yrP&amp;L'!AB45</f>
        <v>219.4759076634794</v>
      </c>
      <c r="BF82" s="167"/>
      <c r="BG82" s="167">
        <f>'yrP&amp;L'!AC45</f>
        <v>202.75636056230348</v>
      </c>
      <c r="BH82" s="167"/>
    </row>
    <row r="83" spans="1:60" ht="12.75">
      <c r="A83" s="11"/>
      <c r="B83" s="11"/>
      <c r="C83" s="160"/>
      <c r="D83" s="11"/>
      <c r="E83" s="161"/>
      <c r="F83" s="11"/>
      <c r="G83" s="161"/>
      <c r="H83" s="11"/>
      <c r="I83" s="161"/>
      <c r="J83" s="11"/>
      <c r="K83" s="161"/>
      <c r="L83" s="11"/>
      <c r="M83" s="56"/>
      <c r="N83" s="11"/>
      <c r="O83" s="56"/>
      <c r="P83" s="11"/>
      <c r="Q83" s="56"/>
      <c r="R83" s="11"/>
      <c r="S83" s="56"/>
      <c r="T83" s="11"/>
      <c r="U83" s="56"/>
      <c r="V83" s="11"/>
      <c r="W83" s="56"/>
      <c r="X83" s="11"/>
      <c r="Y83" s="590"/>
      <c r="Z83" s="11"/>
      <c r="AA83" s="56"/>
      <c r="AB83" s="56"/>
      <c r="AC83" s="56"/>
      <c r="AD83" s="17"/>
      <c r="AE83" s="164"/>
      <c r="AF83" s="17"/>
      <c r="AG83" s="164"/>
      <c r="AH83" s="17"/>
      <c r="AI83" s="164"/>
      <c r="AJ83" s="17"/>
      <c r="AK83" s="56"/>
      <c r="AL83" s="56"/>
      <c r="AM83" s="56"/>
      <c r="AN83" s="56"/>
      <c r="AO83" s="56"/>
      <c r="AP83" s="56"/>
      <c r="AQ83" s="56"/>
      <c r="AR83" s="56"/>
      <c r="AS83" s="56"/>
      <c r="AT83" s="56"/>
      <c r="AU83" s="56"/>
      <c r="AV83" s="56"/>
      <c r="AW83" s="56"/>
      <c r="AX83" s="56"/>
      <c r="AY83" s="56"/>
      <c r="AZ83" s="56"/>
      <c r="BA83" s="56"/>
      <c r="BB83" s="56"/>
      <c r="BC83" s="56"/>
      <c r="BD83" s="56"/>
      <c r="BE83" s="56"/>
      <c r="BF83" s="56"/>
      <c r="BG83" s="56"/>
      <c r="BH83" s="56"/>
    </row>
    <row r="84" spans="1:60" ht="12.75">
      <c r="A84" s="158" t="s">
        <v>134</v>
      </c>
      <c r="B84" s="11"/>
      <c r="C84" s="191"/>
      <c r="D84" s="191"/>
      <c r="E84" s="191">
        <f>E10/E79</f>
        <v>6.8740578803078253E-2</v>
      </c>
      <c r="F84" s="191"/>
      <c r="G84" s="191">
        <f>G10/G79</f>
        <v>8.3078026004583277E-2</v>
      </c>
      <c r="H84" s="11"/>
      <c r="I84" s="191">
        <f>I10/I79</f>
        <v>8.9417889000352468E-2</v>
      </c>
      <c r="J84" s="11"/>
      <c r="K84" s="191">
        <f>K10/K79</f>
        <v>8.4560925799863851E-2</v>
      </c>
      <c r="L84" s="11"/>
      <c r="M84" s="326">
        <f>M10/M79</f>
        <v>7.2557036139713302E-2</v>
      </c>
      <c r="N84" s="326"/>
      <c r="O84" s="326">
        <f>O10/O79</f>
        <v>7.6877702960373204E-2</v>
      </c>
      <c r="P84" s="326"/>
      <c r="Q84" s="326">
        <f>Q10/Q79</f>
        <v>6.6401389606669289E-2</v>
      </c>
      <c r="R84" s="11"/>
      <c r="S84" s="326">
        <f>S10/S79</f>
        <v>8.5233070496965088E-2</v>
      </c>
      <c r="T84" s="11"/>
      <c r="U84" s="326">
        <f>U10/U79</f>
        <v>8.0751734589260118E-2</v>
      </c>
      <c r="V84" s="11"/>
      <c r="W84" s="326">
        <f>W10/W79</f>
        <v>9.026871156358833E-2</v>
      </c>
      <c r="X84" s="11"/>
      <c r="Y84" s="591">
        <f>Y10/Y79</f>
        <v>9.075902189613784E-2</v>
      </c>
      <c r="Z84" s="11"/>
      <c r="AA84" s="326">
        <f>AA10/AA79</f>
        <v>9.4346962094668335E-2</v>
      </c>
      <c r="AB84" s="192"/>
      <c r="AC84" s="326">
        <f>AC10/AC79</f>
        <v>9.3762917622754863E-2</v>
      </c>
      <c r="AD84" s="17"/>
      <c r="AE84" s="326">
        <f>AE10/AE79</f>
        <v>9.8675551195670869E-2</v>
      </c>
      <c r="AF84" s="326"/>
      <c r="AG84" s="326">
        <f>AG10/AG79</f>
        <v>0.11102861676941805</v>
      </c>
      <c r="AH84" s="17"/>
      <c r="AI84" s="326">
        <f>AI10/AI79</f>
        <v>0.10226754952137207</v>
      </c>
      <c r="AJ84" s="17"/>
      <c r="AK84" s="326">
        <f>AK10/AK79</f>
        <v>0.12128785778501409</v>
      </c>
      <c r="AL84" s="380"/>
      <c r="AM84" s="326">
        <f>AM10/AM79</f>
        <v>9.5647565655350916E-2</v>
      </c>
      <c r="AN84" s="380"/>
      <c r="AO84" s="326">
        <f>AO10/AO79</f>
        <v>8.8190702286464834E-2</v>
      </c>
      <c r="AP84" s="380"/>
      <c r="AQ84" s="326">
        <f>AQ10/AQ79</f>
        <v>8.4978160857567472E-2</v>
      </c>
      <c r="AR84" s="326"/>
      <c r="AS84" s="326">
        <f>AS10/AS79</f>
        <v>8.6652802733110573E-2</v>
      </c>
      <c r="AT84" s="380"/>
      <c r="AU84" s="326">
        <f>AU10/AU79</f>
        <v>9.4438512057149052E-2</v>
      </c>
      <c r="AV84" s="380"/>
      <c r="AW84" s="326">
        <f>AW10/AW79</f>
        <v>0.10491578425150092</v>
      </c>
      <c r="AX84" s="380"/>
      <c r="AY84" s="380">
        <v>0.11</v>
      </c>
      <c r="AZ84" s="380"/>
      <c r="BA84" s="380">
        <v>0.115</v>
      </c>
      <c r="BB84" s="380"/>
      <c r="BC84" s="380">
        <v>0.12</v>
      </c>
      <c r="BD84" s="380"/>
      <c r="BE84" s="380">
        <f>BC84</f>
        <v>0.12</v>
      </c>
      <c r="BF84" s="380"/>
      <c r="BG84" s="380">
        <f>BE84</f>
        <v>0.12</v>
      </c>
      <c r="BH84" s="380"/>
    </row>
    <row r="85" spans="1:60" ht="12.75">
      <c r="A85" s="158" t="s">
        <v>133</v>
      </c>
      <c r="B85" s="11"/>
      <c r="C85" s="191"/>
      <c r="D85" s="191"/>
      <c r="E85" s="191">
        <f>E11/E79</f>
        <v>1.6578368197271418E-2</v>
      </c>
      <c r="F85" s="191"/>
      <c r="G85" s="191">
        <f>G11/G79</f>
        <v>1.0894474332422396E-2</v>
      </c>
      <c r="H85" s="11"/>
      <c r="I85" s="191">
        <f>I11/I79</f>
        <v>1.8848299167145251E-2</v>
      </c>
      <c r="J85" s="11"/>
      <c r="K85" s="191">
        <f>K11/K79</f>
        <v>1.4567733151803949E-2</v>
      </c>
      <c r="L85" s="11"/>
      <c r="M85" s="326">
        <f>M11/M79</f>
        <v>1.6189082133964024E-2</v>
      </c>
      <c r="N85" s="326"/>
      <c r="O85" s="326">
        <f>O11/O79</f>
        <v>2.6947068845526705E-2</v>
      </c>
      <c r="P85" s="326"/>
      <c r="Q85" s="326">
        <f>Q11/Q79</f>
        <v>1.2848613491226393E-2</v>
      </c>
      <c r="R85" s="11"/>
      <c r="S85" s="326">
        <f>S11/S79</f>
        <v>9.2937044345008449E-3</v>
      </c>
      <c r="T85" s="11"/>
      <c r="U85" s="326">
        <f>U11/U79</f>
        <v>1.6158248916990841E-2</v>
      </c>
      <c r="V85" s="11"/>
      <c r="W85" s="326">
        <f>W11/W79</f>
        <v>1.3987797720949997E-2</v>
      </c>
      <c r="X85" s="11"/>
      <c r="Y85" s="591">
        <f>Y11/Y79</f>
        <v>1.255231567097136E-2</v>
      </c>
      <c r="Z85" s="11"/>
      <c r="AA85" s="591">
        <f>AA11/AA79</f>
        <v>9.3203965489661693E-3</v>
      </c>
      <c r="AB85" s="192"/>
      <c r="AC85" s="591">
        <f>AC11/AC79</f>
        <v>1.0447012341024259E-2</v>
      </c>
      <c r="AD85" s="17"/>
      <c r="AE85" s="591">
        <f>AE11/AE79</f>
        <v>1.3875162017969355E-2</v>
      </c>
      <c r="AF85" s="17"/>
      <c r="AG85" s="591">
        <f>AG11/AG79</f>
        <v>1.181728610545498E-2</v>
      </c>
      <c r="AH85" s="17"/>
      <c r="AI85" s="591">
        <f>AI11/AI79</f>
        <v>1.2467685738673287E-2</v>
      </c>
      <c r="AJ85" s="17"/>
      <c r="AK85" s="591">
        <f>AK11/AK79</f>
        <v>1.2919602636483535E-2</v>
      </c>
      <c r="AL85" s="380"/>
      <c r="AM85" s="591">
        <f>AM11/AM79</f>
        <v>1.3326708483394624E-2</v>
      </c>
      <c r="AN85" s="380"/>
      <c r="AO85" s="591">
        <f>AO11/AO79</f>
        <v>2.2349190907380422E-2</v>
      </c>
      <c r="AP85" s="380"/>
      <c r="AQ85" s="591">
        <f>AQ11/AQ79</f>
        <v>2.0681313010853013E-2</v>
      </c>
      <c r="AR85" s="591"/>
      <c r="AS85" s="591">
        <f>AS11/AS79</f>
        <v>2.2974302127746572E-2</v>
      </c>
      <c r="AT85" s="380"/>
      <c r="AU85" s="591">
        <f>AU11/AU79</f>
        <v>2.2825156518859326E-2</v>
      </c>
      <c r="AV85" s="380"/>
      <c r="AW85" s="591">
        <f>AW11/AW79</f>
        <v>2.0630480597141548E-2</v>
      </c>
      <c r="AX85" s="380"/>
      <c r="AY85" s="380">
        <f t="shared" ref="AY84:BC88" si="3">AW85</f>
        <v>2.0630480597141548E-2</v>
      </c>
      <c r="AZ85" s="380"/>
      <c r="BA85" s="380">
        <f t="shared" si="3"/>
        <v>2.0630480597141548E-2</v>
      </c>
      <c r="BB85" s="380"/>
      <c r="BC85" s="380">
        <f t="shared" si="3"/>
        <v>2.0630480597141548E-2</v>
      </c>
      <c r="BD85" s="380"/>
      <c r="BE85" s="380">
        <f>BC85</f>
        <v>2.0630480597141548E-2</v>
      </c>
      <c r="BF85" s="380"/>
      <c r="BG85" s="380">
        <f>BE85</f>
        <v>2.0630480597141548E-2</v>
      </c>
      <c r="BH85" s="380"/>
    </row>
    <row r="86" spans="1:60" ht="12.75">
      <c r="A86" s="158" t="s">
        <v>135</v>
      </c>
      <c r="B86" s="11"/>
      <c r="C86" s="191"/>
      <c r="D86" s="191"/>
      <c r="E86" s="191">
        <f>+E29/E10</f>
        <v>0.69103188851842356</v>
      </c>
      <c r="F86" s="191"/>
      <c r="G86" s="191">
        <f>+G29/G10</f>
        <v>0.75340192499170255</v>
      </c>
      <c r="H86" s="11"/>
      <c r="I86" s="191">
        <f>+I29/I10</f>
        <v>0.6782623077347153</v>
      </c>
      <c r="J86" s="11"/>
      <c r="K86" s="191">
        <f>+K29/K10</f>
        <v>0.37334970214136204</v>
      </c>
      <c r="L86" s="11"/>
      <c r="M86" s="326">
        <f>+M29/M10</f>
        <v>0.50848861283643887</v>
      </c>
      <c r="N86" s="326"/>
      <c r="O86" s="326">
        <f>+O29/O10</f>
        <v>0.50007137419109249</v>
      </c>
      <c r="P86" s="326"/>
      <c r="Q86" s="326">
        <f>+Q29/Q10</f>
        <v>0.42885527355756564</v>
      </c>
      <c r="R86" s="11"/>
      <c r="S86" s="326">
        <f>+S29/S10</f>
        <v>0.40581197677775283</v>
      </c>
      <c r="T86" s="11"/>
      <c r="U86" s="326">
        <f>+U29/U10</f>
        <v>0.59152803808070586</v>
      </c>
      <c r="V86" s="11"/>
      <c r="W86" s="326">
        <f>+W29/W10</f>
        <v>0.63859511302879657</v>
      </c>
      <c r="X86" s="11"/>
      <c r="Y86" s="591">
        <f>+Y29/Y10</f>
        <v>0.66051846122454794</v>
      </c>
      <c r="Z86" s="11"/>
      <c r="AA86" s="591">
        <f>+AA29/AA10</f>
        <v>0.6491708516029191</v>
      </c>
      <c r="AB86" s="192"/>
      <c r="AC86" s="591">
        <f>+AC29/AC10</f>
        <v>0.55126097352391923</v>
      </c>
      <c r="AD86" s="17"/>
      <c r="AE86" s="591">
        <f>+AE29/AE10</f>
        <v>0.51561058970324969</v>
      </c>
      <c r="AF86" s="17"/>
      <c r="AG86" s="591">
        <f>+AG29/AG10</f>
        <v>0.48559980885515264</v>
      </c>
      <c r="AH86" s="17"/>
      <c r="AI86" s="591">
        <f>+AI29/AI10</f>
        <v>0.55683447982789303</v>
      </c>
      <c r="AJ86" s="17"/>
      <c r="AK86" s="591">
        <f>+AK29/AK10</f>
        <v>0.48565109162689668</v>
      </c>
      <c r="AL86" s="380"/>
      <c r="AM86" s="591">
        <f>+AM29/AM10</f>
        <v>0.53202868384007318</v>
      </c>
      <c r="AN86" s="380"/>
      <c r="AO86" s="591">
        <f>+AO29/AO10</f>
        <v>0.69929100881179673</v>
      </c>
      <c r="AP86" s="380"/>
      <c r="AQ86" s="591">
        <f>+AQ29/AQ10</f>
        <v>0.68517987468276387</v>
      </c>
      <c r="AR86" s="591"/>
      <c r="AS86" s="591">
        <f>+AS29/AS10</f>
        <v>0.59895864053109982</v>
      </c>
      <c r="AT86" s="380"/>
      <c r="AU86" s="591">
        <f>+AU29/AU10</f>
        <v>0.68686496710801626</v>
      </c>
      <c r="AV86" s="380"/>
      <c r="AW86" s="591">
        <f>+AW29/AW10</f>
        <v>0.59441304025734965</v>
      </c>
      <c r="AX86" s="380"/>
      <c r="AY86" s="380">
        <f t="shared" si="3"/>
        <v>0.59441304025734965</v>
      </c>
      <c r="AZ86" s="380"/>
      <c r="BA86" s="380">
        <f t="shared" si="3"/>
        <v>0.59441304025734965</v>
      </c>
      <c r="BB86" s="380"/>
      <c r="BC86" s="380">
        <f t="shared" si="3"/>
        <v>0.59441304025734965</v>
      </c>
      <c r="BD86" s="380"/>
      <c r="BE86" s="380">
        <f>BC86</f>
        <v>0.59441304025734965</v>
      </c>
      <c r="BF86" s="380"/>
      <c r="BG86" s="380">
        <f>BE86</f>
        <v>0.59441304025734965</v>
      </c>
      <c r="BH86" s="380"/>
    </row>
    <row r="87" spans="1:60" ht="12.75">
      <c r="A87" s="158" t="s">
        <v>567</v>
      </c>
      <c r="B87" s="11"/>
      <c r="C87" s="191"/>
      <c r="D87" s="191"/>
      <c r="E87" s="191">
        <f>E31/E81</f>
        <v>5.1464096082439313E-2</v>
      </c>
      <c r="F87" s="191"/>
      <c r="G87" s="191">
        <f>G31/G81</f>
        <v>5.877580241021358E-2</v>
      </c>
      <c r="H87" s="11"/>
      <c r="I87" s="191">
        <f>I31/I81</f>
        <v>9.364755554202317E-2</v>
      </c>
      <c r="J87" s="11"/>
      <c r="K87" s="191">
        <f>K31/K81</f>
        <v>0.12775933221459593</v>
      </c>
      <c r="L87" s="11"/>
      <c r="M87" s="326">
        <f>M31/M81</f>
        <v>0.10938165764008316</v>
      </c>
      <c r="N87" s="326"/>
      <c r="O87" s="326">
        <f>O31/O81</f>
        <v>9.5878021870801633E-2</v>
      </c>
      <c r="P87" s="326"/>
      <c r="Q87" s="326">
        <f>Q31/Q81</f>
        <v>8.124889387056812E-2</v>
      </c>
      <c r="R87" s="11"/>
      <c r="S87" s="326">
        <f>S31/S81</f>
        <v>3.7066075175622659E-2</v>
      </c>
      <c r="T87" s="11"/>
      <c r="U87" s="326">
        <f>U31/U81</f>
        <v>3.8713473546196094E-2</v>
      </c>
      <c r="V87" s="11"/>
      <c r="W87" s="326">
        <f>W31/W81</f>
        <v>7.9879851900163501E-2</v>
      </c>
      <c r="X87" s="11"/>
      <c r="Y87" s="591">
        <f>Y31/Y81</f>
        <v>8.8926807962511928E-2</v>
      </c>
      <c r="Z87" s="11"/>
      <c r="AA87" s="591">
        <f>AA31/AA81</f>
        <v>8.7695892621321589E-2</v>
      </c>
      <c r="AB87" s="192"/>
      <c r="AC87" s="591">
        <f>AC31/AC81</f>
        <v>6.9204955395844397E-2</v>
      </c>
      <c r="AD87" s="17"/>
      <c r="AE87" s="591">
        <f>AE31/AE81</f>
        <v>4.0075418130594891E-2</v>
      </c>
      <c r="AF87" s="17"/>
      <c r="AG87" s="591">
        <f>AG31/AG81</f>
        <v>7.6031535493976093E-2</v>
      </c>
      <c r="AH87" s="17"/>
      <c r="AI87" s="591">
        <f>AI31/AI81</f>
        <v>4.9726570724573357E-2</v>
      </c>
      <c r="AJ87" s="17"/>
      <c r="AK87" s="591">
        <f>AK31/AK81</f>
        <v>5.9817257401552373E-2</v>
      </c>
      <c r="AL87" s="380"/>
      <c r="AM87" s="591">
        <f>AM31/AM81</f>
        <v>7.9093119949792109E-2</v>
      </c>
      <c r="AN87" s="380"/>
      <c r="AO87" s="591">
        <f>AO31/AO81</f>
        <v>2.9873266849676353E-2</v>
      </c>
      <c r="AP87" s="380"/>
      <c r="AQ87" s="591">
        <f>AQ31/AQ81</f>
        <v>5.5652958841807425E-2</v>
      </c>
      <c r="AR87" s="591"/>
      <c r="AS87" s="591">
        <f>AS31/AS81</f>
        <v>9.5006589193722304E-2</v>
      </c>
      <c r="AT87" s="380"/>
      <c r="AU87" s="591">
        <f>AU31/AU81</f>
        <v>6.1594775402558873E-2</v>
      </c>
      <c r="AV87" s="380"/>
      <c r="AW87" s="591">
        <f>AW31/AW81</f>
        <v>6.175392327935568E-2</v>
      </c>
      <c r="AX87" s="380"/>
      <c r="AY87" s="380">
        <f t="shared" si="3"/>
        <v>6.175392327935568E-2</v>
      </c>
      <c r="AZ87" s="380"/>
      <c r="BA87" s="380">
        <f t="shared" si="3"/>
        <v>6.175392327935568E-2</v>
      </c>
      <c r="BB87" s="380"/>
      <c r="BC87" s="380">
        <f t="shared" si="3"/>
        <v>6.175392327935568E-2</v>
      </c>
      <c r="BD87" s="380"/>
      <c r="BE87" s="380">
        <f>BC87</f>
        <v>6.175392327935568E-2</v>
      </c>
      <c r="BF87" s="380"/>
      <c r="BG87" s="380">
        <f>BE87</f>
        <v>6.175392327935568E-2</v>
      </c>
      <c r="BH87" s="380"/>
    </row>
    <row r="88" spans="1:60" ht="12.75">
      <c r="A88" s="158" t="s">
        <v>136</v>
      </c>
      <c r="B88" s="11"/>
      <c r="C88" s="191"/>
      <c r="D88" s="191"/>
      <c r="E88" s="191">
        <f>E36/E81</f>
        <v>3.701060728842874E-2</v>
      </c>
      <c r="F88" s="191"/>
      <c r="G88" s="191">
        <f>G36/G81</f>
        <v>3.0330509485741557E-2</v>
      </c>
      <c r="H88" s="11"/>
      <c r="I88" s="191">
        <f>I36/I81</f>
        <v>8.3934679130002326E-3</v>
      </c>
      <c r="J88" s="11"/>
      <c r="K88" s="191">
        <f>K36/K81</f>
        <v>1.6377739526241112E-2</v>
      </c>
      <c r="L88" s="11"/>
      <c r="M88" s="326">
        <f>M36/M81</f>
        <v>1.5570214841243359E-2</v>
      </c>
      <c r="N88" s="326"/>
      <c r="O88" s="326">
        <f>O36/O81</f>
        <v>4.4578457935858649E-2</v>
      </c>
      <c r="P88" s="326"/>
      <c r="Q88" s="326">
        <f>Q36/Q81</f>
        <v>2.2060645389652529E-2</v>
      </c>
      <c r="R88" s="11"/>
      <c r="S88" s="326">
        <f>S36/S81</f>
        <v>2.7894352705045162E-2</v>
      </c>
      <c r="T88" s="11"/>
      <c r="U88" s="326">
        <f>U36/U81</f>
        <v>3.4995002633021313E-2</v>
      </c>
      <c r="V88" s="11"/>
      <c r="W88" s="326">
        <f>W36/W81</f>
        <v>3.5831464338242636E-2</v>
      </c>
      <c r="X88" s="11"/>
      <c r="Y88" s="591">
        <f>Y36/Y81</f>
        <v>2.777921722200425E-2</v>
      </c>
      <c r="Z88" s="11"/>
      <c r="AA88" s="591">
        <f>AA36/AA81</f>
        <v>2.7438112880423433E-2</v>
      </c>
      <c r="AB88" s="192"/>
      <c r="AC88" s="591">
        <f>AC36/AC81</f>
        <v>2.2770491344836264E-2</v>
      </c>
      <c r="AD88" s="17"/>
      <c r="AE88" s="591">
        <f>AE36/AE81</f>
        <v>2.49291252123519E-2</v>
      </c>
      <c r="AF88" s="17"/>
      <c r="AG88" s="591">
        <f>AG36/AG81</f>
        <v>2.6275441968458987E-2</v>
      </c>
      <c r="AH88" s="17"/>
      <c r="AI88" s="591">
        <f>AI36/AI81</f>
        <v>3.5705140242757394E-2</v>
      </c>
      <c r="AJ88" s="17"/>
      <c r="AK88" s="591">
        <f>AK36/AK81</f>
        <v>3.0734492770707295E-2</v>
      </c>
      <c r="AL88" s="380"/>
      <c r="AM88" s="591">
        <f>AM36/AM81</f>
        <v>3.213787859586871E-2</v>
      </c>
      <c r="AN88" s="380"/>
      <c r="AO88" s="591">
        <f>AO36/AO81</f>
        <v>5.7545345615692342E-2</v>
      </c>
      <c r="AP88" s="380"/>
      <c r="AQ88" s="591">
        <f>AQ36/AQ81</f>
        <v>6.2652356236469281E-2</v>
      </c>
      <c r="AR88" s="591"/>
      <c r="AS88" s="591">
        <f>AS36/AS81</f>
        <v>4.9000838624655568E-2</v>
      </c>
      <c r="AT88" s="380"/>
      <c r="AU88" s="591">
        <f>AU36/AU81</f>
        <v>4.1844523892075013E-2</v>
      </c>
      <c r="AV88" s="380"/>
      <c r="AW88" s="591">
        <f>AW36/AW81</f>
        <v>3.9276559222903656E-2</v>
      </c>
      <c r="AX88" s="380"/>
      <c r="AY88" s="380">
        <f t="shared" si="3"/>
        <v>3.9276559222903656E-2</v>
      </c>
      <c r="AZ88" s="380"/>
      <c r="BA88" s="380">
        <f t="shared" si="3"/>
        <v>3.9276559222903656E-2</v>
      </c>
      <c r="BB88" s="380"/>
      <c r="BC88" s="380">
        <f t="shared" si="3"/>
        <v>3.9276559222903656E-2</v>
      </c>
      <c r="BD88" s="380"/>
      <c r="BE88" s="380">
        <f>BC88</f>
        <v>3.9276559222903656E-2</v>
      </c>
      <c r="BF88" s="380"/>
      <c r="BG88" s="380">
        <f>BE88</f>
        <v>3.9276559222903656E-2</v>
      </c>
      <c r="BH88" s="380"/>
    </row>
    <row r="89" spans="1:60" ht="12.75">
      <c r="A89" s="11"/>
      <c r="B89" s="11"/>
      <c r="C89" s="160"/>
      <c r="D89" s="11"/>
      <c r="E89" s="161"/>
      <c r="F89" s="11"/>
      <c r="G89" s="161"/>
      <c r="H89" s="11"/>
      <c r="I89" s="161"/>
      <c r="J89" s="11"/>
      <c r="K89" s="161"/>
      <c r="L89" s="11"/>
      <c r="M89" s="56"/>
      <c r="N89" s="11"/>
      <c r="O89" s="56"/>
      <c r="P89" s="11"/>
      <c r="Q89" s="56"/>
      <c r="R89" s="11"/>
      <c r="S89" s="56"/>
      <c r="T89" s="11"/>
      <c r="U89" s="56"/>
      <c r="V89" s="11"/>
      <c r="W89" s="56"/>
      <c r="X89" s="11"/>
      <c r="Y89" s="590"/>
      <c r="Z89" s="11"/>
      <c r="AA89" s="56"/>
      <c r="AB89" s="56"/>
      <c r="AC89" s="56"/>
      <c r="AD89" s="17"/>
      <c r="AE89" s="56"/>
      <c r="AF89" s="17"/>
      <c r="AG89" s="56"/>
      <c r="AH89" s="17"/>
      <c r="AI89" s="56"/>
      <c r="AJ89" s="17"/>
      <c r="AK89" s="56"/>
      <c r="AL89" s="56"/>
      <c r="AM89" s="56"/>
      <c r="AN89" s="56"/>
      <c r="AO89" s="56"/>
      <c r="AP89" s="56"/>
      <c r="AQ89" s="56"/>
      <c r="AR89" s="56"/>
      <c r="AS89" s="56"/>
      <c r="AT89" s="56"/>
      <c r="AU89" s="56"/>
      <c r="AV89" s="56"/>
      <c r="AW89" s="56"/>
      <c r="AX89" s="56"/>
      <c r="AY89" s="56"/>
      <c r="AZ89" s="56"/>
      <c r="BA89" s="56"/>
      <c r="BB89" s="56"/>
      <c r="BC89" s="56"/>
      <c r="BD89" s="56"/>
      <c r="BE89" s="56"/>
      <c r="BF89" s="56"/>
      <c r="BG89" s="56"/>
      <c r="BH89" s="56"/>
    </row>
    <row r="90" spans="1:60" ht="12.75">
      <c r="A90" s="11" t="s">
        <v>60</v>
      </c>
      <c r="B90" s="11"/>
      <c r="C90" s="11">
        <f>qtrSales!I48</f>
        <v>275</v>
      </c>
      <c r="D90" s="11"/>
      <c r="E90" s="12">
        <f>qtrSales!I55</f>
        <v>266</v>
      </c>
      <c r="F90" s="12"/>
      <c r="G90" s="12">
        <f>qtrSales!I61</f>
        <v>303</v>
      </c>
      <c r="H90" s="11"/>
      <c r="I90" s="12">
        <f>qtrSales!I68</f>
        <v>332</v>
      </c>
      <c r="J90" s="11"/>
      <c r="K90" s="12">
        <f>qtrSales!I75</f>
        <v>386</v>
      </c>
      <c r="L90" s="11"/>
      <c r="M90" s="12">
        <f>+yrSales!G19</f>
        <v>466</v>
      </c>
      <c r="N90" s="11"/>
      <c r="O90" s="12">
        <f>+yrSales!H19</f>
        <v>554</v>
      </c>
      <c r="P90" s="11"/>
      <c r="Q90" s="12">
        <f>+yrSales!I19</f>
        <v>678</v>
      </c>
      <c r="R90" s="11"/>
      <c r="S90" s="12">
        <f>+yrSales!J19</f>
        <v>753</v>
      </c>
      <c r="T90" s="11"/>
      <c r="U90" s="12">
        <f>+yrSales!K19</f>
        <v>805</v>
      </c>
      <c r="V90" s="11"/>
      <c r="W90" s="12">
        <f>+yrSales!L19</f>
        <v>846</v>
      </c>
      <c r="X90" s="11"/>
      <c r="Y90" s="592">
        <f>+yrSales!M19</f>
        <v>869</v>
      </c>
      <c r="Z90" s="11"/>
      <c r="AA90" s="12">
        <f>+yrSales!N19</f>
        <v>911</v>
      </c>
      <c r="AB90" s="12"/>
      <c r="AC90" s="12">
        <f>+yrSales!O19</f>
        <v>987</v>
      </c>
      <c r="AD90" s="17"/>
      <c r="AE90" s="12">
        <f>+yrSales!P19</f>
        <v>1098</v>
      </c>
      <c r="AF90" s="17"/>
      <c r="AG90" s="12">
        <f>+yrSales!Q19</f>
        <v>1103</v>
      </c>
      <c r="AH90" s="17"/>
      <c r="AI90" s="12">
        <f>+yrSales!R19</f>
        <v>1077</v>
      </c>
      <c r="AJ90" s="17"/>
      <c r="AK90" s="12">
        <f>+yrSales!S19</f>
        <v>1069</v>
      </c>
      <c r="AL90" s="17"/>
      <c r="AM90" s="12">
        <f>+yrSales!T19</f>
        <v>1044</v>
      </c>
      <c r="AN90" s="17"/>
      <c r="AO90" s="12">
        <f>+yrSales!U19</f>
        <v>1066</v>
      </c>
      <c r="AP90" s="17"/>
      <c r="AQ90" s="12">
        <f>+yrSales!V19</f>
        <v>1056</v>
      </c>
      <c r="AR90" s="12"/>
      <c r="AS90" s="12">
        <f>+yrSales!X19</f>
        <v>1050</v>
      </c>
      <c r="AU90" s="12">
        <f>+yrSales!Z19</f>
        <v>1055</v>
      </c>
      <c r="AV90" s="12"/>
      <c r="AW90" s="12">
        <f>+yrSales!Y19</f>
        <v>1047</v>
      </c>
      <c r="AX90" s="12"/>
      <c r="AY90" s="12">
        <f>+yrSales!Z19</f>
        <v>1055</v>
      </c>
      <c r="AZ90" s="12"/>
      <c r="BA90" s="12">
        <f>+yrSales!AA19</f>
        <v>1060</v>
      </c>
      <c r="BB90" s="12"/>
      <c r="BC90" s="12">
        <f>+yrSales!AB19</f>
        <v>1055</v>
      </c>
      <c r="BD90" s="12"/>
      <c r="BE90" s="12">
        <f>+yrSales!AC19</f>
        <v>1045</v>
      </c>
      <c r="BF90" s="12"/>
      <c r="BG90" s="12">
        <f>+yrSales!AD19</f>
        <v>1035</v>
      </c>
      <c r="BH90" s="12"/>
    </row>
    <row r="91" spans="1:60" ht="12.75">
      <c r="A91" s="11" t="s">
        <v>61</v>
      </c>
      <c r="B91" s="11"/>
      <c r="C91" s="11">
        <f>C11/C90</f>
        <v>3.1745454545454549E-2</v>
      </c>
      <c r="D91" s="11"/>
      <c r="E91" s="12">
        <f>E10/E90*1000</f>
        <v>87.947368421052616</v>
      </c>
      <c r="F91" s="12"/>
      <c r="G91" s="12">
        <f>G10/G90*1000</f>
        <v>89.495049504950487</v>
      </c>
      <c r="H91" s="11"/>
      <c r="I91" s="12">
        <f>I10/I90*1000</f>
        <v>109.27108433734939</v>
      </c>
      <c r="J91" s="11"/>
      <c r="K91" s="12">
        <f>K10/K90*1000</f>
        <v>128.72538860103629</v>
      </c>
      <c r="L91" s="11"/>
      <c r="M91" s="12">
        <f>M10/M90*1000</f>
        <v>129.56008583690988</v>
      </c>
      <c r="N91" s="11"/>
      <c r="O91" s="12">
        <f>O10/O90*1000</f>
        <v>151.74007220216606</v>
      </c>
      <c r="P91" s="11"/>
      <c r="Q91" s="12">
        <f>Q10/Q90*1000</f>
        <v>134.35988200589972</v>
      </c>
      <c r="R91" s="11"/>
      <c r="S91" s="12">
        <f>S10/S90*1000</f>
        <v>165.61487383798141</v>
      </c>
      <c r="T91" s="11"/>
      <c r="U91" s="12">
        <f>U10/U90*1000</f>
        <v>149.79627329192547</v>
      </c>
      <c r="V91" s="11"/>
      <c r="W91" s="12">
        <f>W10/W90*1000</f>
        <v>201.62647754137114</v>
      </c>
      <c r="X91" s="11"/>
      <c r="Y91" s="592">
        <f>Y10/Y90*1000</f>
        <v>242.50747986191024</v>
      </c>
      <c r="Z91" s="11"/>
      <c r="AA91" s="12">
        <f>AA10/AA90*1000</f>
        <v>289.40065861690448</v>
      </c>
      <c r="AB91" s="12"/>
      <c r="AC91" s="12">
        <f>AC10/AC90*1000</f>
        <v>290.258358662614</v>
      </c>
      <c r="AD91" s="17"/>
      <c r="AE91" s="12">
        <f>AE10/AE90*1000</f>
        <v>268.60473588342444</v>
      </c>
      <c r="AF91" s="17"/>
      <c r="AG91" s="12">
        <f>AG10/AG90*1000</f>
        <v>295.96917497733455</v>
      </c>
      <c r="AH91" s="17"/>
      <c r="AI91" s="12">
        <f>AI10/AI90*1000</f>
        <v>279.67316620241411</v>
      </c>
      <c r="AJ91" s="17"/>
      <c r="AK91" s="12">
        <f>AK10/AK90*1000</f>
        <v>354</v>
      </c>
      <c r="AL91" s="12"/>
      <c r="AM91" s="12">
        <f>AM10/AM90*1000</f>
        <v>318.4406130268199</v>
      </c>
      <c r="AN91" s="12"/>
      <c r="AO91" s="12">
        <f>AO10/AO90*1000</f>
        <v>273.49061913696062</v>
      </c>
      <c r="AP91" s="12"/>
      <c r="AQ91" s="12">
        <f>AQ10/AQ90*1000</f>
        <v>264.17803030303025</v>
      </c>
      <c r="AR91" s="12"/>
      <c r="AS91" s="12">
        <f>AS10/AS90*1000</f>
        <v>290.64571428571429</v>
      </c>
      <c r="AT91" s="12"/>
      <c r="AU91" s="12">
        <f>AU10/AU90*1000</f>
        <v>339.75924170616116</v>
      </c>
      <c r="AV91" s="12"/>
      <c r="AW91" s="12">
        <f>AW10/AW90*1000</f>
        <v>380.33715377268391</v>
      </c>
      <c r="AX91" s="12"/>
      <c r="AY91" s="12">
        <f>AY10/AY90*1000</f>
        <v>401.03928811881752</v>
      </c>
      <c r="AZ91" s="12"/>
      <c r="BA91" s="12">
        <f>BA10/BA90*1000</f>
        <v>424.54785846469156</v>
      </c>
      <c r="BB91" s="12"/>
      <c r="BC91" s="12">
        <f>BC10/BC90*1000</f>
        <v>452.12029319250854</v>
      </c>
      <c r="BD91" s="12"/>
      <c r="BE91" s="12">
        <f>BE10/BE90*1000</f>
        <v>456.47443362308167</v>
      </c>
      <c r="BF91" s="12"/>
      <c r="BG91" s="12">
        <f>BG10/BG90*1000</f>
        <v>460.83027882424523</v>
      </c>
      <c r="BH91" s="12"/>
    </row>
    <row r="92" spans="1:60" ht="12.75" hidden="1" customHeight="1" outlineLevel="1">
      <c r="A92" s="17"/>
      <c r="B92" s="17"/>
      <c r="C92" s="17"/>
      <c r="D92" s="17"/>
      <c r="E92" s="18"/>
      <c r="F92" s="17"/>
      <c r="G92" s="18"/>
      <c r="H92" s="17"/>
      <c r="I92" s="18"/>
      <c r="J92" s="17"/>
      <c r="K92" s="18"/>
      <c r="L92" s="17"/>
      <c r="M92" s="58"/>
      <c r="N92" s="17"/>
      <c r="O92" s="17"/>
      <c r="P92" s="17"/>
      <c r="Q92" s="17"/>
      <c r="R92" s="17"/>
      <c r="S92" s="17"/>
      <c r="T92" s="17"/>
      <c r="U92" s="17"/>
      <c r="V92" s="17"/>
      <c r="W92" s="17"/>
      <c r="X92" s="17"/>
      <c r="Y92" s="341"/>
      <c r="Z92" s="17"/>
      <c r="AA92" s="17"/>
      <c r="AB92" s="17"/>
      <c r="AC92" s="17"/>
      <c r="AD92" s="17"/>
      <c r="AE92" s="17"/>
      <c r="AF92" s="17"/>
      <c r="AG92" s="17"/>
      <c r="AH92" s="17"/>
      <c r="AI92" s="17"/>
      <c r="AJ92" s="17"/>
      <c r="AK92" s="17"/>
      <c r="AL92" s="17"/>
      <c r="AM92" s="17"/>
      <c r="AN92" s="17"/>
      <c r="AO92" s="17"/>
      <c r="AP92" s="17"/>
      <c r="AQ92" s="17"/>
      <c r="AR92" s="17"/>
      <c r="AS92" s="17"/>
      <c r="AT92" s="26"/>
      <c r="AU92" s="26"/>
      <c r="AV92" s="26"/>
      <c r="AW92" s="26"/>
      <c r="AX92" s="26"/>
      <c r="AY92" s="26"/>
      <c r="AZ92" s="26"/>
      <c r="BA92" s="26"/>
      <c r="BB92" s="26"/>
      <c r="BC92" s="26"/>
      <c r="BD92" s="26"/>
      <c r="BE92" s="26"/>
      <c r="BF92" s="48"/>
      <c r="BG92" s="48"/>
      <c r="BH92" s="48"/>
    </row>
    <row r="93" spans="1:60" ht="12.75" hidden="1" customHeight="1" outlineLevel="1">
      <c r="A93" s="251" t="s">
        <v>465</v>
      </c>
      <c r="B93" s="252"/>
      <c r="C93" s="252"/>
      <c r="D93" s="252"/>
      <c r="E93" s="253"/>
      <c r="F93" s="252"/>
      <c r="G93" s="253"/>
      <c r="H93" s="252"/>
      <c r="I93" s="253"/>
      <c r="J93" s="252"/>
      <c r="K93" s="253"/>
      <c r="L93" s="252"/>
      <c r="M93" s="254"/>
      <c r="N93" s="252"/>
      <c r="O93" s="252"/>
      <c r="P93" s="252"/>
      <c r="Q93" s="252"/>
      <c r="R93" s="17"/>
      <c r="S93" s="252"/>
      <c r="T93" s="17"/>
      <c r="U93" s="252"/>
      <c r="V93" s="17"/>
      <c r="W93" s="252"/>
      <c r="X93" s="17"/>
      <c r="Y93" s="593"/>
      <c r="Z93" s="17"/>
      <c r="AA93" s="252"/>
      <c r="AB93" s="252"/>
      <c r="AC93" s="252"/>
      <c r="AD93" s="17"/>
      <c r="AE93" s="252"/>
      <c r="AF93" s="17"/>
      <c r="AG93" s="252"/>
      <c r="AH93" s="17"/>
      <c r="AI93" s="252"/>
      <c r="AJ93" s="17"/>
      <c r="AK93" s="252"/>
      <c r="AL93" s="252"/>
      <c r="AM93" s="252"/>
      <c r="AN93" s="252"/>
      <c r="AO93" s="252"/>
      <c r="AP93" s="252"/>
      <c r="AQ93" s="252"/>
      <c r="AR93" s="252"/>
      <c r="AS93" s="252"/>
      <c r="AT93" s="252"/>
      <c r="AU93" s="252"/>
      <c r="AV93" s="252"/>
      <c r="AW93" s="252"/>
      <c r="AX93" s="252"/>
      <c r="AY93" s="252"/>
      <c r="AZ93" s="252"/>
      <c r="BA93" s="252"/>
      <c r="BB93" s="252"/>
      <c r="BC93" s="252"/>
      <c r="BD93" s="252"/>
      <c r="BE93" s="252"/>
      <c r="BF93" s="48"/>
      <c r="BG93" s="48"/>
      <c r="BH93" s="48"/>
    </row>
    <row r="94" spans="1:60" ht="12.75" hidden="1" customHeight="1" outlineLevel="1">
      <c r="A94" s="248"/>
      <c r="B94" s="48"/>
      <c r="C94" s="48"/>
      <c r="D94" s="48"/>
      <c r="E94" s="249"/>
      <c r="F94" s="48"/>
      <c r="G94" s="249"/>
      <c r="H94" s="48"/>
      <c r="I94" s="249"/>
      <c r="J94" s="48"/>
      <c r="K94" s="249"/>
      <c r="L94" s="48"/>
      <c r="M94" s="250"/>
      <c r="N94" s="48"/>
      <c r="O94" s="48"/>
      <c r="P94" s="48"/>
      <c r="Q94" s="48"/>
      <c r="R94" s="17"/>
      <c r="S94" s="48"/>
      <c r="T94" s="17"/>
      <c r="U94" s="48"/>
      <c r="V94" s="17"/>
      <c r="W94" s="48"/>
      <c r="X94" s="17"/>
      <c r="Y94" s="565"/>
      <c r="Z94" s="17"/>
      <c r="AA94" s="48"/>
      <c r="AB94" s="48"/>
      <c r="AC94" s="48"/>
      <c r="AD94" s="17"/>
      <c r="AE94" s="48"/>
      <c r="AF94" s="17"/>
      <c r="AG94" s="48"/>
      <c r="AH94" s="17"/>
      <c r="AI94" s="48"/>
      <c r="AJ94" s="17"/>
      <c r="AK94" s="48"/>
      <c r="AL94" s="48"/>
      <c r="AM94" s="48"/>
      <c r="AN94" s="48"/>
      <c r="AO94" s="48"/>
      <c r="AP94" s="48"/>
      <c r="AQ94" s="48"/>
      <c r="AR94" s="48"/>
      <c r="AS94" s="48"/>
      <c r="AT94" s="48"/>
      <c r="AU94" s="48"/>
      <c r="AV94" s="48"/>
      <c r="AW94" s="48"/>
      <c r="AX94" s="48"/>
      <c r="AY94" s="48"/>
      <c r="AZ94" s="48"/>
      <c r="BA94" s="48"/>
      <c r="BB94" s="48"/>
      <c r="BC94" s="48"/>
      <c r="BD94" s="48"/>
      <c r="BE94" s="48"/>
      <c r="BF94" s="48"/>
      <c r="BG94" s="48"/>
      <c r="BH94" s="48"/>
    </row>
    <row r="95" spans="1:60" ht="12.75" hidden="1" outlineLevel="1">
      <c r="A95" s="240" t="s">
        <v>455</v>
      </c>
      <c r="B95" s="11"/>
      <c r="C95" s="11"/>
      <c r="D95" s="11"/>
      <c r="E95" s="12"/>
      <c r="F95" s="11"/>
      <c r="G95" s="12"/>
      <c r="H95" s="11"/>
      <c r="I95" s="12"/>
      <c r="J95" s="11"/>
      <c r="K95" s="12"/>
      <c r="L95" s="11"/>
      <c r="M95" s="56"/>
      <c r="N95" s="11"/>
      <c r="O95" s="11"/>
      <c r="P95" s="11"/>
      <c r="Q95" s="11"/>
      <c r="R95" s="11"/>
      <c r="S95" s="11"/>
      <c r="T95" s="11"/>
      <c r="U95" s="11"/>
      <c r="V95" s="11"/>
      <c r="W95" s="11"/>
      <c r="X95" s="11"/>
      <c r="Y95" s="110"/>
      <c r="Z95" s="11"/>
      <c r="AA95" s="11"/>
      <c r="AB95" s="11"/>
      <c r="AC95" s="11"/>
      <c r="AD95" s="11"/>
      <c r="AE95" s="11"/>
      <c r="AF95" s="11"/>
      <c r="AG95" s="11"/>
      <c r="AH95" s="11"/>
      <c r="AI95" s="11"/>
      <c r="AJ95" s="11"/>
      <c r="AK95" s="11"/>
      <c r="AL95" s="11"/>
      <c r="AM95" s="11"/>
      <c r="AN95" s="11"/>
      <c r="AO95" s="11"/>
      <c r="AP95" s="11"/>
      <c r="AQ95" s="11"/>
      <c r="AR95" s="11"/>
      <c r="AS95" s="11"/>
      <c r="AT95" s="11"/>
      <c r="AU95" s="11"/>
      <c r="AV95" s="11"/>
      <c r="AW95" s="11"/>
      <c r="AX95" s="11"/>
      <c r="AY95" s="11"/>
      <c r="AZ95" s="11"/>
      <c r="BA95" s="11"/>
      <c r="BB95" s="11"/>
      <c r="BC95" s="11"/>
      <c r="BD95" s="11"/>
      <c r="BE95" s="11"/>
      <c r="BF95" s="11"/>
      <c r="BG95" s="11"/>
      <c r="BH95" s="11"/>
    </row>
    <row r="96" spans="1:60" ht="12.75" hidden="1" outlineLevel="1">
      <c r="A96" s="247" t="s">
        <v>466</v>
      </c>
      <c r="B96" s="11"/>
      <c r="C96" s="11"/>
      <c r="D96" s="11"/>
      <c r="E96" s="12"/>
      <c r="F96" s="11"/>
      <c r="G96" s="163">
        <f>SUM(G9:G13)+G126</f>
        <v>39.434000000000005</v>
      </c>
      <c r="H96" s="11"/>
      <c r="I96" s="163">
        <f>SUM(I8:I13)+I126</f>
        <v>102.47300000000001</v>
      </c>
      <c r="J96" s="11"/>
      <c r="K96" s="163">
        <f>SUM(K8:K13)+K126</f>
        <v>154.50400000000002</v>
      </c>
      <c r="L96" s="11"/>
      <c r="M96" s="163">
        <f>SUM(M8:M13)+M126</f>
        <v>262.56200000000001</v>
      </c>
      <c r="N96" s="11"/>
      <c r="O96" s="163">
        <f>SUM(O8:O13)+O126</f>
        <v>318.66099999999989</v>
      </c>
      <c r="P96" s="11"/>
      <c r="Q96" s="163">
        <f>SUM(Q8:Q13)+Q126</f>
        <v>378.03000000000009</v>
      </c>
      <c r="R96" s="11"/>
      <c r="S96" s="163">
        <f>SUM(S8:S13)+S126</f>
        <v>426.72600000000017</v>
      </c>
      <c r="T96" s="11"/>
      <c r="U96" s="163">
        <f>SUM(U8:U13)+U126</f>
        <v>530.70000000000005</v>
      </c>
      <c r="V96" s="11"/>
      <c r="W96" s="163">
        <f>SUM(W8:W13)+W126</f>
        <v>865.36500000000024</v>
      </c>
      <c r="X96" s="11"/>
      <c r="Y96" s="594">
        <f>SUM(Y8:Y13)+Y126</f>
        <v>1076.7810000000002</v>
      </c>
      <c r="Z96" s="11"/>
      <c r="AA96" s="163">
        <f>SUM(AA8:AA13)+AA126</f>
        <v>1198.2539999999999</v>
      </c>
      <c r="AB96" s="163"/>
      <c r="AC96" s="163">
        <f>SUM(AC8:AC13)+AC126</f>
        <v>1020.8339999999996</v>
      </c>
      <c r="AD96" s="11"/>
      <c r="AE96" s="163">
        <f>SUM(AE8:AE13)+AE126</f>
        <v>925.3589999999997</v>
      </c>
      <c r="AF96" s="11"/>
      <c r="AG96" s="163">
        <f>SUM(AG8:AG13)+AG126</f>
        <v>1167.0299999999997</v>
      </c>
      <c r="AH96" s="11"/>
      <c r="AI96" s="163">
        <f>SUM(AI8:AI13)+AI126</f>
        <v>1174.4099999999999</v>
      </c>
      <c r="AJ96" s="11"/>
      <c r="AK96" s="163">
        <f>SUM(AK8:AK13)+AK126</f>
        <v>1287.4879999999998</v>
      </c>
      <c r="AL96" s="163"/>
      <c r="AM96" s="163">
        <f>SUM(AM8:AM13)+AM126</f>
        <v>1141.7999999999997</v>
      </c>
      <c r="AN96" s="163"/>
      <c r="AO96" s="163">
        <f>SUM(AO8:AO13)+AO126</f>
        <v>923.52139999999963</v>
      </c>
      <c r="AP96" s="163"/>
      <c r="AQ96" s="163">
        <f>SUM(AQ8:AQ13)+AQ126</f>
        <v>890.4553999999996</v>
      </c>
      <c r="AR96" s="163"/>
      <c r="AS96" s="163">
        <f>SUM(AS8:AS13)+AS126</f>
        <v>723.31739999999957</v>
      </c>
      <c r="AT96" s="163"/>
      <c r="AU96" s="163">
        <f>SUM(AU8:AU13)+AU126</f>
        <v>901.17139999999972</v>
      </c>
      <c r="AV96" s="163"/>
      <c r="AW96" s="163">
        <f>SUM(AW8:AW13)+AW126</f>
        <v>968.52999999999929</v>
      </c>
      <c r="AX96" s="163"/>
      <c r="AY96" s="163">
        <f>SUM(AY8:AY13)+AY126</f>
        <v>1139.8809317373625</v>
      </c>
      <c r="AZ96" s="163"/>
      <c r="BA96" s="163">
        <f>SUM(BA8:BA13)+BA126</f>
        <v>1296.3893365934332</v>
      </c>
      <c r="BB96" s="163"/>
      <c r="BC96" s="163">
        <f>SUM(BC8:BC13)+BC126</f>
        <v>1451.4669991389287</v>
      </c>
      <c r="BD96" s="163"/>
      <c r="BE96" s="163">
        <f>SUM(BE8:BE13)+BE126</f>
        <v>1582.9822160228809</v>
      </c>
      <c r="BF96" s="163"/>
      <c r="BG96" s="163"/>
      <c r="BH96" s="163"/>
    </row>
    <row r="97" spans="1:60" ht="12.75" hidden="1" outlineLevel="1">
      <c r="A97" s="247" t="s">
        <v>467</v>
      </c>
      <c r="B97" s="11"/>
      <c r="C97" s="11"/>
      <c r="D97" s="11"/>
      <c r="E97" s="12"/>
      <c r="F97" s="11"/>
      <c r="G97" s="243">
        <f>SUM(G29:G36)</f>
        <v>39.382000000000005</v>
      </c>
      <c r="H97" s="11"/>
      <c r="I97" s="243">
        <f>SUM(I29:I36)</f>
        <v>53.986999999999995</v>
      </c>
      <c r="J97" s="11"/>
      <c r="K97" s="243">
        <f>SUM(K29:K36)</f>
        <v>59.751000000000005</v>
      </c>
      <c r="L97" s="11"/>
      <c r="M97" s="243">
        <f>SUM(M29,M31:M36)-M127</f>
        <v>80.724999999999994</v>
      </c>
      <c r="N97" s="11"/>
      <c r="O97" s="243">
        <f>SUM(O29,O31:O36)-O127</f>
        <v>131.74699999999999</v>
      </c>
      <c r="P97" s="11"/>
      <c r="Q97" s="243">
        <f>SUM(Q29,Q31:Q36)-Q127</f>
        <v>128.321</v>
      </c>
      <c r="R97" s="11"/>
      <c r="S97" s="243">
        <f>SUM(S29,S31:S36)-S127</f>
        <v>114.52399999999999</v>
      </c>
      <c r="T97" s="11"/>
      <c r="U97" s="243">
        <f>SUM(U29,U31:U36)-U127</f>
        <v>178.36200000000002</v>
      </c>
      <c r="V97" s="11"/>
      <c r="W97" s="243">
        <f>SUM(W29,W31:W36)-W127</f>
        <v>249.90199999999999</v>
      </c>
      <c r="X97" s="11"/>
      <c r="Y97" s="595">
        <f>SUM(Y29,Y31:Y36)-Y127</f>
        <v>308.44200000000001</v>
      </c>
      <c r="Z97" s="11"/>
      <c r="AA97" s="243">
        <f>SUM(AA29,AA31:AA36)-AA127</f>
        <v>405.90999999999997</v>
      </c>
      <c r="AB97" s="243"/>
      <c r="AC97" s="243">
        <f>SUM(AC29,AC31:AC36)-AC127</f>
        <v>321.62399999999991</v>
      </c>
      <c r="AD97" s="11"/>
      <c r="AE97" s="243">
        <f>SUM(AE29,AE31:AE36)-AE127</f>
        <v>284.464</v>
      </c>
      <c r="AF97" s="11"/>
      <c r="AG97" s="243">
        <f>SUM(AG29,AG31:AG36)-AG127</f>
        <v>339.56599999999997</v>
      </c>
      <c r="AH97" s="11"/>
      <c r="AI97" s="243">
        <f>SUM(AI29,AI31:AI36)-AI127</f>
        <v>346.83600000000001</v>
      </c>
      <c r="AJ97" s="11"/>
      <c r="AK97" s="243">
        <f>SUM(AK29,AK31:AK36)-AK127</f>
        <v>360.43099999999993</v>
      </c>
      <c r="AL97" s="243"/>
      <c r="AM97" s="243">
        <f>SUM(AM29,AM31:AM36)-AM127</f>
        <v>389.44399999999985</v>
      </c>
      <c r="AN97" s="243"/>
      <c r="AO97" s="243">
        <f>SUM(AO29,AO31:AO36)-AO127</f>
        <v>368.28400000000005</v>
      </c>
      <c r="AP97" s="243"/>
      <c r="AQ97" s="243">
        <f>SUM(AQ29,AQ31:AQ36)-AQ127</f>
        <v>411.20499999999998</v>
      </c>
      <c r="AR97" s="243"/>
      <c r="AS97" s="243">
        <f>SUM(AS29,AS31:AS36)-AS127</f>
        <v>415.40800000000002</v>
      </c>
      <c r="AT97" s="243"/>
      <c r="AU97" s="243">
        <f>SUM(AU29,AU31:AU36)-AU127</f>
        <v>440.81700000000006</v>
      </c>
      <c r="AV97" s="243"/>
      <c r="AW97" s="243">
        <f>SUM(AW29,AW31:AW36)-AW127</f>
        <v>432.87399999999997</v>
      </c>
      <c r="AX97" s="243"/>
      <c r="AY97" s="243">
        <f>SUM(AY29,AY31:AY36)-AY127</f>
        <v>457.28114782236548</v>
      </c>
      <c r="AZ97" s="243"/>
      <c r="BA97" s="243">
        <f>SUM(BA29,BA31:BA36)-BA127</f>
        <v>479.07001985255545</v>
      </c>
      <c r="BB97" s="243"/>
      <c r="BC97" s="243">
        <f>SUM(BC29,BC31:BC36)-BC127</f>
        <v>501.11543135958493</v>
      </c>
      <c r="BD97" s="243"/>
      <c r="BE97" s="243">
        <f>SUM(BE29,BE31:BE36)-BE127</f>
        <v>505.78087732560948</v>
      </c>
      <c r="BF97" s="259"/>
      <c r="BG97" s="259"/>
      <c r="BH97" s="259"/>
    </row>
    <row r="98" spans="1:60" ht="12.75" hidden="1" outlineLevel="1">
      <c r="A98" s="246" t="s">
        <v>475</v>
      </c>
      <c r="B98" s="11"/>
      <c r="C98" s="11"/>
      <c r="D98" s="11"/>
      <c r="E98" s="12"/>
      <c r="F98" s="11"/>
      <c r="G98" s="163">
        <f>G96-G97</f>
        <v>5.1999999999999602E-2</v>
      </c>
      <c r="H98" s="11"/>
      <c r="I98" s="245">
        <f>I96-I97</f>
        <v>48.486000000000018</v>
      </c>
      <c r="J98" s="45"/>
      <c r="K98" s="245">
        <f>K96-K97</f>
        <v>94.753000000000014</v>
      </c>
      <c r="L98" s="45"/>
      <c r="M98" s="245">
        <f>M96-M97</f>
        <v>181.83700000000002</v>
      </c>
      <c r="N98" s="45"/>
      <c r="O98" s="245">
        <f>O96-O97</f>
        <v>186.9139999999999</v>
      </c>
      <c r="P98" s="45"/>
      <c r="Q98" s="245">
        <f>Q96-Q97</f>
        <v>249.70900000000009</v>
      </c>
      <c r="R98" s="11"/>
      <c r="S98" s="245">
        <f>S96-S97</f>
        <v>312.20200000000017</v>
      </c>
      <c r="T98" s="11"/>
      <c r="U98" s="245">
        <f>U96-U97</f>
        <v>352.33800000000002</v>
      </c>
      <c r="V98" s="11"/>
      <c r="W98" s="245">
        <f>W96-W97</f>
        <v>615.46300000000019</v>
      </c>
      <c r="X98" s="11"/>
      <c r="Y98" s="596">
        <f>Y96-Y97</f>
        <v>768.33900000000017</v>
      </c>
      <c r="Z98" s="11"/>
      <c r="AA98" s="245">
        <f>AA96-AA97</f>
        <v>792.34399999999994</v>
      </c>
      <c r="AB98" s="245"/>
      <c r="AC98" s="245">
        <f>AC96-AC97</f>
        <v>699.2099999999997</v>
      </c>
      <c r="AD98" s="11"/>
      <c r="AE98" s="245">
        <f>AE96-AE97</f>
        <v>640.89499999999975</v>
      </c>
      <c r="AF98" s="11"/>
      <c r="AG98" s="245">
        <f>AG96-AG97</f>
        <v>827.46399999999971</v>
      </c>
      <c r="AH98" s="11"/>
      <c r="AI98" s="245">
        <f>AI96-AI97</f>
        <v>827.57399999999984</v>
      </c>
      <c r="AJ98" s="11"/>
      <c r="AK98" s="245">
        <f>AK96-AK97</f>
        <v>927.0569999999999</v>
      </c>
      <c r="AL98" s="245"/>
      <c r="AM98" s="245">
        <f>AM96-AM97</f>
        <v>752.35599999999988</v>
      </c>
      <c r="AN98" s="245"/>
      <c r="AO98" s="245">
        <f>AO96-AO97</f>
        <v>555.23739999999952</v>
      </c>
      <c r="AP98" s="245"/>
      <c r="AQ98" s="245">
        <f>AQ96-AQ97</f>
        <v>479.25039999999962</v>
      </c>
      <c r="AR98" s="245"/>
      <c r="AS98" s="245">
        <f>AS96-AS97</f>
        <v>307.90939999999955</v>
      </c>
      <c r="AT98" s="245"/>
      <c r="AU98" s="245">
        <f>AU96-AU97</f>
        <v>460.35439999999966</v>
      </c>
      <c r="AV98" s="245"/>
      <c r="AW98" s="245">
        <f>AW96-AW97</f>
        <v>535.65599999999927</v>
      </c>
      <c r="AX98" s="245"/>
      <c r="AY98" s="245">
        <f>AY96-AY97</f>
        <v>682.59978391499703</v>
      </c>
      <c r="AZ98" s="245"/>
      <c r="BA98" s="245">
        <f>BA96-BA97</f>
        <v>817.31931674087775</v>
      </c>
      <c r="BB98" s="245"/>
      <c r="BC98" s="245">
        <f>BC96-BC97</f>
        <v>950.35156777934378</v>
      </c>
      <c r="BD98" s="245"/>
      <c r="BE98" s="245">
        <f>BE96-BE97</f>
        <v>1077.2013386972715</v>
      </c>
      <c r="BF98" s="245"/>
      <c r="BG98" s="245"/>
      <c r="BH98" s="245"/>
    </row>
    <row r="99" spans="1:60" ht="12.75" hidden="1" outlineLevel="1">
      <c r="A99" s="241" t="s">
        <v>469</v>
      </c>
      <c r="B99" s="11"/>
      <c r="C99" s="11"/>
      <c r="D99" s="11"/>
      <c r="E99" s="12"/>
      <c r="F99" s="11"/>
      <c r="G99" s="163">
        <f>G18</f>
        <v>34.191000000000003</v>
      </c>
      <c r="H99" s="11"/>
      <c r="I99" s="163">
        <f>I18</f>
        <v>38.546999999999997</v>
      </c>
      <c r="J99" s="11"/>
      <c r="K99" s="163">
        <f>K18</f>
        <v>53.37</v>
      </c>
      <c r="L99" s="11"/>
      <c r="M99" s="163">
        <f>M18</f>
        <v>84.926000000000002</v>
      </c>
      <c r="N99" s="11"/>
      <c r="O99" s="163">
        <f>O18</f>
        <v>183.37299999999999</v>
      </c>
      <c r="P99" s="11"/>
      <c r="Q99" s="163">
        <f>Q18</f>
        <v>257.73099999999999</v>
      </c>
      <c r="R99" s="11"/>
      <c r="S99" s="163">
        <f>S18</f>
        <v>267.47900000000004</v>
      </c>
      <c r="T99" s="11"/>
      <c r="U99" s="163">
        <f>U18</f>
        <v>340.95499999999993</v>
      </c>
      <c r="V99" s="11"/>
      <c r="W99" s="163">
        <f>W18</f>
        <v>339.83300000000003</v>
      </c>
      <c r="X99" s="11"/>
      <c r="Y99" s="594">
        <f>Y18</f>
        <v>345.51800000000003</v>
      </c>
      <c r="Z99" s="11"/>
      <c r="AA99" s="163">
        <f>AA18</f>
        <v>481.64500000000004</v>
      </c>
      <c r="AB99" s="163"/>
      <c r="AC99" s="163">
        <f>AC18</f>
        <v>625.56799999999998</v>
      </c>
      <c r="AD99" s="11"/>
      <c r="AE99" s="163">
        <f>AE18</f>
        <v>740.24</v>
      </c>
      <c r="AF99" s="11"/>
      <c r="AG99" s="163">
        <f>AG18</f>
        <v>713.14200000000005</v>
      </c>
      <c r="AH99" s="11"/>
      <c r="AI99" s="163">
        <f>AI18</f>
        <v>643.12</v>
      </c>
      <c r="AJ99" s="11"/>
      <c r="AK99" s="163">
        <f>AK18</f>
        <v>582.16200000000003</v>
      </c>
      <c r="AL99" s="163"/>
      <c r="AM99" s="163">
        <f>AM18</f>
        <v>509.63299999999998</v>
      </c>
      <c r="AN99" s="163"/>
      <c r="AO99" s="163">
        <f>AO18</f>
        <v>637.41700000000003</v>
      </c>
      <c r="AP99" s="163"/>
      <c r="AQ99" s="163">
        <f>AQ18</f>
        <v>694.85599999999999</v>
      </c>
      <c r="AR99" s="163"/>
      <c r="AS99" s="163">
        <f>AS18</f>
        <v>703.58600000000001</v>
      </c>
      <c r="AT99" s="163"/>
      <c r="AU99" s="163">
        <f>AU18</f>
        <v>707.79700000000003</v>
      </c>
      <c r="AV99" s="163"/>
      <c r="AW99" s="163">
        <f>AW18</f>
        <v>724.23900000000003</v>
      </c>
      <c r="AX99" s="163"/>
      <c r="AY99" s="163">
        <f>AY18</f>
        <v>731.19485485709379</v>
      </c>
      <c r="AZ99" s="163"/>
      <c r="BA99" s="163">
        <f>BA18</f>
        <v>737.36052998973219</v>
      </c>
      <c r="BB99" s="163"/>
      <c r="BC99" s="163">
        <f>BC18</f>
        <v>735.54065717347771</v>
      </c>
      <c r="BD99" s="163"/>
      <c r="BE99" s="163">
        <f>BE18</f>
        <v>729.73434391902958</v>
      </c>
      <c r="BF99" s="163"/>
      <c r="BG99" s="163"/>
      <c r="BH99" s="163"/>
    </row>
    <row r="100" spans="1:60" ht="12.75" hidden="1" outlineLevel="1">
      <c r="A100" s="241" t="s">
        <v>456</v>
      </c>
      <c r="B100" s="11"/>
      <c r="C100" s="11"/>
      <c r="D100" s="11"/>
      <c r="E100" s="12"/>
      <c r="F100" s="11"/>
      <c r="G100" s="12"/>
      <c r="H100" s="11"/>
      <c r="I100" s="12"/>
      <c r="J100" s="11"/>
      <c r="K100" s="12"/>
      <c r="L100" s="11"/>
      <c r="M100" s="163"/>
      <c r="N100" s="11"/>
      <c r="O100" s="11">
        <f>+O20</f>
        <v>26.585999999999999</v>
      </c>
      <c r="P100" s="11"/>
      <c r="Q100" s="11">
        <f>+Q20</f>
        <v>23.966000000000001</v>
      </c>
      <c r="R100" s="11"/>
      <c r="S100" s="11">
        <f>+S20</f>
        <v>23.614000000000001</v>
      </c>
      <c r="T100" s="11"/>
      <c r="U100" s="11">
        <f>+U20</f>
        <v>10.135999999999999</v>
      </c>
      <c r="V100" s="11"/>
      <c r="W100" s="11">
        <f>+W20</f>
        <v>9.9499999999999993</v>
      </c>
      <c r="X100" s="11"/>
      <c r="Y100" s="110">
        <f>+Y20</f>
        <v>9.9499999999999993</v>
      </c>
      <c r="Z100" s="11"/>
      <c r="AA100" s="11">
        <f>+AA20</f>
        <v>9.9499999999999993</v>
      </c>
      <c r="AB100" s="11"/>
      <c r="AC100" s="11">
        <f>+AC20</f>
        <v>11.478999999999999</v>
      </c>
      <c r="AD100" s="11"/>
      <c r="AE100" s="11">
        <f>+AE20</f>
        <v>10.706</v>
      </c>
      <c r="AF100" s="11"/>
      <c r="AG100" s="11">
        <f>+AG20</f>
        <v>11.21</v>
      </c>
      <c r="AH100" s="11"/>
      <c r="AI100" s="11">
        <f>+AI20</f>
        <v>11.472</v>
      </c>
      <c r="AJ100" s="11"/>
      <c r="AK100" s="11">
        <f>+AK20</f>
        <v>11.468999999999999</v>
      </c>
      <c r="AL100" s="11"/>
      <c r="AM100" s="11">
        <f>+AM20</f>
        <v>11.484</v>
      </c>
      <c r="AN100" s="11"/>
      <c r="AO100" s="11">
        <f>+AO20</f>
        <v>13.53</v>
      </c>
      <c r="AP100" s="11"/>
      <c r="AQ100" s="11">
        <f>+AQ20</f>
        <v>13.096</v>
      </c>
      <c r="AR100" s="11"/>
      <c r="AS100" s="11">
        <f>+AS20</f>
        <v>17.186</v>
      </c>
      <c r="AT100" s="11"/>
      <c r="AU100" s="11">
        <f>+AU20</f>
        <v>14.887</v>
      </c>
      <c r="AV100" s="11"/>
      <c r="AW100" s="11">
        <f>+AW20</f>
        <v>15.07</v>
      </c>
      <c r="AX100" s="11"/>
      <c r="AY100" s="11">
        <f>+AY20</f>
        <v>15.07</v>
      </c>
      <c r="AZ100" s="11"/>
      <c r="BA100" s="11">
        <f>+BA20</f>
        <v>15.07</v>
      </c>
      <c r="BB100" s="11"/>
      <c r="BC100" s="11">
        <f>+BC20</f>
        <v>15.07</v>
      </c>
      <c r="BD100" s="11"/>
      <c r="BE100" s="11">
        <f>+BE20</f>
        <v>15.07</v>
      </c>
      <c r="BF100" s="11"/>
      <c r="BG100" s="11"/>
      <c r="BH100" s="11"/>
    </row>
    <row r="101" spans="1:60" ht="12.75" hidden="1" outlineLevel="1">
      <c r="A101" s="247" t="s">
        <v>492</v>
      </c>
      <c r="B101" s="11"/>
      <c r="C101" s="11"/>
      <c r="D101" s="11"/>
      <c r="E101" s="12"/>
      <c r="F101" s="11"/>
      <c r="G101" s="12"/>
      <c r="H101" s="11"/>
      <c r="I101" s="12"/>
      <c r="J101" s="11"/>
      <c r="K101" s="12"/>
      <c r="L101" s="11"/>
      <c r="M101" s="163"/>
      <c r="N101" s="11"/>
      <c r="O101" s="11"/>
      <c r="P101" s="11"/>
      <c r="Q101" s="11"/>
      <c r="R101" s="11"/>
      <c r="S101" s="11"/>
      <c r="T101" s="11"/>
      <c r="U101" s="11"/>
      <c r="V101" s="11"/>
      <c r="W101" s="11"/>
      <c r="X101" s="11"/>
      <c r="Y101" s="110"/>
      <c r="Z101" s="11"/>
      <c r="AA101" s="11"/>
      <c r="AB101" s="11"/>
      <c r="AC101" s="11"/>
      <c r="AD101" s="11"/>
      <c r="AE101" s="11"/>
      <c r="AF101" s="11"/>
      <c r="AG101" s="11"/>
      <c r="AH101" s="11"/>
      <c r="AI101" s="11"/>
      <c r="AJ101" s="11"/>
      <c r="AK101" s="11"/>
      <c r="AL101" s="11"/>
      <c r="AM101" s="11"/>
      <c r="AN101" s="11"/>
      <c r="AO101" s="11"/>
      <c r="AP101" s="11"/>
      <c r="AQ101" s="11"/>
      <c r="AR101" s="11"/>
      <c r="AS101" s="11"/>
      <c r="AT101" s="11"/>
      <c r="AU101" s="11"/>
      <c r="AV101" s="11"/>
      <c r="AW101" s="11"/>
      <c r="AX101" s="11"/>
      <c r="AY101" s="11"/>
      <c r="AZ101" s="11"/>
      <c r="BA101" s="11"/>
      <c r="BB101" s="11"/>
      <c r="BC101" s="11"/>
      <c r="BD101" s="11"/>
      <c r="BE101" s="11"/>
      <c r="BF101" s="11"/>
      <c r="BG101" s="11"/>
      <c r="BH101" s="11"/>
    </row>
    <row r="102" spans="1:60" ht="12.75" hidden="1" outlineLevel="1">
      <c r="A102" s="260" t="s">
        <v>470</v>
      </c>
      <c r="B102" s="11"/>
      <c r="C102" s="11"/>
      <c r="D102" s="11"/>
      <c r="E102" s="12"/>
      <c r="F102" s="11"/>
      <c r="G102" s="12"/>
      <c r="H102" s="11"/>
      <c r="I102" s="209">
        <v>0</v>
      </c>
      <c r="J102" s="11"/>
      <c r="K102" s="209">
        <v>0</v>
      </c>
      <c r="L102" s="11"/>
      <c r="M102" s="209">
        <v>0</v>
      </c>
      <c r="N102" s="11"/>
      <c r="O102" s="209">
        <v>1.7</v>
      </c>
      <c r="P102" s="11"/>
      <c r="Q102" s="209">
        <f>+O102+O100-Q100</f>
        <v>4.3199999999999967</v>
      </c>
      <c r="R102" s="11"/>
      <c r="S102" s="209">
        <f>+Q102+Q100-S100</f>
        <v>4.671999999999997</v>
      </c>
      <c r="T102" s="11"/>
      <c r="U102" s="209">
        <f>+S102+S100-U100</f>
        <v>18.149999999999999</v>
      </c>
      <c r="V102" s="11"/>
      <c r="W102" s="209">
        <f>+U102+U100-W100</f>
        <v>18.335999999999999</v>
      </c>
      <c r="X102" s="11"/>
      <c r="Y102" s="588">
        <f>+W102+W100-Y100</f>
        <v>18.335999999999999</v>
      </c>
      <c r="Z102" s="11"/>
      <c r="AA102" s="209">
        <f>+Y102+Y100-AA100</f>
        <v>18.335999999999999</v>
      </c>
      <c r="AB102" s="209"/>
      <c r="AC102" s="209">
        <f>+AA102+AA100-AC100</f>
        <v>16.806999999999999</v>
      </c>
      <c r="AD102" s="11"/>
      <c r="AE102" s="209">
        <f>+AC102+AC100-AE100</f>
        <v>17.579999999999998</v>
      </c>
      <c r="AF102" s="11"/>
      <c r="AG102" s="209">
        <f>+AE102+AE100-AG100</f>
        <v>17.075999999999997</v>
      </c>
      <c r="AH102" s="11"/>
      <c r="AI102" s="209">
        <f>+AG102+AG100-AI100</f>
        <v>16.814</v>
      </c>
      <c r="AJ102" s="11"/>
      <c r="AK102" s="209">
        <f>+AI102+AI100-AK100</f>
        <v>16.817</v>
      </c>
      <c r="AL102" s="209"/>
      <c r="AM102" s="209">
        <f>+AK102+AK100-AM100</f>
        <v>16.802</v>
      </c>
      <c r="AN102" s="209"/>
      <c r="AO102" s="209">
        <f>+AM102+AM100-AO100</f>
        <v>14.756000000000002</v>
      </c>
      <c r="AP102" s="209"/>
      <c r="AQ102" s="209">
        <f>+AO102+AO100-AQ100</f>
        <v>15.190000000000001</v>
      </c>
      <c r="AR102" s="209"/>
      <c r="AS102" s="209">
        <f>+AQ102+AQ100-AS100</f>
        <v>11.100000000000001</v>
      </c>
      <c r="AT102" s="209"/>
      <c r="AU102" s="209">
        <f>+AS102+AS100-AU100</f>
        <v>13.399000000000001</v>
      </c>
      <c r="AV102" s="209"/>
      <c r="AW102" s="209">
        <f>+AU102+AU100-AW100</f>
        <v>13.216000000000001</v>
      </c>
      <c r="AX102" s="209"/>
      <c r="AY102" s="209">
        <f>+AX102+AX100-AY100</f>
        <v>-15.07</v>
      </c>
      <c r="AZ102" s="209"/>
      <c r="BA102" s="209">
        <f>+AY102+AY100-BA100</f>
        <v>-15.07</v>
      </c>
      <c r="BB102" s="209"/>
      <c r="BC102" s="209">
        <f>+BA102+BA100-BC100</f>
        <v>-15.07</v>
      </c>
      <c r="BD102" s="209"/>
      <c r="BE102" s="209">
        <f>+BC102+BC100-BE100</f>
        <v>-15.07</v>
      </c>
      <c r="BF102" s="209"/>
      <c r="BG102" s="209"/>
      <c r="BH102" s="209"/>
    </row>
    <row r="103" spans="1:60" ht="12.75" hidden="1" outlineLevel="1">
      <c r="A103" s="260" t="s">
        <v>471</v>
      </c>
      <c r="B103" s="11"/>
      <c r="C103" s="11"/>
      <c r="D103" s="11"/>
      <c r="E103" s="12"/>
      <c r="F103" s="11"/>
      <c r="G103" s="209">
        <v>0</v>
      </c>
      <c r="H103" s="11"/>
      <c r="I103" s="209">
        <v>7.2</v>
      </c>
      <c r="J103" s="164"/>
      <c r="K103" s="209">
        <v>7.2</v>
      </c>
      <c r="L103" s="56"/>
      <c r="M103" s="164">
        <v>7.2</v>
      </c>
      <c r="N103" s="11"/>
      <c r="O103" s="163">
        <f>M103</f>
        <v>7.2</v>
      </c>
      <c r="P103" s="163"/>
      <c r="Q103" s="163">
        <f>O103</f>
        <v>7.2</v>
      </c>
      <c r="R103" s="11"/>
      <c r="S103" s="163">
        <f>Q103</f>
        <v>7.2</v>
      </c>
      <c r="T103" s="11"/>
      <c r="U103" s="163">
        <f>S103</f>
        <v>7.2</v>
      </c>
      <c r="V103" s="11"/>
      <c r="W103" s="163">
        <f>U103</f>
        <v>7.2</v>
      </c>
      <c r="X103" s="11"/>
      <c r="Y103" s="594">
        <f>W103</f>
        <v>7.2</v>
      </c>
      <c r="Z103" s="11"/>
      <c r="AA103" s="163">
        <f>Y103</f>
        <v>7.2</v>
      </c>
      <c r="AB103" s="163"/>
      <c r="AC103" s="163">
        <f>AA103</f>
        <v>7.2</v>
      </c>
      <c r="AD103" s="11"/>
      <c r="AE103" s="163">
        <f>AC103</f>
        <v>7.2</v>
      </c>
      <c r="AF103" s="11"/>
      <c r="AG103" s="163">
        <f>AE103</f>
        <v>7.2</v>
      </c>
      <c r="AH103" s="11"/>
      <c r="AI103" s="163">
        <f>AG103</f>
        <v>7.2</v>
      </c>
      <c r="AJ103" s="11"/>
      <c r="AK103" s="163">
        <f>AI103</f>
        <v>7.2</v>
      </c>
      <c r="AL103" s="163"/>
      <c r="AM103" s="163">
        <f>AK103</f>
        <v>7.2</v>
      </c>
      <c r="AN103" s="163"/>
      <c r="AO103" s="163">
        <f>AM103</f>
        <v>7.2</v>
      </c>
      <c r="AP103" s="163"/>
      <c r="AQ103" s="163">
        <f>AO103</f>
        <v>7.2</v>
      </c>
      <c r="AR103" s="163"/>
      <c r="AS103" s="163">
        <f>AQ103</f>
        <v>7.2</v>
      </c>
      <c r="AT103" s="163"/>
      <c r="AU103" s="163">
        <f>AS103</f>
        <v>7.2</v>
      </c>
      <c r="AV103" s="163"/>
      <c r="AW103" s="163">
        <f>AU103</f>
        <v>7.2</v>
      </c>
      <c r="AX103" s="163"/>
      <c r="AY103" s="163">
        <f>AX103</f>
        <v>0</v>
      </c>
      <c r="AZ103" s="163"/>
      <c r="BA103" s="163">
        <f>AY103</f>
        <v>0</v>
      </c>
      <c r="BB103" s="163"/>
      <c r="BC103" s="163">
        <f>BA103</f>
        <v>0</v>
      </c>
      <c r="BD103" s="163"/>
      <c r="BE103" s="163">
        <f>BC103</f>
        <v>0</v>
      </c>
      <c r="BF103" s="163"/>
      <c r="BG103" s="163"/>
      <c r="BH103" s="163"/>
    </row>
    <row r="104" spans="1:60" ht="12.75" hidden="1" outlineLevel="1">
      <c r="A104" s="260" t="s">
        <v>472</v>
      </c>
      <c r="B104" s="11"/>
      <c r="C104" s="11"/>
      <c r="D104" s="11"/>
      <c r="E104" s="12"/>
      <c r="F104" s="11"/>
      <c r="G104" s="209">
        <v>138.36235341585331</v>
      </c>
      <c r="H104" s="11"/>
      <c r="I104" s="209">
        <v>144.6</v>
      </c>
      <c r="J104" s="164"/>
      <c r="K104" s="209">
        <v>188.8</v>
      </c>
      <c r="L104" s="56"/>
      <c r="M104" s="164">
        <v>274.7</v>
      </c>
      <c r="N104" s="11"/>
      <c r="O104" s="163">
        <v>482.1</v>
      </c>
      <c r="P104" s="163"/>
      <c r="Q104" s="163">
        <f>O104*(1+yrSales!I135)</f>
        <v>609.01842002688079</v>
      </c>
      <c r="R104" s="11"/>
      <c r="S104" s="163">
        <f>Q104*(1+yrSales!J135)</f>
        <v>688.70069805134756</v>
      </c>
      <c r="T104" s="11"/>
      <c r="U104" s="163">
        <f>S104*(1+yrSales!K135)</f>
        <v>758.54829169229845</v>
      </c>
      <c r="V104" s="11"/>
      <c r="W104" s="163">
        <f>U104*(1+yrSales!L135)</f>
        <v>807.16060918167011</v>
      </c>
      <c r="X104" s="11"/>
      <c r="Y104" s="594">
        <f>W104*(1+yrSales!M135)</f>
        <v>788.0705089061488</v>
      </c>
      <c r="Z104" s="11"/>
      <c r="AA104" s="163">
        <f>Y104*(1+yrSales!N135)</f>
        <v>854.21709208523498</v>
      </c>
      <c r="AB104" s="163"/>
      <c r="AC104" s="163">
        <f>AA104*(1+yrSales!O135)</f>
        <v>942.86878456861268</v>
      </c>
      <c r="AD104" s="11"/>
      <c r="AE104" s="163">
        <f>AC104*(1+yrSales!P135)</f>
        <v>1044.956599804902</v>
      </c>
      <c r="AF104" s="11"/>
      <c r="AG104" s="163">
        <f>AE104*(1+yrSales!Q135)</f>
        <v>1026.3281969929676</v>
      </c>
      <c r="AH104" s="11"/>
      <c r="AI104" s="163">
        <f>AG104*(1+yrSales!R135)</f>
        <v>1038.3940888614572</v>
      </c>
      <c r="AJ104" s="11"/>
      <c r="AK104" s="163">
        <f>AI104*(1+yrSales!S135)</f>
        <v>1038.701061531274</v>
      </c>
      <c r="AL104" s="163"/>
      <c r="AM104" s="163">
        <f>AK104*(1+yrSales!T135)</f>
        <v>1024.333947970171</v>
      </c>
      <c r="AN104" s="163"/>
      <c r="AO104" s="163">
        <f>AM104*(1+yrSales!U135)</f>
        <v>1073.9066490247149</v>
      </c>
      <c r="AP104" s="163"/>
      <c r="AQ104" s="163">
        <f>AO104*(1+yrSales!V135)</f>
        <v>1092.0086242565651</v>
      </c>
      <c r="AR104" s="163"/>
      <c r="AS104" s="163">
        <f>AQ104*(1+yrSales!X135)</f>
        <v>1095.0119692344078</v>
      </c>
      <c r="AU104" s="163">
        <f>AS104*(1+yrSales!X135)</f>
        <v>1098.0235742945024</v>
      </c>
      <c r="AV104" s="163"/>
      <c r="AW104" s="163">
        <f>AU104*(1+yrSales!Y135)</f>
        <v>1091.6445452344124</v>
      </c>
      <c r="AX104" s="163">
        <f>AU104*(1+yrSales!AE135)</f>
        <v>1098.0235742945024</v>
      </c>
      <c r="AY104" s="163">
        <f>AX104*(1+yrSales!Z135)</f>
        <v>1111.5219248263859</v>
      </c>
      <c r="AZ104" s="163"/>
      <c r="BA104" s="163">
        <f>AY104*(1+yrSales!AA135)</f>
        <v>1111.4384986797118</v>
      </c>
      <c r="BB104" s="163"/>
      <c r="BC104" s="163">
        <f>BA104*(1+yrSales!AF135)</f>
        <v>1111.4384986797118</v>
      </c>
      <c r="BD104" s="163"/>
      <c r="BE104" s="163">
        <f>BC104*(1+yrSales!AH135)</f>
        <v>1111.4384986797118</v>
      </c>
      <c r="BF104" s="163"/>
      <c r="BG104" s="163"/>
      <c r="BH104" s="163"/>
    </row>
    <row r="105" spans="1:60" ht="12.75" hidden="1" outlineLevel="1">
      <c r="A105" s="260" t="s">
        <v>473</v>
      </c>
      <c r="B105" s="11"/>
      <c r="C105" s="11"/>
      <c r="D105" s="11"/>
      <c r="E105" s="12"/>
      <c r="F105" s="11"/>
      <c r="G105" s="255">
        <v>4.4000000000000004</v>
      </c>
      <c r="H105" s="11"/>
      <c r="I105" s="255">
        <v>5.8</v>
      </c>
      <c r="J105" s="164"/>
      <c r="K105" s="255">
        <v>6.7</v>
      </c>
      <c r="L105" s="56"/>
      <c r="M105" s="256">
        <v>6.7</v>
      </c>
      <c r="N105" s="11"/>
      <c r="O105" s="243">
        <f>M105</f>
        <v>6.7</v>
      </c>
      <c r="P105" s="163"/>
      <c r="Q105" s="243">
        <f>O105</f>
        <v>6.7</v>
      </c>
      <c r="R105" s="11"/>
      <c r="S105" s="243">
        <f>Q105</f>
        <v>6.7</v>
      </c>
      <c r="T105" s="11"/>
      <c r="U105" s="243">
        <f>S105</f>
        <v>6.7</v>
      </c>
      <c r="V105" s="11"/>
      <c r="W105" s="243">
        <f>U105</f>
        <v>6.7</v>
      </c>
      <c r="X105" s="11"/>
      <c r="Y105" s="595">
        <f>W105</f>
        <v>6.7</v>
      </c>
      <c r="Z105" s="11"/>
      <c r="AA105" s="243">
        <f>Y105</f>
        <v>6.7</v>
      </c>
      <c r="AB105" s="243"/>
      <c r="AC105" s="243">
        <f>AA105</f>
        <v>6.7</v>
      </c>
      <c r="AD105" s="11"/>
      <c r="AE105" s="243">
        <f>AC105</f>
        <v>6.7</v>
      </c>
      <c r="AF105" s="11"/>
      <c r="AG105" s="243">
        <f>AE105</f>
        <v>6.7</v>
      </c>
      <c r="AH105" s="11"/>
      <c r="AI105" s="243">
        <f>AG105</f>
        <v>6.7</v>
      </c>
      <c r="AJ105" s="11"/>
      <c r="AK105" s="243">
        <f>AI105</f>
        <v>6.7</v>
      </c>
      <c r="AL105" s="243"/>
      <c r="AM105" s="243">
        <f>AK105</f>
        <v>6.7</v>
      </c>
      <c r="AN105" s="243"/>
      <c r="AO105" s="243">
        <f>AM105</f>
        <v>6.7</v>
      </c>
      <c r="AP105" s="243"/>
      <c r="AQ105" s="243">
        <f>AO105</f>
        <v>6.7</v>
      </c>
      <c r="AR105" s="243"/>
      <c r="AS105" s="243">
        <f>AQ105</f>
        <v>6.7</v>
      </c>
      <c r="AT105" s="243"/>
      <c r="AU105" s="243">
        <f>AS105</f>
        <v>6.7</v>
      </c>
      <c r="AV105" s="243"/>
      <c r="AW105" s="243">
        <f>AU105</f>
        <v>6.7</v>
      </c>
      <c r="AX105" s="243"/>
      <c r="AY105" s="243">
        <f>AX105</f>
        <v>0</v>
      </c>
      <c r="AZ105" s="243"/>
      <c r="BA105" s="243">
        <f>AY105</f>
        <v>0</v>
      </c>
      <c r="BB105" s="243"/>
      <c r="BC105" s="243">
        <f>BA105</f>
        <v>0</v>
      </c>
      <c r="BD105" s="243"/>
      <c r="BE105" s="243">
        <f>BC105</f>
        <v>0</v>
      </c>
      <c r="BF105" s="259"/>
      <c r="BG105" s="259"/>
      <c r="BH105" s="259"/>
    </row>
    <row r="106" spans="1:60" ht="12.75" hidden="1" outlineLevel="1">
      <c r="A106" s="246" t="s">
        <v>474</v>
      </c>
      <c r="B106" s="11"/>
      <c r="C106" s="11"/>
      <c r="D106" s="11"/>
      <c r="E106" s="12"/>
      <c r="F106" s="11"/>
      <c r="G106" s="163">
        <f>SUM(G99:G105)</f>
        <v>176.95335341585331</v>
      </c>
      <c r="H106" s="11"/>
      <c r="I106" s="245">
        <f>SUM(I99:I105)</f>
        <v>196.14699999999999</v>
      </c>
      <c r="J106" s="45"/>
      <c r="K106" s="245">
        <f>SUM(K99:K105)</f>
        <v>256.07</v>
      </c>
      <c r="L106" s="45"/>
      <c r="M106" s="245">
        <f>SUM(M99:M105)</f>
        <v>373.52600000000001</v>
      </c>
      <c r="N106" s="45"/>
      <c r="O106" s="245">
        <f>SUM(O99:O105)</f>
        <v>707.65900000000011</v>
      </c>
      <c r="P106" s="45"/>
      <c r="Q106" s="245">
        <f>SUM(Q99:Q105)</f>
        <v>908.93542002688082</v>
      </c>
      <c r="R106" s="11"/>
      <c r="S106" s="245">
        <f>SUM(S99:S105)</f>
        <v>998.36569805134764</v>
      </c>
      <c r="T106" s="11"/>
      <c r="U106" s="245">
        <f>SUM(U99:U105)</f>
        <v>1141.6892916922984</v>
      </c>
      <c r="V106" s="11"/>
      <c r="W106" s="245">
        <f>SUM(W99:W105)</f>
        <v>1189.1796091816702</v>
      </c>
      <c r="X106" s="11"/>
      <c r="Y106" s="596">
        <f>SUM(Y99:Y105)</f>
        <v>1175.7745089061489</v>
      </c>
      <c r="Z106" s="11"/>
      <c r="AA106" s="245">
        <f>SUM(AA99:AA105)</f>
        <v>1378.0480920852351</v>
      </c>
      <c r="AB106" s="245"/>
      <c r="AC106" s="245">
        <f>SUM(AC99:AC105)</f>
        <v>1610.6227845686128</v>
      </c>
      <c r="AD106" s="11"/>
      <c r="AE106" s="245">
        <f>SUM(AE99:AE105)</f>
        <v>1827.3825998049022</v>
      </c>
      <c r="AF106" s="11"/>
      <c r="AG106" s="245">
        <f>SUM(AG99:AG105)</f>
        <v>1781.6561969929678</v>
      </c>
      <c r="AH106" s="11"/>
      <c r="AI106" s="245">
        <f>SUM(AI99:AI105)</f>
        <v>1723.7000888614573</v>
      </c>
      <c r="AJ106" s="11"/>
      <c r="AK106" s="245">
        <f>SUM(AK99:AK105)</f>
        <v>1663.0490615312742</v>
      </c>
      <c r="AL106" s="245"/>
      <c r="AM106" s="245">
        <f>SUM(AM99:AM105)</f>
        <v>1576.152947970171</v>
      </c>
      <c r="AN106" s="245"/>
      <c r="AO106" s="245">
        <f>SUM(AO99:AO105)</f>
        <v>1753.5096490247149</v>
      </c>
      <c r="AP106" s="245"/>
      <c r="AQ106" s="245">
        <f>SUM(AQ99:AQ105)</f>
        <v>1829.0506242565652</v>
      </c>
      <c r="AR106" s="245"/>
      <c r="AS106" s="245">
        <f>SUM(AS99:AS105)</f>
        <v>1840.783969234408</v>
      </c>
      <c r="AT106" s="245"/>
      <c r="AU106" s="245">
        <f>SUM(AU99:AU105)</f>
        <v>1848.0065742945023</v>
      </c>
      <c r="AV106" s="245"/>
      <c r="AW106" s="245">
        <f>SUM(AW99:AW105)</f>
        <v>1858.0695452344125</v>
      </c>
      <c r="AX106" s="245"/>
      <c r="AY106" s="245">
        <f>SUM(AY99:AY105)</f>
        <v>1842.7167796834797</v>
      </c>
      <c r="AZ106" s="245"/>
      <c r="BA106" s="245">
        <f>SUM(BA99:BA105)</f>
        <v>1848.7990286694439</v>
      </c>
      <c r="BB106" s="245"/>
      <c r="BC106" s="245">
        <f>SUM(BC99:BC105)</f>
        <v>1846.9791558531895</v>
      </c>
      <c r="BD106" s="245"/>
      <c r="BE106" s="245">
        <f>SUM(BE99:BE105)</f>
        <v>1841.1728425987412</v>
      </c>
      <c r="BF106" s="245"/>
      <c r="BG106" s="245"/>
      <c r="BH106" s="245"/>
    </row>
    <row r="107" spans="1:60" ht="12.75" hidden="1" outlineLevel="1">
      <c r="A107" s="241" t="s">
        <v>457</v>
      </c>
      <c r="B107" s="11"/>
      <c r="C107" s="11"/>
      <c r="D107" s="11"/>
      <c r="E107" s="12"/>
      <c r="F107" s="11"/>
      <c r="G107" s="243">
        <f>G24</f>
        <v>2.4870000000000001</v>
      </c>
      <c r="H107" s="11"/>
      <c r="I107" s="243">
        <f>I24</f>
        <v>3.7749999999999999</v>
      </c>
      <c r="J107" s="11"/>
      <c r="K107" s="243">
        <f>K24</f>
        <v>3.0739999999999998</v>
      </c>
      <c r="L107" s="11"/>
      <c r="M107" s="243">
        <f>M24</f>
        <v>3.1110000000000002</v>
      </c>
      <c r="N107" s="11"/>
      <c r="O107" s="243">
        <f>O24</f>
        <v>4.2970000000000006</v>
      </c>
      <c r="P107" s="11"/>
      <c r="Q107" s="243">
        <f>Q24</f>
        <v>4.460799999999999</v>
      </c>
      <c r="R107" s="11"/>
      <c r="S107" s="243">
        <f>S24</f>
        <v>7.0919999999999987</v>
      </c>
      <c r="T107" s="11"/>
      <c r="U107" s="243">
        <f>U24</f>
        <v>5.3819999999999979</v>
      </c>
      <c r="V107" s="11"/>
      <c r="W107" s="243">
        <f>W24</f>
        <v>16.430999999999997</v>
      </c>
      <c r="X107" s="11"/>
      <c r="Y107" s="595">
        <f>Y24</f>
        <v>27.626000000000001</v>
      </c>
      <c r="Z107" s="11"/>
      <c r="AA107" s="243">
        <f>AA24</f>
        <v>45.991</v>
      </c>
      <c r="AB107" s="243"/>
      <c r="AC107" s="243">
        <f>AC24</f>
        <v>19.751000000000001</v>
      </c>
      <c r="AD107" s="11"/>
      <c r="AE107" s="243">
        <f>AE24</f>
        <v>21.363</v>
      </c>
      <c r="AF107" s="11"/>
      <c r="AG107" s="243">
        <f>AG24</f>
        <v>21.687999999999999</v>
      </c>
      <c r="AH107" s="11"/>
      <c r="AI107" s="243">
        <f>AI24</f>
        <v>25.465</v>
      </c>
      <c r="AJ107" s="11"/>
      <c r="AK107" s="243">
        <f>AK24</f>
        <v>56.216000000000001</v>
      </c>
      <c r="AL107" s="243"/>
      <c r="AM107" s="243">
        <f>AM24</f>
        <v>61.853999999999999</v>
      </c>
      <c r="AN107" s="243"/>
      <c r="AO107" s="243">
        <f>AO24</f>
        <v>94.822000000000003</v>
      </c>
      <c r="AP107" s="243"/>
      <c r="AQ107" s="243">
        <f>AQ24</f>
        <v>84.408000000000001</v>
      </c>
      <c r="AR107" s="243"/>
      <c r="AS107" s="243">
        <f>AS24</f>
        <v>103.172</v>
      </c>
      <c r="AT107" s="243"/>
      <c r="AU107" s="243">
        <f>AU24</f>
        <v>109.497</v>
      </c>
      <c r="AV107" s="243"/>
      <c r="AW107" s="243">
        <f>AW24</f>
        <v>99.13</v>
      </c>
      <c r="AX107" s="243"/>
      <c r="AY107" s="243">
        <f>AY24</f>
        <v>99.13</v>
      </c>
      <c r="AZ107" s="243"/>
      <c r="BA107" s="243">
        <f>BA24</f>
        <v>99.13</v>
      </c>
      <c r="BB107" s="243"/>
      <c r="BC107" s="243">
        <f>BC24</f>
        <v>99.13</v>
      </c>
      <c r="BD107" s="243"/>
      <c r="BE107" s="243">
        <f>BE24</f>
        <v>99.13</v>
      </c>
      <c r="BF107" s="259"/>
      <c r="BG107" s="259"/>
      <c r="BH107" s="259"/>
    </row>
    <row r="108" spans="1:60" ht="12.75" hidden="1" outlineLevel="1">
      <c r="A108" s="246" t="s">
        <v>478</v>
      </c>
      <c r="B108" s="11"/>
      <c r="C108" s="11"/>
      <c r="D108" s="11"/>
      <c r="E108" s="12"/>
      <c r="F108" s="11"/>
      <c r="G108" s="163">
        <f>+G107+G106+G98</f>
        <v>179.4923534158533</v>
      </c>
      <c r="H108" s="11"/>
      <c r="I108" s="245">
        <f>+I107+I106+I98</f>
        <v>248.40800000000002</v>
      </c>
      <c r="J108" s="45"/>
      <c r="K108" s="245">
        <f>+K107+K106+K98</f>
        <v>353.89700000000005</v>
      </c>
      <c r="L108" s="45"/>
      <c r="M108" s="245">
        <f>+M107+M106+M98</f>
        <v>558.47400000000005</v>
      </c>
      <c r="N108" s="45"/>
      <c r="O108" s="245">
        <f>+O107+O106+O98</f>
        <v>898.87</v>
      </c>
      <c r="P108" s="45"/>
      <c r="Q108" s="245">
        <f>+Q107+Q106+Q98</f>
        <v>1163.1052200268809</v>
      </c>
      <c r="R108" s="11"/>
      <c r="S108" s="245">
        <f>+S107+S106+S98</f>
        <v>1317.6596980513477</v>
      </c>
      <c r="T108" s="11"/>
      <c r="U108" s="245">
        <f>+U107+U106+U98</f>
        <v>1499.4092916922984</v>
      </c>
      <c r="V108" s="11"/>
      <c r="W108" s="245">
        <f>+W107+W106+W98</f>
        <v>1821.0736091816705</v>
      </c>
      <c r="X108" s="11"/>
      <c r="Y108" s="596">
        <f>+Y107+Y106+Y98</f>
        <v>1971.739508906149</v>
      </c>
      <c r="Z108" s="11"/>
      <c r="AA108" s="245">
        <f>+AA107+AA106+AA98</f>
        <v>2216.3830920852351</v>
      </c>
      <c r="AB108" s="245"/>
      <c r="AC108" s="245">
        <f>+AC107+AC106+AC98</f>
        <v>2329.5837845686124</v>
      </c>
      <c r="AD108" s="11"/>
      <c r="AE108" s="245">
        <f>+AE107+AE106+AE98</f>
        <v>2489.6405998049022</v>
      </c>
      <c r="AF108" s="11"/>
      <c r="AG108" s="245">
        <f>+AG107+AG106+AG98</f>
        <v>2630.8081969929676</v>
      </c>
      <c r="AH108" s="11"/>
      <c r="AI108" s="245">
        <f>+AI107+AI106+AI98</f>
        <v>2576.7390888614573</v>
      </c>
      <c r="AJ108" s="11"/>
      <c r="AK108" s="245">
        <f>+AK107+AK106+AK98</f>
        <v>2646.3220615312739</v>
      </c>
      <c r="AL108" s="245"/>
      <c r="AM108" s="245">
        <f>+AM107+AM106+AM98</f>
        <v>2390.3629479701708</v>
      </c>
      <c r="AN108" s="245"/>
      <c r="AO108" s="245">
        <f>+AO107+AO106+AO98</f>
        <v>2403.5690490247143</v>
      </c>
      <c r="AP108" s="245"/>
      <c r="AQ108" s="245">
        <f>+AQ107+AQ106+AQ98</f>
        <v>2392.7090242565646</v>
      </c>
      <c r="AR108" s="245"/>
      <c r="AS108" s="245">
        <f>+AS107+AS106+AS98</f>
        <v>2251.8653692344078</v>
      </c>
      <c r="AT108" s="245"/>
      <c r="AU108" s="245">
        <f>+AU107+AU106+AU98</f>
        <v>2417.8579742945021</v>
      </c>
      <c r="AV108" s="245"/>
      <c r="AW108" s="245">
        <f>+AW107+AW106+AW98</f>
        <v>2492.8555452344117</v>
      </c>
      <c r="AX108" s="245"/>
      <c r="AY108" s="245">
        <f>+AY107+AY106+AY98</f>
        <v>2624.446563598477</v>
      </c>
      <c r="AZ108" s="245"/>
      <c r="BA108" s="245">
        <f>+BA107+BA106+BA98</f>
        <v>2765.2483454103217</v>
      </c>
      <c r="BB108" s="245"/>
      <c r="BC108" s="245">
        <f>+BC107+BC106+BC98</f>
        <v>2896.4607236325332</v>
      </c>
      <c r="BD108" s="245"/>
      <c r="BE108" s="245">
        <f>+BE107+BE106+BE98</f>
        <v>3017.5041812960126</v>
      </c>
      <c r="BF108" s="245"/>
      <c r="BG108" s="245"/>
      <c r="BH108" s="245"/>
    </row>
    <row r="109" spans="1:60" ht="13.5" hidden="1" outlineLevel="1" thickBot="1">
      <c r="A109" s="246" t="s">
        <v>476</v>
      </c>
      <c r="B109" s="11"/>
      <c r="C109" s="11"/>
      <c r="D109" s="11"/>
      <c r="E109" s="12"/>
      <c r="F109" s="11"/>
      <c r="G109" s="259"/>
      <c r="H109" s="11"/>
      <c r="I109" s="261">
        <f>(I108+G108)/2</f>
        <v>213.95017670792666</v>
      </c>
      <c r="J109" s="45"/>
      <c r="K109" s="261">
        <f>(K108+I108)/2</f>
        <v>301.15250000000003</v>
      </c>
      <c r="L109" s="45"/>
      <c r="M109" s="261">
        <f>(M108+K108)/2</f>
        <v>456.18550000000005</v>
      </c>
      <c r="N109" s="45"/>
      <c r="O109" s="261">
        <f>(O108+M108)/2</f>
        <v>728.67200000000003</v>
      </c>
      <c r="P109" s="45"/>
      <c r="Q109" s="261">
        <f>(Q108+O108)/2</f>
        <v>1030.9876100134404</v>
      </c>
      <c r="R109" s="11"/>
      <c r="S109" s="261">
        <f>(S108+Q108)/2</f>
        <v>1240.3824590391143</v>
      </c>
      <c r="T109" s="11"/>
      <c r="U109" s="261">
        <f>(U108+S108)/2</f>
        <v>1408.534494871823</v>
      </c>
      <c r="V109" s="11"/>
      <c r="W109" s="261">
        <f>(W108+U108)/2</f>
        <v>1660.2414504369845</v>
      </c>
      <c r="X109" s="11"/>
      <c r="Y109" s="597">
        <f>(Y108+W108)/2</f>
        <v>1896.4065590439097</v>
      </c>
      <c r="Z109" s="11"/>
      <c r="AA109" s="261">
        <f>(AA108+Y108)/2</f>
        <v>2094.0613004956922</v>
      </c>
      <c r="AB109" s="261"/>
      <c r="AC109" s="261">
        <f>(AC108+AA108)/2</f>
        <v>2272.9834383269235</v>
      </c>
      <c r="AD109" s="11"/>
      <c r="AE109" s="261">
        <f>(AE108+AC108)/2</f>
        <v>2409.6121921867571</v>
      </c>
      <c r="AF109" s="11"/>
      <c r="AG109" s="261">
        <f>(AG108+AE108)/2</f>
        <v>2560.2243983989347</v>
      </c>
      <c r="AH109" s="11"/>
      <c r="AI109" s="261">
        <f>(AI108+AG108)/2</f>
        <v>2603.7736429272127</v>
      </c>
      <c r="AJ109" s="11"/>
      <c r="AK109" s="261">
        <f>(AK108+AI108)/2</f>
        <v>2611.5305751963656</v>
      </c>
      <c r="AL109" s="261"/>
      <c r="AM109" s="261">
        <f>(AM108+AK108)/2</f>
        <v>2518.3425047507226</v>
      </c>
      <c r="AN109" s="261"/>
      <c r="AO109" s="261">
        <f>(AO108+AM108)/2</f>
        <v>2396.9659984974423</v>
      </c>
      <c r="AP109" s="261"/>
      <c r="AQ109" s="261">
        <f>(AQ108+AO108)/2</f>
        <v>2398.1390366406395</v>
      </c>
      <c r="AR109" s="261"/>
      <c r="AS109" s="261">
        <f>(AS108+AQ108)/2</f>
        <v>2322.2871967454862</v>
      </c>
      <c r="AT109" s="261"/>
      <c r="AU109" s="261">
        <f>(AU108+AS108)/2</f>
        <v>2334.861671764455</v>
      </c>
      <c r="AV109" s="261"/>
      <c r="AW109" s="261">
        <f>(AW108+AU108)/2</f>
        <v>2455.3567597644569</v>
      </c>
      <c r="AX109" s="261"/>
      <c r="AY109" s="261">
        <f>(AY108+AX108)/2</f>
        <v>1312.2232817992385</v>
      </c>
      <c r="AZ109" s="261"/>
      <c r="BA109" s="261">
        <f>(BA108+AY108)/2</f>
        <v>2694.8474545043991</v>
      </c>
      <c r="BB109" s="261"/>
      <c r="BC109" s="261">
        <f>(BC108+BA108)/2</f>
        <v>2830.8545345214275</v>
      </c>
      <c r="BD109" s="261"/>
      <c r="BE109" s="261">
        <f>(BE108+BC108)/2</f>
        <v>2956.9824524642727</v>
      </c>
      <c r="BF109" s="958"/>
      <c r="BG109" s="958"/>
      <c r="BH109" s="958"/>
    </row>
    <row r="110" spans="1:60" ht="12.75" hidden="1" outlineLevel="1">
      <c r="A110" s="241"/>
      <c r="B110" s="11"/>
      <c r="C110" s="11"/>
      <c r="D110" s="11"/>
      <c r="E110" s="12"/>
      <c r="F110" s="11"/>
      <c r="G110" s="12"/>
      <c r="H110" s="11"/>
      <c r="I110" s="12"/>
      <c r="J110" s="11"/>
      <c r="K110" s="244"/>
      <c r="L110" s="11"/>
      <c r="M110" s="277"/>
      <c r="N110" s="11"/>
      <c r="O110" s="109"/>
      <c r="P110" s="11"/>
      <c r="Q110" s="11"/>
      <c r="R110" s="11"/>
      <c r="S110" s="11"/>
      <c r="T110" s="11"/>
      <c r="U110" s="11"/>
      <c r="V110" s="11"/>
      <c r="W110" s="11"/>
      <c r="X110" s="11"/>
      <c r="Y110" s="110"/>
      <c r="Z110" s="11"/>
      <c r="AA110" s="11"/>
      <c r="AB110" s="11"/>
      <c r="AC110" s="11"/>
      <c r="AD110" s="11"/>
      <c r="AE110" s="11"/>
      <c r="AF110" s="11"/>
      <c r="AG110" s="11"/>
      <c r="AH110" s="11"/>
      <c r="AI110" s="11"/>
      <c r="AJ110" s="11"/>
      <c r="AK110" s="11"/>
      <c r="AL110" s="11"/>
      <c r="AM110" s="11"/>
      <c r="AN110" s="11"/>
      <c r="AO110" s="11"/>
      <c r="AP110" s="11"/>
      <c r="AQ110" s="11"/>
      <c r="AR110" s="11"/>
      <c r="AS110" s="11"/>
      <c r="AT110" s="11"/>
      <c r="AU110" s="11"/>
      <c r="AV110" s="11"/>
      <c r="AW110" s="11"/>
      <c r="AX110" s="11"/>
      <c r="AY110" s="11"/>
      <c r="AZ110" s="11"/>
      <c r="BA110" s="11"/>
      <c r="BB110" s="11"/>
      <c r="BC110" s="11"/>
      <c r="BD110" s="11"/>
      <c r="BE110" s="11"/>
      <c r="BF110" s="11"/>
      <c r="BG110" s="11"/>
      <c r="BH110" s="11"/>
    </row>
    <row r="111" spans="1:60" ht="12.75" hidden="1" outlineLevel="1">
      <c r="A111" s="241" t="s">
        <v>458</v>
      </c>
      <c r="B111" s="11"/>
      <c r="C111" s="11"/>
      <c r="D111" s="11"/>
      <c r="E111" s="12"/>
      <c r="F111" s="11"/>
      <c r="G111" s="12"/>
      <c r="H111" s="11"/>
      <c r="I111" s="163">
        <f>I98-G98</f>
        <v>48.434000000000019</v>
      </c>
      <c r="J111" s="11"/>
      <c r="K111" s="163">
        <f>K98-I98</f>
        <v>46.266999999999996</v>
      </c>
      <c r="L111" s="11"/>
      <c r="M111" s="163">
        <f>M98-K98</f>
        <v>87.084000000000003</v>
      </c>
      <c r="N111" s="11"/>
      <c r="O111" s="163">
        <f>O98-M98</f>
        <v>5.0769999999998845</v>
      </c>
      <c r="P111" s="11"/>
      <c r="Q111" s="163">
        <f>Q98-O98</f>
        <v>62.795000000000186</v>
      </c>
      <c r="R111" s="11"/>
      <c r="S111" s="163">
        <f>S98-Q98</f>
        <v>62.49300000000008</v>
      </c>
      <c r="T111" s="11"/>
      <c r="U111" s="163">
        <f>U98-S98</f>
        <v>40.135999999999854</v>
      </c>
      <c r="V111" s="11"/>
      <c r="W111" s="163">
        <f>W98-U98</f>
        <v>263.12500000000017</v>
      </c>
      <c r="X111" s="11"/>
      <c r="Y111" s="594">
        <f>Y98-W98</f>
        <v>152.87599999999998</v>
      </c>
      <c r="Z111" s="11"/>
      <c r="AA111" s="163">
        <f>AA98-Y98</f>
        <v>24.004999999999768</v>
      </c>
      <c r="AB111" s="163"/>
      <c r="AC111" s="163">
        <f>AC98-AA98</f>
        <v>-93.134000000000242</v>
      </c>
      <c r="AD111" s="11"/>
      <c r="AE111" s="163">
        <f>AE98-AC98</f>
        <v>-58.314999999999941</v>
      </c>
      <c r="AF111" s="11"/>
      <c r="AG111" s="163">
        <f>AG98-AE98</f>
        <v>186.56899999999996</v>
      </c>
      <c r="AH111" s="11"/>
      <c r="AI111" s="163">
        <f>AI98-AG98</f>
        <v>0.11000000000012733</v>
      </c>
      <c r="AJ111" s="11"/>
      <c r="AK111" s="163">
        <f>AK98-AI98</f>
        <v>99.483000000000061</v>
      </c>
      <c r="AL111" s="163"/>
      <c r="AM111" s="163">
        <f>AM98-AK98</f>
        <v>-174.70100000000002</v>
      </c>
      <c r="AN111" s="163"/>
      <c r="AO111" s="163">
        <f>AO98-AM98</f>
        <v>-197.11860000000036</v>
      </c>
      <c r="AP111" s="163"/>
      <c r="AQ111" s="163">
        <f>AQ98-AO98</f>
        <v>-75.98699999999991</v>
      </c>
      <c r="AR111" s="163"/>
      <c r="AS111" s="163">
        <f>AS98-AQ98</f>
        <v>-171.34100000000007</v>
      </c>
      <c r="AT111" s="163"/>
      <c r="AU111" s="163">
        <f>AU98-AS98</f>
        <v>152.44500000000011</v>
      </c>
      <c r="AV111" s="163"/>
      <c r="AW111" s="163">
        <f>AW98-AU98</f>
        <v>75.30159999999961</v>
      </c>
      <c r="AX111" s="163"/>
      <c r="AY111" s="163">
        <f>AY98-AX98</f>
        <v>682.59978391499703</v>
      </c>
      <c r="AZ111" s="163"/>
      <c r="BA111" s="163">
        <f>BA98-AY98</f>
        <v>134.71953282588072</v>
      </c>
      <c r="BB111" s="163"/>
      <c r="BC111" s="163">
        <f>BC98-BA98</f>
        <v>133.03225103846603</v>
      </c>
      <c r="BD111" s="163"/>
      <c r="BE111" s="163">
        <f>BE98-BC98</f>
        <v>126.84977091792769</v>
      </c>
      <c r="BF111" s="163"/>
      <c r="BG111" s="163"/>
      <c r="BH111" s="163"/>
    </row>
    <row r="112" spans="1:60" ht="12.75" hidden="1" outlineLevel="1">
      <c r="A112" s="241" t="s">
        <v>484</v>
      </c>
      <c r="B112" s="11"/>
      <c r="C112" s="11"/>
      <c r="D112" s="11"/>
      <c r="E112" s="12"/>
      <c r="F112" s="11"/>
      <c r="G112" s="12"/>
      <c r="H112" s="11"/>
      <c r="I112" s="163">
        <f>I106-G106</f>
        <v>19.193646584146677</v>
      </c>
      <c r="J112" s="11"/>
      <c r="K112" s="163">
        <f>K106-I106</f>
        <v>59.923000000000002</v>
      </c>
      <c r="L112" s="11"/>
      <c r="M112" s="163">
        <f>M106-K106</f>
        <v>117.45600000000002</v>
      </c>
      <c r="N112" s="11"/>
      <c r="O112" s="163">
        <f>O106-M106</f>
        <v>334.1330000000001</v>
      </c>
      <c r="P112" s="11"/>
      <c r="Q112" s="163">
        <f>Q106-O106</f>
        <v>201.27642002688071</v>
      </c>
      <c r="R112" s="11"/>
      <c r="S112" s="163">
        <f>S106-Q106</f>
        <v>89.430278024466816</v>
      </c>
      <c r="T112" s="11"/>
      <c r="U112" s="163">
        <f>U106-S106</f>
        <v>143.32359364095078</v>
      </c>
      <c r="V112" s="11"/>
      <c r="W112" s="163">
        <f>W106-U106</f>
        <v>47.490317489371819</v>
      </c>
      <c r="X112" s="11"/>
      <c r="Y112" s="594">
        <f>Y106-W106</f>
        <v>-13.405100275521363</v>
      </c>
      <c r="Z112" s="11"/>
      <c r="AA112" s="163">
        <f>AA106-Y106</f>
        <v>202.27358317908624</v>
      </c>
      <c r="AB112" s="163"/>
      <c r="AC112" s="163">
        <f>AC106-AA106</f>
        <v>232.5746924833777</v>
      </c>
      <c r="AD112" s="11"/>
      <c r="AE112" s="163">
        <f>AE106-AC106</f>
        <v>216.75981523628934</v>
      </c>
      <c r="AF112" s="11"/>
      <c r="AG112" s="163">
        <f>AG106-AE106</f>
        <v>-45.726402811934349</v>
      </c>
      <c r="AH112" s="11"/>
      <c r="AI112" s="163">
        <f>AI106-AG106</f>
        <v>-57.956108131510518</v>
      </c>
      <c r="AJ112" s="11"/>
      <c r="AK112" s="163">
        <f>AK106-AI106</f>
        <v>-60.651027330183069</v>
      </c>
      <c r="AL112" s="163"/>
      <c r="AM112" s="163">
        <f>AM106-AK106</f>
        <v>-86.89611356110322</v>
      </c>
      <c r="AN112" s="163"/>
      <c r="AO112" s="163">
        <f>AO106-AM106</f>
        <v>177.35670105454392</v>
      </c>
      <c r="AP112" s="163"/>
      <c r="AQ112" s="163">
        <f t="shared" ref="AQ112:AS114" si="4">AQ106-AO106</f>
        <v>75.540975231850325</v>
      </c>
      <c r="AR112" s="163"/>
      <c r="AS112" s="163">
        <f t="shared" si="4"/>
        <v>11.733344977842762</v>
      </c>
      <c r="AT112" s="163"/>
      <c r="AU112" s="163">
        <f>AU106-AS106</f>
        <v>7.2226050600943381</v>
      </c>
      <c r="AV112" s="163"/>
      <c r="AW112" s="163">
        <f>AW106-AU106</f>
        <v>10.062970939910201</v>
      </c>
      <c r="AX112" s="163"/>
      <c r="AY112" s="163">
        <f>AY106-AX106</f>
        <v>1842.7167796834797</v>
      </c>
      <c r="AZ112" s="163"/>
      <c r="BA112" s="163">
        <f>BA106-AY106</f>
        <v>6.0822489859642701</v>
      </c>
      <c r="BB112" s="163"/>
      <c r="BC112" s="163">
        <f>BC106-BA106</f>
        <v>-1.8198728162544739</v>
      </c>
      <c r="BD112" s="163"/>
      <c r="BE112" s="163">
        <f>BE106-BC106</f>
        <v>-5.8063132544482414</v>
      </c>
      <c r="BF112" s="163"/>
      <c r="BG112" s="163"/>
      <c r="BH112" s="163"/>
    </row>
    <row r="113" spans="1:60" ht="12.75" hidden="1" outlineLevel="1">
      <c r="A113" s="241" t="s">
        <v>486</v>
      </c>
      <c r="B113" s="11"/>
      <c r="C113" s="11"/>
      <c r="D113" s="11"/>
      <c r="E113" s="12"/>
      <c r="F113" s="11"/>
      <c r="G113" s="12"/>
      <c r="H113" s="11"/>
      <c r="I113" s="163">
        <f t="shared" ref="I113:Q114" si="5">I107-G107</f>
        <v>1.2879999999999998</v>
      </c>
      <c r="J113" s="11"/>
      <c r="K113" s="163">
        <f t="shared" si="5"/>
        <v>-0.70100000000000007</v>
      </c>
      <c r="L113" s="11"/>
      <c r="M113" s="163">
        <f t="shared" si="5"/>
        <v>3.7000000000000366E-2</v>
      </c>
      <c r="N113" s="11"/>
      <c r="O113" s="163">
        <f t="shared" si="5"/>
        <v>1.1860000000000004</v>
      </c>
      <c r="P113" s="11"/>
      <c r="Q113" s="163">
        <f t="shared" si="5"/>
        <v>0.16379999999999839</v>
      </c>
      <c r="R113" s="11"/>
      <c r="S113" s="163">
        <f>S107-Q107</f>
        <v>2.6311999999999998</v>
      </c>
      <c r="T113" s="11"/>
      <c r="U113" s="163">
        <f>U107-S107</f>
        <v>-1.7100000000000009</v>
      </c>
      <c r="V113" s="11"/>
      <c r="W113" s="163">
        <f>W107-U107</f>
        <v>11.048999999999999</v>
      </c>
      <c r="X113" s="11"/>
      <c r="Y113" s="594">
        <f>Y107-W107</f>
        <v>11.195000000000004</v>
      </c>
      <c r="Z113" s="11"/>
      <c r="AA113" s="163">
        <f>AA107-Y107</f>
        <v>18.364999999999998</v>
      </c>
      <c r="AB113" s="163"/>
      <c r="AC113" s="163">
        <f>AC107-AA107</f>
        <v>-26.24</v>
      </c>
      <c r="AD113" s="11"/>
      <c r="AE113" s="163">
        <f>AE107-AC107</f>
        <v>1.6119999999999983</v>
      </c>
      <c r="AF113" s="11"/>
      <c r="AG113" s="163">
        <f>AG107-AE107</f>
        <v>0.32499999999999929</v>
      </c>
      <c r="AH113" s="11"/>
      <c r="AI113" s="163">
        <f>AI107-AG107</f>
        <v>3.777000000000001</v>
      </c>
      <c r="AJ113" s="11"/>
      <c r="AK113" s="163">
        <f>AK107-AI107</f>
        <v>30.751000000000001</v>
      </c>
      <c r="AL113" s="163"/>
      <c r="AM113" s="163">
        <f>AM107-AK107</f>
        <v>5.6379999999999981</v>
      </c>
      <c r="AN113" s="163"/>
      <c r="AO113" s="163">
        <f>AO107-AM107</f>
        <v>32.968000000000004</v>
      </c>
      <c r="AP113" s="163"/>
      <c r="AQ113" s="163">
        <f t="shared" si="4"/>
        <v>-10.414000000000001</v>
      </c>
      <c r="AR113" s="163"/>
      <c r="AS113" s="163">
        <f t="shared" si="4"/>
        <v>18.763999999999996</v>
      </c>
      <c r="AT113" s="163"/>
      <c r="AU113" s="163">
        <f>AU107-AS107</f>
        <v>6.3250000000000028</v>
      </c>
      <c r="AV113" s="163"/>
      <c r="AW113" s="163">
        <f>AW107-AU107</f>
        <v>-10.367000000000004</v>
      </c>
      <c r="AX113" s="163"/>
      <c r="AY113" s="163">
        <f>AY107-AX107</f>
        <v>99.13</v>
      </c>
      <c r="AZ113" s="163"/>
      <c r="BA113" s="163">
        <f>BA107-AY107</f>
        <v>0</v>
      </c>
      <c r="BB113" s="163"/>
      <c r="BC113" s="163">
        <f>BC107-BA107</f>
        <v>0</v>
      </c>
      <c r="BD113" s="163"/>
      <c r="BE113" s="163">
        <f>BE107-BC107</f>
        <v>0</v>
      </c>
      <c r="BF113" s="163"/>
      <c r="BG113" s="163"/>
      <c r="BH113" s="163"/>
    </row>
    <row r="114" spans="1:60" ht="12.75" hidden="1" outlineLevel="1">
      <c r="A114" s="242" t="s">
        <v>477</v>
      </c>
      <c r="B114" s="11"/>
      <c r="C114" s="11"/>
      <c r="D114" s="11"/>
      <c r="E114" s="12"/>
      <c r="F114" s="11"/>
      <c r="G114" s="12"/>
      <c r="H114" s="11"/>
      <c r="I114" s="245">
        <f t="shared" si="5"/>
        <v>68.915646584146714</v>
      </c>
      <c r="J114" s="45"/>
      <c r="K114" s="245">
        <f t="shared" si="5"/>
        <v>105.48900000000003</v>
      </c>
      <c r="L114" s="45"/>
      <c r="M114" s="245">
        <f t="shared" si="5"/>
        <v>204.577</v>
      </c>
      <c r="N114" s="45"/>
      <c r="O114" s="245">
        <f t="shared" si="5"/>
        <v>340.39599999999996</v>
      </c>
      <c r="P114" s="45"/>
      <c r="Q114" s="245">
        <f t="shared" si="5"/>
        <v>264.23522002688094</v>
      </c>
      <c r="R114" s="11"/>
      <c r="S114" s="245">
        <f>S108-Q108</f>
        <v>154.55447802446679</v>
      </c>
      <c r="T114" s="11"/>
      <c r="U114" s="245">
        <f>U108-S108</f>
        <v>181.74959364095071</v>
      </c>
      <c r="V114" s="11"/>
      <c r="W114" s="245">
        <f>W108-U108</f>
        <v>321.66431748937202</v>
      </c>
      <c r="X114" s="11"/>
      <c r="Y114" s="596">
        <f>Y108-W108</f>
        <v>150.66589972447855</v>
      </c>
      <c r="Z114" s="11"/>
      <c r="AA114" s="245">
        <f>AA108-Y108</f>
        <v>244.64358317908614</v>
      </c>
      <c r="AB114" s="245"/>
      <c r="AC114" s="245">
        <f>AC108-AA108</f>
        <v>113.20069248337722</v>
      </c>
      <c r="AD114" s="11"/>
      <c r="AE114" s="245">
        <f>AE108-AC108</f>
        <v>160.05681523628982</v>
      </c>
      <c r="AF114" s="11"/>
      <c r="AG114" s="245">
        <f>AG108-AE108</f>
        <v>141.16759718806543</v>
      </c>
      <c r="AH114" s="11"/>
      <c r="AI114" s="245">
        <f>AI108-AG108</f>
        <v>-54.069108131510347</v>
      </c>
      <c r="AJ114" s="11"/>
      <c r="AK114" s="245">
        <f>AK108-AI108</f>
        <v>69.582972669816627</v>
      </c>
      <c r="AL114" s="245"/>
      <c r="AM114" s="245">
        <f>AM108-AK108</f>
        <v>-255.95911356110309</v>
      </c>
      <c r="AN114" s="245"/>
      <c r="AO114" s="245">
        <f>AO108-AM108</f>
        <v>13.206101054543524</v>
      </c>
      <c r="AP114" s="245"/>
      <c r="AQ114" s="245">
        <f t="shared" si="4"/>
        <v>-10.860024768149742</v>
      </c>
      <c r="AR114" s="245"/>
      <c r="AS114" s="245">
        <f t="shared" si="4"/>
        <v>-140.84365502215678</v>
      </c>
      <c r="AT114" s="245"/>
      <c r="AU114" s="245">
        <f>AU108-AS108</f>
        <v>165.99260506009432</v>
      </c>
      <c r="AV114" s="245"/>
      <c r="AW114" s="245">
        <f>AW108-AU108</f>
        <v>74.997570939909565</v>
      </c>
      <c r="AX114" s="245"/>
      <c r="AY114" s="245">
        <f>AY108-AX108</f>
        <v>2624.446563598477</v>
      </c>
      <c r="AZ114" s="245"/>
      <c r="BA114" s="245">
        <f>BA108-AY108</f>
        <v>140.80178181184465</v>
      </c>
      <c r="BB114" s="245"/>
      <c r="BC114" s="245">
        <f>BC108-BA108</f>
        <v>131.21237822221156</v>
      </c>
      <c r="BD114" s="245"/>
      <c r="BE114" s="245">
        <f>BE108-BC108</f>
        <v>121.04345766347933</v>
      </c>
      <c r="BF114" s="245"/>
      <c r="BG114" s="245"/>
      <c r="BH114" s="245"/>
    </row>
    <row r="115" spans="1:60" ht="12.75" hidden="1" outlineLevel="1">
      <c r="A115" s="241"/>
      <c r="B115" s="11"/>
      <c r="C115" s="11"/>
      <c r="D115" s="11"/>
      <c r="E115" s="12"/>
      <c r="F115" s="11"/>
      <c r="G115" s="12"/>
      <c r="H115" s="11"/>
      <c r="I115" s="12"/>
      <c r="J115" s="11"/>
      <c r="K115" s="12"/>
      <c r="L115" s="11"/>
      <c r="M115" s="164"/>
      <c r="N115" s="11"/>
      <c r="O115" s="11"/>
      <c r="P115" s="11"/>
      <c r="Q115" s="11"/>
      <c r="R115" s="11"/>
      <c r="S115" s="11"/>
      <c r="T115" s="11"/>
      <c r="U115" s="11"/>
      <c r="V115" s="11"/>
      <c r="W115" s="11"/>
      <c r="X115" s="11"/>
      <c r="Y115" s="110"/>
      <c r="Z115" s="11"/>
      <c r="AA115" s="11"/>
      <c r="AB115" s="11"/>
      <c r="AC115" s="11"/>
      <c r="AD115" s="11"/>
      <c r="AE115" s="11"/>
      <c r="AF115" s="11"/>
      <c r="AG115" s="11"/>
      <c r="AH115" s="11"/>
      <c r="AI115" s="11"/>
      <c r="AJ115" s="11"/>
      <c r="AK115" s="11"/>
      <c r="AL115" s="11"/>
      <c r="AM115" s="11"/>
      <c r="AN115" s="11"/>
      <c r="AO115" s="11"/>
      <c r="AP115" s="11"/>
      <c r="AQ115" s="11"/>
      <c r="AR115" s="11"/>
      <c r="AS115" s="11"/>
      <c r="AT115" s="11"/>
      <c r="AU115" s="11"/>
      <c r="AV115" s="11"/>
      <c r="AW115" s="11"/>
      <c r="AX115" s="11"/>
      <c r="AY115" s="11"/>
      <c r="AZ115" s="11"/>
      <c r="BA115" s="11"/>
      <c r="BB115" s="11"/>
      <c r="BC115" s="11"/>
      <c r="BD115" s="11"/>
      <c r="BE115" s="11"/>
      <c r="BF115" s="11"/>
      <c r="BG115" s="11"/>
      <c r="BH115" s="11"/>
    </row>
    <row r="116" spans="1:60" ht="12.75" hidden="1" outlineLevel="1">
      <c r="A116" s="240" t="s">
        <v>459</v>
      </c>
      <c r="B116" s="11"/>
      <c r="C116" s="11"/>
      <c r="D116" s="11"/>
      <c r="E116" s="12"/>
      <c r="F116" s="11"/>
      <c r="G116" s="12"/>
      <c r="H116" s="11"/>
      <c r="I116" s="12"/>
      <c r="J116" s="11"/>
      <c r="K116" s="12"/>
      <c r="L116" s="11"/>
      <c r="M116" s="164"/>
      <c r="N116" s="11"/>
      <c r="O116" s="11"/>
      <c r="P116" s="11"/>
      <c r="Q116" s="11"/>
      <c r="R116" s="11"/>
      <c r="S116" s="11"/>
      <c r="T116" s="11"/>
      <c r="U116" s="11"/>
      <c r="V116" s="11"/>
      <c r="W116" s="11"/>
      <c r="X116" s="11"/>
      <c r="Y116" s="110"/>
      <c r="Z116" s="11"/>
      <c r="AA116" s="11"/>
      <c r="AB116" s="11"/>
      <c r="AC116" s="11"/>
      <c r="AD116" s="11"/>
      <c r="AE116" s="11"/>
      <c r="AF116" s="11"/>
      <c r="AG116" s="11"/>
      <c r="AH116" s="11"/>
      <c r="AI116" s="11"/>
      <c r="AJ116" s="11"/>
      <c r="AK116" s="11"/>
      <c r="AL116" s="11"/>
      <c r="AM116" s="11"/>
      <c r="AN116" s="11"/>
      <c r="AO116" s="11"/>
      <c r="AP116" s="11"/>
      <c r="AQ116" s="11"/>
      <c r="AR116" s="11"/>
      <c r="AS116" s="11"/>
      <c r="AT116" s="11"/>
      <c r="AU116" s="11"/>
      <c r="AV116" s="11"/>
      <c r="AW116" s="11"/>
      <c r="AX116" s="11"/>
      <c r="AY116" s="11"/>
      <c r="AZ116" s="11"/>
      <c r="BA116" s="11"/>
      <c r="BB116" s="11"/>
      <c r="BC116" s="11"/>
      <c r="BD116" s="11"/>
      <c r="BE116" s="11"/>
      <c r="BF116" s="11"/>
      <c r="BG116" s="11"/>
      <c r="BH116" s="11"/>
    </row>
    <row r="117" spans="1:60" ht="12.75" hidden="1" outlineLevel="1">
      <c r="A117" s="247" t="s">
        <v>487</v>
      </c>
      <c r="B117" s="11"/>
      <c r="C117" s="11"/>
      <c r="D117" s="11"/>
      <c r="E117" s="12"/>
      <c r="F117" s="11"/>
      <c r="G117" s="12"/>
      <c r="H117" s="11"/>
      <c r="I117" s="188">
        <f>'yrP&amp;L'!D$7/I98</f>
        <v>8.3676318937425194</v>
      </c>
      <c r="J117" s="11"/>
      <c r="K117" s="188">
        <f>'yrP&amp;L'!E$7/K98</f>
        <v>6.2013867634797837</v>
      </c>
      <c r="L117" s="11"/>
      <c r="M117" s="163">
        <f>'yrP&amp;L'!F$7/bal!M98</f>
        <v>4.5760983738183096</v>
      </c>
      <c r="N117" s="11"/>
      <c r="O117" s="163">
        <f>'yrP&amp;L'!G$7/bal!O98</f>
        <v>5.8501610366264725</v>
      </c>
      <c r="P117" s="11"/>
      <c r="Q117" s="163">
        <f>'yrP&amp;L'!H$7/bal!Q98</f>
        <v>5.493991005530436</v>
      </c>
      <c r="R117" s="11"/>
      <c r="S117" s="163">
        <f>'yrP&amp;L'!I7/bal!S98</f>
        <v>4.6865202657253935</v>
      </c>
      <c r="T117" s="11"/>
      <c r="U117" s="163">
        <f>'yrP&amp;L'!J$7/bal!U98</f>
        <v>4.0740311859634781</v>
      </c>
      <c r="V117" s="11"/>
      <c r="W117" s="163">
        <f>'yrP&amp;L'!K$7/bal!W98</f>
        <v>3.0702852974102415</v>
      </c>
      <c r="X117" s="11"/>
      <c r="Y117" s="594">
        <f>'yrP&amp;L'!L$7/bal!Y98</f>
        <v>3.0220540672801972</v>
      </c>
      <c r="Z117" s="11"/>
      <c r="AA117" s="594">
        <f>'yrP&amp;L'!M$7/bal!AA98</f>
        <v>3.5267623658410994</v>
      </c>
      <c r="AB117" s="163"/>
      <c r="AC117" s="594">
        <f>'yrP&amp;L'!N$7/bal!AC98</f>
        <v>4.3698159351267876</v>
      </c>
      <c r="AD117" s="11"/>
      <c r="AE117" s="594">
        <f>'yrP&amp;L'!O$7/bal!AE98</f>
        <v>4.6635813978888914</v>
      </c>
      <c r="AF117" s="11"/>
      <c r="AG117" s="594">
        <f>'yrP&amp;L'!P$7/bal!AG98</f>
        <v>3.553349752980191</v>
      </c>
      <c r="AH117" s="11"/>
      <c r="AI117" s="594">
        <f>'yrP&amp;L'!Q$7/bal!AI98</f>
        <v>3.5589494111704818</v>
      </c>
      <c r="AJ117" s="11"/>
      <c r="AK117" s="594">
        <f>'yrP&amp;L'!R$7/bal!AK98</f>
        <v>3.3655589677873103</v>
      </c>
      <c r="AL117" s="163"/>
      <c r="AM117" s="594">
        <f>'yrP&amp;L'!S$7/bal!AM98</f>
        <v>4.6198900520498274</v>
      </c>
      <c r="AN117" s="163"/>
      <c r="AO117" s="594">
        <f>'yrP&amp;L'!T$7/bal!AO98</f>
        <v>5.9538532526807497</v>
      </c>
      <c r="AP117" s="163"/>
      <c r="AQ117" s="594">
        <f>'yrP&amp;L'!U$7/bal!AQ98</f>
        <v>6.8500036724017397</v>
      </c>
      <c r="AR117" s="594"/>
      <c r="AS117" s="594">
        <f>'yrP&amp;L'!W$7/bal!AS98</f>
        <v>11.723789530296918</v>
      </c>
      <c r="AT117" s="594"/>
      <c r="AU117" s="594">
        <f>'yrP&amp;L'!AE$7/bal!AU98</f>
        <v>6.4282478014101949E-3</v>
      </c>
      <c r="AV117" s="594"/>
      <c r="AW117" s="594">
        <f>'yrP&amp;L'!AF$7/bal!AW98</f>
        <v>0</v>
      </c>
      <c r="AX117" s="594"/>
      <c r="AY117" s="594">
        <f>'yrP&amp;L'!AG$7/bal!AY98</f>
        <v>2.3695091026916387E-3</v>
      </c>
      <c r="AZ117" s="594"/>
      <c r="BA117" s="594">
        <f>'yrP&amp;L'!AH$7/bal!BA98</f>
        <v>0</v>
      </c>
      <c r="BB117" s="594"/>
      <c r="BC117" s="594">
        <f>'yrP&amp;L'!AJ$7/bal!BC98</f>
        <v>0</v>
      </c>
      <c r="BD117" s="594"/>
      <c r="BE117" s="594">
        <f>'yrP&amp;L'!AL$7/bal!BE98</f>
        <v>0</v>
      </c>
      <c r="BF117" s="594"/>
      <c r="BG117" s="594"/>
      <c r="BH117" s="594"/>
    </row>
    <row r="118" spans="1:60" ht="12.75" hidden="1" outlineLevel="1">
      <c r="A118" s="247" t="s">
        <v>488</v>
      </c>
      <c r="B118" s="11"/>
      <c r="C118" s="11"/>
      <c r="D118" s="11"/>
      <c r="E118" s="12"/>
      <c r="F118" s="11"/>
      <c r="G118" s="12"/>
      <c r="H118" s="11"/>
      <c r="I118" s="188">
        <f>'yrP&amp;L'!D$7/I106</f>
        <v>2.0684129759822989</v>
      </c>
      <c r="J118" s="11"/>
      <c r="K118" s="188">
        <f>'yrP&amp;L'!E$7/K106</f>
        <v>2.2946850470574454</v>
      </c>
      <c r="L118" s="11"/>
      <c r="M118" s="163">
        <f>'yrP&amp;L'!F$7/bal!M106</f>
        <v>2.227700347499237</v>
      </c>
      <c r="N118" s="11"/>
      <c r="O118" s="163">
        <f>'yrP&amp;L'!G$7/bal!O106</f>
        <v>1.5452032688060207</v>
      </c>
      <c r="P118" s="11"/>
      <c r="Q118" s="163">
        <f>'yrP&amp;L'!H$7/bal!Q106</f>
        <v>1.5093470556570758</v>
      </c>
      <c r="R118" s="11"/>
      <c r="S118" s="163">
        <f>'yrP&amp;L'!I$7/bal!S106</f>
        <v>1.4655361285507109</v>
      </c>
      <c r="T118" s="11"/>
      <c r="U118" s="163">
        <f>'yrP&amp;L'!J$7/bal!U106</f>
        <v>1.257291287958292</v>
      </c>
      <c r="V118" s="11"/>
      <c r="W118" s="163">
        <f>'yrP&amp;L'!K$7/bal!W106</f>
        <v>1.5890341420337286</v>
      </c>
      <c r="X118" s="11"/>
      <c r="Y118" s="163">
        <f>'yrP&amp;L'!L$7/bal!Y106</f>
        <v>1.9748361462268618</v>
      </c>
      <c r="Z118" s="11"/>
      <c r="AA118" s="163">
        <f>'yrP&amp;L'!M$7/bal!AA106</f>
        <v>2.0278022342250446</v>
      </c>
      <c r="AB118" s="163"/>
      <c r="AC118" s="163">
        <f>'yrP&amp;L'!N$7/bal!AC106</f>
        <v>1.8970419574800437</v>
      </c>
      <c r="AD118" s="11"/>
      <c r="AE118" s="163">
        <f>'yrP&amp;L'!O$7/bal!AE106</f>
        <v>1.6355994635820117</v>
      </c>
      <c r="AF118" s="11"/>
      <c r="AG118" s="163">
        <f>'yrP&amp;L'!P$7/bal!AG106</f>
        <v>1.6503009980053998</v>
      </c>
      <c r="AH118" s="11"/>
      <c r="AI118" s="163">
        <f>'yrP&amp;L'!Q$7/bal!AI106</f>
        <v>1.7087044428624663</v>
      </c>
      <c r="AJ118" s="11"/>
      <c r="AK118" s="163">
        <f>'yrP&amp;L'!R$7/bal!AK106</f>
        <v>1.8761112177455301</v>
      </c>
      <c r="AL118" s="163"/>
      <c r="AM118" s="163">
        <f>'yrP&amp;L'!S$7/bal!AM106</f>
        <v>2.2052441068465267</v>
      </c>
      <c r="AN118" s="163"/>
      <c r="AO118" s="163">
        <f>'yrP&amp;L'!T$7/bal!AO106</f>
        <v>1.8852488218919439</v>
      </c>
      <c r="AP118" s="163"/>
      <c r="AQ118" s="163">
        <f>'yrP&amp;L'!U$7/bal!AQ106</f>
        <v>1.7948475326287658</v>
      </c>
      <c r="AR118" s="163"/>
      <c r="AS118" s="163">
        <f>'yrP&amp;L'!W$7/bal!AS106</f>
        <v>1.9610476081565196</v>
      </c>
      <c r="AT118" s="163"/>
      <c r="AU118" s="163">
        <f>'yrP&amp;L'!AE$7/bal!AU106</f>
        <v>1.6013320519702389E-3</v>
      </c>
      <c r="AV118" s="163"/>
      <c r="AW118" s="163">
        <f>'yrP&amp;L'!AF$7/bal!AW106</f>
        <v>0</v>
      </c>
      <c r="AX118" s="163"/>
      <c r="AY118" s="163">
        <f>'yrP&amp;L'!AG$7/bal!AY106</f>
        <v>8.7774009512180898E-4</v>
      </c>
      <c r="AZ118" s="163"/>
      <c r="BA118" s="163">
        <f>'yrP&amp;L'!AH$7/bal!BA106</f>
        <v>0</v>
      </c>
      <c r="BB118" s="163"/>
      <c r="BC118" s="163">
        <f>'yrP&amp;L'!AJ$7/bal!BC106</f>
        <v>0</v>
      </c>
      <c r="BD118" s="163"/>
      <c r="BE118" s="163">
        <f>'yrP&amp;L'!AL$7/bal!BE106</f>
        <v>0</v>
      </c>
      <c r="BF118" s="163"/>
      <c r="BG118" s="163"/>
      <c r="BH118" s="163"/>
    </row>
    <row r="119" spans="1:60" ht="12.75" hidden="1" outlineLevel="1">
      <c r="A119" s="247" t="s">
        <v>489</v>
      </c>
      <c r="B119" s="11"/>
      <c r="C119" s="11"/>
      <c r="D119" s="11"/>
      <c r="E119" s="12"/>
      <c r="F119" s="11"/>
      <c r="G119" s="12"/>
      <c r="H119" s="11"/>
      <c r="I119" s="188">
        <f>'yrP&amp;L'!D$7/I107</f>
        <v>107.47364238410596</v>
      </c>
      <c r="J119" s="11"/>
      <c r="K119" s="188">
        <f>'yrP&amp;L'!E$7/K107</f>
        <v>191.15159401431362</v>
      </c>
      <c r="L119" s="11"/>
      <c r="M119" s="163">
        <f>'yrP&amp;L'!F$7/bal!M107</f>
        <v>267.4715525554484</v>
      </c>
      <c r="N119" s="11"/>
      <c r="O119" s="163">
        <f>'yrP&amp;L'!G$7/bal!O107</f>
        <v>254.47451710495687</v>
      </c>
      <c r="P119" s="11"/>
      <c r="Q119" s="163">
        <f>'yrP&amp;L'!H$7/bal!Q107</f>
        <v>307.54550753228131</v>
      </c>
      <c r="R119" s="11"/>
      <c r="S119" s="163">
        <f>'yrP&amp;L'!I$7/bal!S107</f>
        <v>206.30865764241403</v>
      </c>
      <c r="T119" s="11"/>
      <c r="U119" s="163">
        <f>'yrP&amp;L'!J$7/bal!U107</f>
        <v>266.71051653660356</v>
      </c>
      <c r="V119" s="11"/>
      <c r="W119" s="163">
        <f>'yrP&amp;L'!K$7/bal!W107</f>
        <v>115.00499056661191</v>
      </c>
      <c r="X119" s="11"/>
      <c r="Y119" s="163">
        <f>'yrP&amp;L'!L$7/bal!Y107</f>
        <v>84.049880547310494</v>
      </c>
      <c r="Z119" s="11"/>
      <c r="AA119" s="163">
        <f>'yrP&amp;L'!M$7/bal!AA107</f>
        <v>60.759909547520159</v>
      </c>
      <c r="AB119" s="163"/>
      <c r="AC119" s="163">
        <f>'yrP&amp;L'!N$7/bal!AC107</f>
        <v>154.69692673788668</v>
      </c>
      <c r="AD119" s="11"/>
      <c r="AE119" s="163">
        <f>'yrP&amp;L'!O$7/bal!AE107</f>
        <v>139.90853344567711</v>
      </c>
      <c r="AF119" s="11"/>
      <c r="AG119" s="163">
        <f>'yrP&amp;L'!P$7/bal!AG107</f>
        <v>135.57123755071927</v>
      </c>
      <c r="AH119" s="11"/>
      <c r="AI119" s="163">
        <f>'yrP&amp;L'!Q$7/bal!AI107</f>
        <v>115.66047516198704</v>
      </c>
      <c r="AJ119" s="11"/>
      <c r="AK119" s="163">
        <f>'yrP&amp;L'!R$7/bal!AK107</f>
        <v>55.5013697168066</v>
      </c>
      <c r="AL119" s="163"/>
      <c r="AM119" s="163">
        <f>'yrP&amp;L'!S$7/bal!AM107</f>
        <v>56.193649561871503</v>
      </c>
      <c r="AN119" s="163"/>
      <c r="AO119" s="163">
        <f>'yrP&amp;L'!T$7/bal!AO107</f>
        <v>34.863238488958253</v>
      </c>
      <c r="AP119" s="163"/>
      <c r="AQ119" s="163">
        <f>'yrP&amp;L'!U$7/bal!AQ107</f>
        <v>38.892841910719362</v>
      </c>
      <c r="AR119" s="163"/>
      <c r="AS119" s="163">
        <f>'yrP&amp;L'!W$7/bal!AS107</f>
        <v>34.988805102159503</v>
      </c>
      <c r="AT119" s="163"/>
      <c r="AU119" s="163">
        <f>'yrP&amp;L'!AE$7/bal!AU107</f>
        <v>2.702605696657906E-2</v>
      </c>
      <c r="AV119" s="163"/>
      <c r="AW119" s="163">
        <f>'yrP&amp;L'!AF$7/bal!AW107</f>
        <v>0</v>
      </c>
      <c r="AX119" s="163"/>
      <c r="AY119" s="163">
        <f>'yrP&amp;L'!AG$7/bal!AY107</f>
        <v>1.6316215086068103E-2</v>
      </c>
      <c r="AZ119" s="163"/>
      <c r="BA119" s="163">
        <f>'yrP&amp;L'!AH$7/bal!BA107</f>
        <v>0</v>
      </c>
      <c r="BB119" s="163"/>
      <c r="BC119" s="163">
        <f>'yrP&amp;L'!AJ$7/bal!BC107</f>
        <v>0</v>
      </c>
      <c r="BD119" s="163"/>
      <c r="BE119" s="163">
        <f>'yrP&amp;L'!AL$7/bal!BE107</f>
        <v>0</v>
      </c>
      <c r="BF119" s="163"/>
      <c r="BG119" s="163"/>
      <c r="BH119" s="163"/>
    </row>
    <row r="120" spans="1:60" ht="12.75" hidden="1" outlineLevel="1">
      <c r="A120" s="242" t="s">
        <v>490</v>
      </c>
      <c r="B120" s="11"/>
      <c r="C120" s="11"/>
      <c r="D120" s="11"/>
      <c r="E120" s="12"/>
      <c r="F120" s="11"/>
      <c r="G120" s="12"/>
      <c r="H120" s="11"/>
      <c r="I120" s="257">
        <f>'yrP&amp;L'!D$7/I108</f>
        <v>1.6332525522527452</v>
      </c>
      <c r="J120" s="183"/>
      <c r="K120" s="257">
        <f>'yrP&amp;L'!E$7/K108</f>
        <v>1.6603701076866997</v>
      </c>
      <c r="L120" s="183"/>
      <c r="M120" s="258">
        <f>'yrP&amp;L'!F$7/bal!M108</f>
        <v>1.4899601413852748</v>
      </c>
      <c r="N120" s="183"/>
      <c r="O120" s="258">
        <f>'yrP&amp;L'!G$7/bal!O108</f>
        <v>1.216501830075539</v>
      </c>
      <c r="P120" s="183"/>
      <c r="Q120" s="258">
        <f>'yrP&amp;L'!H$7/bal!Q108</f>
        <v>1.1795140941490174</v>
      </c>
      <c r="R120" s="11"/>
      <c r="S120" s="258">
        <f>'yrP&amp;L'!I$7/bal!S108</f>
        <v>1.1104088575857642</v>
      </c>
      <c r="T120" s="11"/>
      <c r="U120" s="258">
        <f>'yrP&amp;L'!J$7/bal!U108</f>
        <v>0.9573343368973688</v>
      </c>
      <c r="V120" s="11"/>
      <c r="W120" s="258">
        <f>'yrP&amp;L'!K$7/bal!W108</f>
        <v>1.0376554744808717</v>
      </c>
      <c r="X120" s="11"/>
      <c r="Y120" s="258">
        <f>'yrP&amp;L'!L$7/bal!Y108</f>
        <v>1.1776210749502818</v>
      </c>
      <c r="Z120" s="11"/>
      <c r="AA120" s="258">
        <f>'yrP&amp;L'!M$7/bal!AA108</f>
        <v>1.2607969308098905</v>
      </c>
      <c r="AB120" s="258"/>
      <c r="AC120" s="258">
        <f>'yrP&amp;L'!N$7/bal!AC108</f>
        <v>1.3115729171190966</v>
      </c>
      <c r="AD120" s="11"/>
      <c r="AE120" s="258">
        <f>'yrP&amp;L'!O$7/bal!AE108</f>
        <v>1.2005210712880481</v>
      </c>
      <c r="AF120" s="11"/>
      <c r="AG120" s="258">
        <f>'yrP&amp;L'!P$7/bal!AG108</f>
        <v>1.1176295570922836</v>
      </c>
      <c r="AH120" s="11"/>
      <c r="AI120" s="258">
        <f>'yrP&amp;L'!Q$7/bal!AI108</f>
        <v>1.1430315210149546</v>
      </c>
      <c r="AJ120" s="11"/>
      <c r="AK120" s="258">
        <f>'yrP&amp;L'!R$7/bal!AK108</f>
        <v>1.1790193814106658</v>
      </c>
      <c r="AL120" s="258"/>
      <c r="AM120" s="258">
        <f>'yrP&amp;L'!S$7/bal!AM108</f>
        <v>1.4540896406345125</v>
      </c>
      <c r="AN120" s="258"/>
      <c r="AO120" s="258">
        <f>'yrP&amp;L'!T$7/bal!AO108</f>
        <v>1.3753721788610069</v>
      </c>
      <c r="AP120" s="258"/>
      <c r="AQ120" s="258">
        <f>'yrP&amp;L'!U$7/bal!AQ108</f>
        <v>1.3720293469532994</v>
      </c>
      <c r="AR120" s="258"/>
      <c r="AS120" s="258">
        <f>'yrP&amp;L'!W$7/bal!AS108</f>
        <v>1.6030554265450101</v>
      </c>
      <c r="AT120" s="258"/>
      <c r="AU120" s="258">
        <f>'yrP&amp;L'!W$7/bal!AU108</f>
        <v>1.4930012591220581</v>
      </c>
      <c r="AV120" s="258"/>
      <c r="AW120" s="258">
        <f>'yrP&amp;L'!X$7/bal!AW108</f>
        <v>1.5225707752123645</v>
      </c>
      <c r="AX120" s="258"/>
      <c r="AY120" s="258">
        <f>'yrP&amp;L'!Y$7/bal!AY108</f>
        <v>1.4655780794243445</v>
      </c>
      <c r="AZ120" s="258"/>
      <c r="BA120" s="258">
        <f>'yrP&amp;L'!Z$7/bal!BA108</f>
        <v>1.4151436869628704</v>
      </c>
      <c r="BB120" s="258"/>
      <c r="BC120" s="258">
        <f>'yrP&amp;L'!AE$7/bal!BC108</f>
        <v>1.0216855818290539E-3</v>
      </c>
      <c r="BD120" s="258"/>
      <c r="BE120" s="258">
        <f>'yrP&amp;L'!AG$7/bal!BE108</f>
        <v>5.3601463471286703E-4</v>
      </c>
      <c r="BF120" s="258"/>
      <c r="BG120" s="258"/>
      <c r="BH120" s="258"/>
    </row>
    <row r="121" spans="1:60" ht="12.75" hidden="1" outlineLevel="1">
      <c r="A121" s="242" t="s">
        <v>491</v>
      </c>
      <c r="B121" s="11"/>
      <c r="C121" s="11"/>
      <c r="D121" s="11"/>
      <c r="E121" s="12"/>
      <c r="F121" s="11"/>
      <c r="G121" s="12"/>
      <c r="H121" s="11"/>
      <c r="I121" s="257">
        <f>'yrP&amp;L'!D$7/I109</f>
        <v>1.8962966343040588</v>
      </c>
      <c r="J121" s="183"/>
      <c r="K121" s="257">
        <f>'yrP&amp;L'!E$7/K109</f>
        <v>1.951170918388524</v>
      </c>
      <c r="L121" s="183"/>
      <c r="M121" s="258">
        <f>'yrP&amp;L'!F$7/bal!M109</f>
        <v>1.8240474543798519</v>
      </c>
      <c r="N121" s="183"/>
      <c r="O121" s="258">
        <f>'yrP&amp;L'!G$7/bal!O109</f>
        <v>1.5006436366430984</v>
      </c>
      <c r="P121" s="183"/>
      <c r="Q121" s="258">
        <f>'yrP&amp;L'!H$7/bal!Q109</f>
        <v>1.3306648757710244</v>
      </c>
      <c r="R121" s="11"/>
      <c r="S121" s="258">
        <f>'yrP&amp;L'!I$7/bal!S109</f>
        <v>1.1795885932903709</v>
      </c>
      <c r="T121" s="11"/>
      <c r="U121" s="258">
        <f>'yrP&amp;L'!J$7/bal!U109</f>
        <v>1.0190989324195607</v>
      </c>
      <c r="V121" s="11"/>
      <c r="W121" s="258">
        <f>'yrP&amp;L'!K$7/bal!W109</f>
        <v>1.1381760162069408</v>
      </c>
      <c r="X121" s="11"/>
      <c r="Y121" s="258">
        <f>'yrP&amp;L'!L$7/bal!Y109</f>
        <v>1.2244009539656084</v>
      </c>
      <c r="Z121" s="11"/>
      <c r="AA121" s="258">
        <f>'yrP&amp;L'!M$7/bal!AA109</f>
        <v>1.3344446981272831</v>
      </c>
      <c r="AB121" s="258"/>
      <c r="AC121" s="258">
        <f>'yrP&amp;L'!N$7/bal!AC109</f>
        <v>1.3442328476660632</v>
      </c>
      <c r="AD121" s="11"/>
      <c r="AE121" s="258">
        <f>'yrP&amp;L'!O$7/bal!AE109</f>
        <v>1.2403929601997747</v>
      </c>
      <c r="AF121" s="11"/>
      <c r="AG121" s="258">
        <f>'yrP&amp;L'!P$7/bal!AG109</f>
        <v>1.1484419107320165</v>
      </c>
      <c r="AH121" s="11"/>
      <c r="AI121" s="258">
        <f>'yrP&amp;L'!Q$7/bal!AI109</f>
        <v>1.1311636124747171</v>
      </c>
      <c r="AJ121" s="11"/>
      <c r="AK121" s="258">
        <f>'yrP&amp;L'!R$7/bal!AK109</f>
        <v>1.1947265828068649</v>
      </c>
      <c r="AL121" s="258"/>
      <c r="AM121" s="258">
        <f>'yrP&amp;L'!S$7/bal!AM109</f>
        <v>1.3801943117121993</v>
      </c>
      <c r="AN121" s="258"/>
      <c r="AO121" s="258">
        <f>'yrP&amp;L'!T$7/bal!AO109</f>
        <v>1.3791609902152424</v>
      </c>
      <c r="AP121" s="258"/>
      <c r="AQ121" s="258">
        <f>'yrP&amp;L'!U$7/bal!AQ109</f>
        <v>1.3689227145890195</v>
      </c>
      <c r="AR121" s="258"/>
      <c r="AS121" s="258">
        <f>'yrP&amp;L'!W$7/bal!AS109</f>
        <v>1.5544438280755968</v>
      </c>
      <c r="AT121" s="258"/>
      <c r="AU121" s="258">
        <f>'yrP&amp;L'!W$7/bal!AU109</f>
        <v>1.5460723192530825</v>
      </c>
      <c r="AV121" s="258"/>
      <c r="AW121" s="258">
        <f>'yrP&amp;L'!X$7/bal!AW109</f>
        <v>1.5458238339116586</v>
      </c>
      <c r="AX121" s="258"/>
      <c r="AY121" s="258">
        <f>'yrP&amp;L'!Y$7/bal!AY109</f>
        <v>2.931156158848689</v>
      </c>
      <c r="AZ121" s="258"/>
      <c r="BA121" s="258">
        <f>'yrP&amp;L'!Z$7/bal!BA109</f>
        <v>1.4521132661335028</v>
      </c>
      <c r="BB121" s="258"/>
      <c r="BC121" s="258">
        <f>'yrP&amp;L'!AE$7/bal!BC109</f>
        <v>1.0453635549202776E-3</v>
      </c>
      <c r="BD121" s="258"/>
      <c r="BE121" s="258">
        <f>'yrP&amp;L'!AG$7/bal!BE109</f>
        <v>5.469854581429828E-4</v>
      </c>
      <c r="BF121" s="258"/>
      <c r="BG121" s="258"/>
      <c r="BH121" s="258"/>
    </row>
    <row r="122" spans="1:60" ht="12.75" hidden="1" outlineLevel="1">
      <c r="A122" s="241"/>
      <c r="B122" s="11"/>
      <c r="C122" s="11"/>
      <c r="D122" s="11"/>
      <c r="E122" s="12"/>
      <c r="F122" s="11"/>
      <c r="G122" s="12"/>
      <c r="H122" s="11"/>
      <c r="I122" s="12"/>
      <c r="J122" s="11"/>
      <c r="K122" s="12"/>
      <c r="L122" s="11"/>
      <c r="M122" s="164"/>
      <c r="N122" s="11"/>
      <c r="O122" s="11"/>
      <c r="P122" s="11"/>
      <c r="Q122" s="11"/>
      <c r="R122" s="11"/>
      <c r="S122" s="11"/>
      <c r="T122" s="11"/>
      <c r="U122" s="11"/>
      <c r="V122" s="11"/>
      <c r="W122" s="11"/>
      <c r="X122" s="11"/>
      <c r="Y122" s="110"/>
      <c r="Z122" s="11"/>
      <c r="AA122" s="11"/>
      <c r="AB122" s="11"/>
      <c r="AC122" s="11"/>
      <c r="AD122" s="11"/>
      <c r="AE122" s="11"/>
      <c r="AF122" s="11"/>
      <c r="AG122" s="11"/>
      <c r="AH122" s="11"/>
      <c r="AI122" s="11"/>
      <c r="AJ122" s="11"/>
      <c r="AK122" s="11"/>
      <c r="AL122" s="11"/>
      <c r="AM122" s="11"/>
      <c r="AN122" s="11"/>
      <c r="AO122" s="11"/>
      <c r="AP122" s="11"/>
      <c r="AQ122" s="11"/>
      <c r="AR122" s="11"/>
      <c r="AS122" s="11"/>
      <c r="AT122" s="11"/>
      <c r="AU122" s="11"/>
      <c r="AV122" s="11"/>
      <c r="AW122" s="11"/>
      <c r="AX122" s="11"/>
      <c r="AY122" s="11"/>
      <c r="AZ122" s="11"/>
      <c r="BA122" s="11"/>
      <c r="BB122" s="11"/>
      <c r="BC122" s="11"/>
      <c r="BD122" s="11"/>
      <c r="BE122" s="11"/>
      <c r="BF122" s="11"/>
      <c r="BG122" s="11"/>
      <c r="BH122" s="11"/>
    </row>
    <row r="123" spans="1:60" ht="12.75" hidden="1" outlineLevel="1">
      <c r="A123" s="240" t="s">
        <v>461</v>
      </c>
      <c r="B123" s="11"/>
      <c r="C123" s="11"/>
      <c r="D123" s="11"/>
      <c r="E123" s="12"/>
      <c r="F123" s="11"/>
      <c r="G123" s="12"/>
      <c r="H123" s="11"/>
      <c r="I123" s="12"/>
      <c r="J123" s="11"/>
      <c r="K123" s="12"/>
      <c r="L123" s="11"/>
      <c r="M123" s="164"/>
      <c r="N123" s="11"/>
      <c r="O123" s="11"/>
      <c r="P123" s="11"/>
      <c r="Q123" s="11"/>
      <c r="R123" s="11"/>
      <c r="S123" s="11"/>
      <c r="T123" s="11"/>
      <c r="U123" s="11"/>
      <c r="V123" s="11"/>
      <c r="W123" s="11"/>
      <c r="X123" s="11"/>
      <c r="Y123" s="110"/>
      <c r="Z123" s="11"/>
      <c r="AA123" s="11"/>
      <c r="AB123" s="11"/>
      <c r="AC123" s="11"/>
      <c r="AD123" s="11"/>
      <c r="AE123" s="11"/>
      <c r="AF123" s="11"/>
      <c r="AG123" s="11"/>
      <c r="AH123" s="11"/>
      <c r="AI123" s="11"/>
      <c r="AJ123" s="11"/>
      <c r="AK123" s="11"/>
      <c r="AL123" s="11"/>
      <c r="AM123" s="11"/>
      <c r="AN123" s="11"/>
      <c r="AO123" s="11"/>
      <c r="AP123" s="11"/>
      <c r="AQ123" s="11"/>
      <c r="AR123" s="11"/>
      <c r="AS123" s="11"/>
      <c r="AT123" s="11"/>
      <c r="AU123" s="11"/>
      <c r="AV123" s="11"/>
      <c r="AW123" s="11"/>
      <c r="AX123" s="11"/>
      <c r="AY123" s="11"/>
      <c r="AZ123" s="11"/>
      <c r="BA123" s="11"/>
      <c r="BB123" s="11"/>
      <c r="BC123" s="11"/>
      <c r="BD123" s="11"/>
      <c r="BE123" s="11"/>
      <c r="BF123" s="11"/>
      <c r="BG123" s="11"/>
      <c r="BH123" s="11"/>
    </row>
    <row r="124" spans="1:60" ht="12.75" hidden="1" outlineLevel="1">
      <c r="A124" s="241" t="s">
        <v>463</v>
      </c>
      <c r="B124" s="11"/>
      <c r="C124" s="11"/>
      <c r="D124" s="11"/>
      <c r="E124" s="12"/>
      <c r="F124" s="11"/>
      <c r="G124" s="12"/>
      <c r="H124" s="11"/>
      <c r="I124" s="12"/>
      <c r="J124" s="11"/>
      <c r="K124" s="12"/>
      <c r="L124" s="11"/>
      <c r="M124" s="164"/>
      <c r="N124" s="11"/>
      <c r="O124" s="164"/>
      <c r="P124" s="11"/>
      <c r="Q124" s="164"/>
      <c r="R124" s="11"/>
      <c r="S124" s="164"/>
      <c r="T124" s="11"/>
      <c r="U124" s="164"/>
      <c r="V124" s="11"/>
      <c r="W124" s="164"/>
      <c r="X124" s="11"/>
      <c r="Y124" s="598"/>
      <c r="Z124" s="11"/>
      <c r="AA124" s="164"/>
      <c r="AB124" s="164"/>
      <c r="AC124" s="164"/>
      <c r="AD124" s="11"/>
      <c r="AE124" s="164"/>
      <c r="AF124" s="11"/>
      <c r="AG124" s="164"/>
      <c r="AH124" s="11"/>
      <c r="AI124" s="164"/>
      <c r="AJ124" s="11"/>
      <c r="AK124" s="164"/>
      <c r="AL124" s="164"/>
      <c r="AM124" s="164"/>
      <c r="AN124" s="164"/>
      <c r="AO124" s="164"/>
      <c r="AP124" s="164"/>
      <c r="AQ124" s="164"/>
      <c r="AR124" s="164"/>
      <c r="AS124" s="164"/>
      <c r="AT124" s="164"/>
      <c r="AU124" s="164"/>
      <c r="AV124" s="164"/>
      <c r="AW124" s="164"/>
      <c r="AX124" s="164"/>
      <c r="AY124" s="164"/>
      <c r="AZ124" s="164"/>
      <c r="BA124" s="164"/>
      <c r="BB124" s="164"/>
      <c r="BC124" s="164"/>
      <c r="BD124" s="164"/>
      <c r="BE124" s="164"/>
      <c r="BF124" s="164"/>
      <c r="BG124" s="164"/>
      <c r="BH124" s="164"/>
    </row>
    <row r="125" spans="1:60" ht="12.75" hidden="1" outlineLevel="1">
      <c r="A125" s="241" t="s">
        <v>129</v>
      </c>
      <c r="B125" s="11"/>
      <c r="C125" s="11"/>
      <c r="D125" s="11"/>
      <c r="E125" s="12"/>
      <c r="F125" s="11"/>
      <c r="G125" s="12"/>
      <c r="H125" s="11"/>
      <c r="I125" s="12"/>
      <c r="J125" s="11"/>
      <c r="K125" s="12"/>
      <c r="L125" s="11"/>
      <c r="M125" s="164"/>
      <c r="N125" s="11"/>
      <c r="O125" s="164"/>
      <c r="P125" s="11"/>
      <c r="Q125" s="164"/>
      <c r="R125" s="11"/>
      <c r="S125" s="164"/>
      <c r="T125" s="11"/>
      <c r="U125" s="164"/>
      <c r="V125" s="11"/>
      <c r="W125" s="164"/>
      <c r="X125" s="11"/>
      <c r="Y125" s="598"/>
      <c r="Z125" s="11"/>
      <c r="AA125" s="164"/>
      <c r="AB125" s="164"/>
      <c r="AC125" s="164"/>
      <c r="AD125" s="11"/>
      <c r="AE125" s="164"/>
      <c r="AF125" s="11"/>
      <c r="AG125" s="164"/>
      <c r="AH125" s="11"/>
      <c r="AI125" s="164"/>
      <c r="AJ125" s="11"/>
      <c r="AK125" s="164"/>
      <c r="AL125" s="164"/>
      <c r="AM125" s="164"/>
      <c r="AN125" s="164"/>
      <c r="AO125" s="164"/>
      <c r="AP125" s="164"/>
      <c r="AQ125" s="164"/>
      <c r="AR125" s="164"/>
      <c r="AS125" s="164"/>
      <c r="AT125" s="164"/>
      <c r="AU125" s="164"/>
      <c r="AV125" s="164"/>
      <c r="AW125" s="164"/>
      <c r="AX125" s="164"/>
      <c r="AY125" s="164"/>
      <c r="AZ125" s="164"/>
      <c r="BA125" s="164"/>
      <c r="BB125" s="164"/>
      <c r="BC125" s="164"/>
      <c r="BD125" s="164"/>
      <c r="BE125" s="164"/>
      <c r="BF125" s="164"/>
      <c r="BG125" s="164"/>
      <c r="BH125" s="164"/>
    </row>
    <row r="126" spans="1:60" ht="12.75" hidden="1" outlineLevel="1">
      <c r="A126" s="241" t="s">
        <v>462</v>
      </c>
      <c r="B126" s="11"/>
      <c r="C126" s="11"/>
      <c r="D126" s="11"/>
      <c r="E126" s="12"/>
      <c r="F126" s="11"/>
      <c r="G126" s="12"/>
      <c r="H126" s="11"/>
      <c r="I126" s="12"/>
      <c r="J126" s="11"/>
      <c r="K126" s="12"/>
      <c r="L126" s="11"/>
      <c r="M126" s="164"/>
      <c r="N126" s="11"/>
      <c r="O126" s="11"/>
      <c r="P126" s="11"/>
      <c r="Q126" s="11"/>
      <c r="R126" s="11"/>
      <c r="S126" s="11"/>
      <c r="T126" s="11"/>
      <c r="U126" s="11"/>
      <c r="V126" s="11"/>
      <c r="W126" s="11"/>
      <c r="X126" s="11"/>
      <c r="Y126" s="110"/>
      <c r="Z126" s="11"/>
      <c r="AA126" s="11"/>
      <c r="AB126" s="11"/>
      <c r="AC126" s="11"/>
      <c r="AD126" s="11"/>
      <c r="AE126" s="11"/>
      <c r="AF126" s="11"/>
      <c r="AG126" s="11"/>
      <c r="AH126" s="11"/>
      <c r="AI126" s="11"/>
      <c r="AJ126" s="11"/>
      <c r="AK126" s="11"/>
      <c r="AL126" s="11"/>
      <c r="AM126" s="11"/>
      <c r="AN126" s="11"/>
      <c r="AO126" s="11"/>
      <c r="AP126" s="11"/>
      <c r="AQ126" s="11"/>
      <c r="AR126" s="11"/>
      <c r="AS126" s="11"/>
      <c r="AT126" s="11"/>
      <c r="AU126" s="11"/>
      <c r="AV126" s="11"/>
      <c r="AW126" s="11"/>
      <c r="AX126" s="11"/>
      <c r="AY126" s="11"/>
      <c r="AZ126" s="11"/>
      <c r="BA126" s="11"/>
      <c r="BB126" s="11"/>
      <c r="BC126" s="11"/>
      <c r="BD126" s="11"/>
      <c r="BE126" s="11"/>
      <c r="BF126" s="11"/>
      <c r="BG126" s="11"/>
      <c r="BH126" s="11"/>
    </row>
    <row r="127" spans="1:60" ht="12.75" hidden="1" customHeight="1" outlineLevel="1">
      <c r="A127" s="11" t="s">
        <v>521</v>
      </c>
      <c r="B127" s="17"/>
      <c r="C127" s="17"/>
      <c r="D127" s="17"/>
      <c r="E127" s="18"/>
      <c r="F127" s="17"/>
      <c r="G127" s="18"/>
      <c r="H127" s="17"/>
      <c r="I127" s="18"/>
      <c r="J127" s="17"/>
      <c r="K127" s="18"/>
      <c r="L127" s="17"/>
      <c r="M127" s="25">
        <v>7.7</v>
      </c>
      <c r="N127" s="25"/>
      <c r="O127" s="25">
        <v>13.1</v>
      </c>
      <c r="P127" s="17"/>
      <c r="Q127" s="17">
        <f>+Q34</f>
        <v>17.577000000000002</v>
      </c>
      <c r="R127" s="17"/>
      <c r="S127" s="17">
        <f>+S34</f>
        <v>22.837</v>
      </c>
      <c r="T127" s="17"/>
      <c r="U127" s="17">
        <f>+U34</f>
        <v>25.785</v>
      </c>
      <c r="V127" s="17"/>
      <c r="W127" s="17">
        <f>+W34</f>
        <v>32.723999999999997</v>
      </c>
      <c r="X127" s="17"/>
      <c r="Y127" s="341">
        <f>+Y34</f>
        <v>43.045000000000002</v>
      </c>
      <c r="Z127" s="17"/>
      <c r="AA127" s="17">
        <f>+AA34</f>
        <v>54.554000000000002</v>
      </c>
      <c r="AB127" s="17"/>
      <c r="AC127" s="17">
        <f>+AC34</f>
        <v>54.554000000000002</v>
      </c>
      <c r="AD127" s="17"/>
      <c r="AE127" s="17">
        <f>+AE34</f>
        <v>42.298999999999999</v>
      </c>
      <c r="AF127" s="17"/>
      <c r="AG127" s="17">
        <f>+AG34</f>
        <v>39.389000000000003</v>
      </c>
      <c r="AH127" s="17"/>
      <c r="AI127" s="17">
        <f>+AI34</f>
        <v>41.000999999999998</v>
      </c>
      <c r="AJ127" s="17"/>
      <c r="AK127" s="17">
        <f>+AK34</f>
        <v>44.97</v>
      </c>
      <c r="AL127" s="17"/>
      <c r="AM127" s="17">
        <f>+AM34</f>
        <v>46.457999999999998</v>
      </c>
      <c r="AN127" s="17"/>
      <c r="AO127" s="17">
        <f>+AO34</f>
        <v>47.194000000000003</v>
      </c>
      <c r="AP127" s="17"/>
      <c r="AQ127" s="17">
        <f>+AQ34</f>
        <v>47.887999999999998</v>
      </c>
      <c r="AR127" s="17"/>
      <c r="AS127" s="17">
        <f>+AS34</f>
        <v>48.274000000000001</v>
      </c>
      <c r="AT127" s="17"/>
      <c r="AU127" s="17">
        <f>+AU34</f>
        <v>52.966000000000001</v>
      </c>
      <c r="AV127" s="17"/>
      <c r="AW127" s="17">
        <f>+AW34</f>
        <v>52.347000000000001</v>
      </c>
      <c r="AX127" s="17"/>
      <c r="AY127" s="17">
        <f>+AY34</f>
        <v>52.347000000000001</v>
      </c>
      <c r="AZ127" s="17"/>
      <c r="BA127" s="17">
        <f>+BA34</f>
        <v>52.347000000000001</v>
      </c>
      <c r="BB127" s="17"/>
      <c r="BC127" s="17">
        <f>+BC34</f>
        <v>52.347000000000001</v>
      </c>
      <c r="BD127" s="17"/>
      <c r="BE127" s="17">
        <f>+BE34</f>
        <v>52.347000000000001</v>
      </c>
      <c r="BF127" s="17"/>
      <c r="BG127" s="17"/>
      <c r="BH127" s="17"/>
    </row>
    <row r="128" spans="1:60" ht="12.75" customHeight="1" collapsed="1">
      <c r="A128" s="17"/>
      <c r="B128" s="17"/>
      <c r="C128" s="17"/>
      <c r="D128" s="17"/>
      <c r="E128" s="18"/>
      <c r="F128" s="17"/>
      <c r="G128" s="18"/>
      <c r="H128" s="17"/>
      <c r="I128" s="18"/>
      <c r="J128" s="17"/>
      <c r="K128" s="18"/>
      <c r="L128" s="17"/>
      <c r="M128" s="58"/>
      <c r="N128" s="17"/>
      <c r="O128" s="17"/>
      <c r="P128" s="17"/>
      <c r="Q128" s="17"/>
      <c r="R128" s="17"/>
      <c r="S128" s="17"/>
      <c r="T128" s="17"/>
      <c r="U128" s="17"/>
      <c r="V128" s="17"/>
      <c r="W128" s="17"/>
      <c r="X128" s="17"/>
      <c r="Y128" s="341"/>
      <c r="Z128" s="17"/>
      <c r="AA128" s="17"/>
      <c r="AB128" s="17"/>
      <c r="AC128" s="17"/>
      <c r="AD128" s="17"/>
      <c r="AE128" s="17"/>
      <c r="AF128" s="17"/>
      <c r="AG128" s="17"/>
      <c r="AH128" s="17"/>
      <c r="AI128" s="17"/>
      <c r="AJ128" s="17"/>
      <c r="AK128" s="17"/>
      <c r="AL128" s="17"/>
      <c r="AM128" s="17"/>
      <c r="AN128" s="17"/>
      <c r="AO128" s="17"/>
      <c r="AP128" s="17"/>
      <c r="AQ128" s="17"/>
      <c r="AR128" s="17"/>
      <c r="AS128" s="17"/>
      <c r="AT128" s="17"/>
      <c r="AU128" s="17"/>
      <c r="AV128" s="17"/>
      <c r="AW128" s="17"/>
      <c r="AX128" s="17"/>
      <c r="AY128" s="17"/>
      <c r="AZ128" s="17"/>
      <c r="BA128" s="17"/>
      <c r="BB128" s="17"/>
      <c r="BC128" s="17"/>
      <c r="BD128" s="17"/>
      <c r="BE128" s="17"/>
      <c r="BF128" s="17"/>
      <c r="BG128" s="17"/>
      <c r="BH128" s="17"/>
    </row>
    <row r="129" spans="1:60" ht="12.75" customHeight="1">
      <c r="A129" s="17"/>
      <c r="B129" s="17"/>
      <c r="C129" s="17"/>
      <c r="D129" s="17"/>
      <c r="E129" s="18"/>
      <c r="F129" s="17"/>
      <c r="G129" s="18"/>
      <c r="H129" s="17"/>
      <c r="I129" s="18"/>
      <c r="J129" s="17"/>
      <c r="K129" s="18"/>
      <c r="L129" s="17"/>
      <c r="M129" s="58"/>
      <c r="N129" s="17"/>
      <c r="O129" s="17"/>
      <c r="P129" s="17"/>
      <c r="Q129" s="17"/>
      <c r="R129" s="17"/>
      <c r="S129" s="17"/>
      <c r="T129" s="17"/>
      <c r="U129" s="17"/>
      <c r="V129" s="17"/>
      <c r="W129" s="17"/>
      <c r="X129" s="17"/>
      <c r="Y129" s="341"/>
      <c r="Z129" s="17"/>
      <c r="AA129" s="17"/>
      <c r="AB129" s="17"/>
      <c r="AC129" s="17"/>
      <c r="AD129" s="17"/>
      <c r="AE129" s="17"/>
      <c r="AF129" s="17"/>
      <c r="AG129" s="17"/>
      <c r="AH129" s="17"/>
      <c r="AI129" s="17"/>
      <c r="AJ129" s="17"/>
      <c r="AK129" s="17"/>
      <c r="AL129" s="17"/>
      <c r="AM129" s="17"/>
      <c r="AN129" s="17"/>
      <c r="AO129" s="17"/>
      <c r="AP129" s="17"/>
      <c r="AQ129" s="17"/>
      <c r="AR129" s="17"/>
      <c r="AS129" s="17"/>
      <c r="AT129" s="17"/>
      <c r="AU129" s="17"/>
      <c r="AV129" s="17"/>
      <c r="AW129" s="17"/>
      <c r="AX129" s="17"/>
      <c r="AY129" s="17"/>
      <c r="AZ129" s="17"/>
      <c r="BA129" s="17"/>
      <c r="BB129" s="17"/>
      <c r="BC129" s="17"/>
      <c r="BD129" s="17"/>
      <c r="BE129" s="17"/>
      <c r="BF129" s="17"/>
      <c r="BG129" s="17"/>
      <c r="BH129" s="17"/>
    </row>
    <row r="130" spans="1:60" ht="12.75" customHeight="1">
      <c r="A130" s="17"/>
      <c r="B130" s="17"/>
      <c r="C130" s="17"/>
      <c r="D130" s="17"/>
      <c r="E130" s="18"/>
      <c r="F130" s="17"/>
      <c r="G130" s="18"/>
      <c r="H130" s="17"/>
      <c r="I130" s="18"/>
      <c r="J130" s="17"/>
      <c r="K130" s="18"/>
      <c r="L130" s="17"/>
      <c r="M130" s="58"/>
      <c r="N130" s="17"/>
      <c r="O130" s="17"/>
      <c r="P130" s="17"/>
      <c r="Q130" s="17"/>
      <c r="R130" s="17"/>
      <c r="S130" s="17"/>
      <c r="T130" s="17"/>
      <c r="U130" s="17"/>
      <c r="V130" s="17"/>
      <c r="W130" s="17"/>
      <c r="X130" s="17"/>
      <c r="Y130" s="341"/>
      <c r="Z130" s="17"/>
      <c r="AA130" s="17"/>
      <c r="AB130" s="17"/>
      <c r="AC130" s="17" t="s">
        <v>664</v>
      </c>
      <c r="AD130" s="17"/>
      <c r="AE130" s="17">
        <f>flow!AC33</f>
        <v>83.662999999999982</v>
      </c>
      <c r="AF130" s="17"/>
      <c r="AG130" s="17">
        <f>flow!AE33</f>
        <v>-35.742999999999995</v>
      </c>
      <c r="AH130" s="17"/>
      <c r="AI130" s="17">
        <f>flow!AG33</f>
        <v>-8.8300000000000054</v>
      </c>
      <c r="AJ130" s="17"/>
      <c r="AK130" s="17">
        <f>flow!AI33</f>
        <v>92.541000000000025</v>
      </c>
      <c r="AL130" s="17"/>
      <c r="AM130" s="17">
        <f>flow!AK33</f>
        <v>-36.504999999999995</v>
      </c>
      <c r="AN130" s="17"/>
      <c r="AO130" s="17">
        <f>flow!AM33</f>
        <v>61.272999999999996</v>
      </c>
      <c r="AP130" s="17"/>
      <c r="AQ130" s="17">
        <f>flow!AO33</f>
        <v>-60.506</v>
      </c>
      <c r="AR130" s="17"/>
      <c r="AS130" s="17">
        <f>flow!AQ33</f>
        <v>51.305999999999997</v>
      </c>
      <c r="AT130" s="17"/>
      <c r="AU130" s="17">
        <f>flow!AS33</f>
        <v>68.743000000000009</v>
      </c>
      <c r="AV130" s="17"/>
      <c r="AW130" s="17">
        <f>flow!AU33</f>
        <v>51.601300000000009</v>
      </c>
      <c r="AY130" s="17">
        <f>flow!AY33</f>
        <v>6.5154310208855364</v>
      </c>
      <c r="AZ130" s="17"/>
      <c r="BA130" s="17">
        <f>flow!BG33</f>
        <v>0</v>
      </c>
      <c r="BB130" s="17"/>
      <c r="BC130" s="17">
        <f>flow!BI33</f>
        <v>0</v>
      </c>
      <c r="BD130" s="17"/>
      <c r="BE130" s="17">
        <f>flow!BK33</f>
        <v>0</v>
      </c>
      <c r="BF130" s="17"/>
      <c r="BG130" s="17">
        <f>flow!BM33</f>
        <v>0</v>
      </c>
      <c r="BH130" s="17"/>
    </row>
    <row r="131" spans="1:60" ht="12.75" customHeight="1">
      <c r="A131" s="17"/>
      <c r="B131" s="17"/>
      <c r="C131" s="17"/>
      <c r="D131" s="17"/>
      <c r="E131" s="18"/>
      <c r="F131" s="17"/>
      <c r="G131" s="18"/>
      <c r="H131" s="17"/>
      <c r="I131" s="18"/>
      <c r="J131" s="17"/>
      <c r="K131" s="18"/>
      <c r="L131" s="17"/>
      <c r="M131" s="58"/>
      <c r="N131" s="17"/>
      <c r="O131" s="17"/>
      <c r="P131" s="17"/>
      <c r="Q131" s="17"/>
      <c r="R131" s="17"/>
      <c r="S131" s="17"/>
      <c r="T131" s="17"/>
      <c r="U131" s="17"/>
      <c r="V131" s="17"/>
      <c r="W131" s="17"/>
      <c r="X131" s="17"/>
      <c r="Y131" s="341"/>
      <c r="Z131" s="17"/>
      <c r="AA131" s="17"/>
      <c r="AB131" s="17"/>
      <c r="AC131" s="17" t="s">
        <v>665</v>
      </c>
      <c r="AD131" s="17"/>
      <c r="AE131" s="25">
        <f>turn!AD105</f>
        <v>-7.1103936221497683</v>
      </c>
      <c r="AF131" s="17"/>
      <c r="AG131" s="25">
        <f>turn!AD112</f>
        <v>12.698459889546655</v>
      </c>
      <c r="AH131" s="17"/>
      <c r="AI131" s="17">
        <f>turn!AD119</f>
        <v>-8.8055178321144503</v>
      </c>
      <c r="AJ131" s="17"/>
      <c r="AK131" s="17"/>
      <c r="AL131" s="17"/>
      <c r="AM131" s="17"/>
      <c r="AN131" s="17"/>
      <c r="AO131" s="17"/>
      <c r="AP131" s="17"/>
      <c r="AQ131" s="17"/>
      <c r="AR131" s="17"/>
      <c r="AS131" s="17"/>
      <c r="AT131" s="17"/>
      <c r="AU131" s="17"/>
      <c r="AV131" s="17"/>
      <c r="AW131" s="17"/>
      <c r="AX131" s="17"/>
      <c r="AY131" s="17"/>
      <c r="AZ131" s="17"/>
      <c r="BA131" s="17"/>
      <c r="BB131" s="17"/>
      <c r="BC131" s="17"/>
      <c r="BD131" s="17"/>
      <c r="BE131" s="17"/>
      <c r="BF131" s="17"/>
      <c r="BG131" s="17"/>
      <c r="BH131" s="17"/>
    </row>
    <row r="132" spans="1:60" ht="12.75" customHeight="1"/>
    <row r="133" spans="1:60" ht="12.75" customHeight="1"/>
    <row r="134" spans="1:60" ht="12.75" customHeight="1"/>
    <row r="135" spans="1:60" ht="12.75" customHeight="1"/>
    <row r="136" spans="1:60" ht="12.75" customHeight="1"/>
    <row r="137" spans="1:60" ht="12.75" customHeight="1"/>
    <row r="138" spans="1:60" ht="12.75" customHeight="1"/>
    <row r="139" spans="1:60" ht="12.75" customHeight="1"/>
    <row r="140" spans="1:60" ht="12.75" customHeight="1"/>
    <row r="141" spans="1:60" ht="12.75" customHeight="1"/>
    <row r="142" spans="1:60" ht="12.75" customHeight="1"/>
    <row r="143" spans="1:60" ht="12.75" customHeight="1"/>
    <row r="144" spans="1:60" ht="12.75" customHeight="1"/>
    <row r="145" ht="12.75" customHeight="1"/>
    <row r="146" ht="12.75" customHeight="1"/>
    <row r="147" ht="12.75" customHeight="1"/>
    <row r="148" ht="12.75" customHeight="1"/>
    <row r="149" ht="12.75" customHeight="1"/>
    <row r="150" ht="12.75" customHeight="1"/>
    <row r="151" ht="12.75" customHeight="1"/>
    <row r="152" ht="12.75" customHeight="1"/>
    <row r="153" ht="12.75" customHeight="1"/>
    <row r="154" ht="12.75" customHeight="1"/>
    <row r="155" ht="12.75" customHeight="1"/>
    <row r="156" ht="12.75" customHeight="1"/>
    <row r="157" ht="12.75" customHeight="1"/>
    <row r="158" ht="12.75" customHeight="1"/>
    <row r="159" ht="12.75" customHeight="1"/>
    <row r="160" ht="12.75" customHeight="1"/>
    <row r="161" ht="12.75" customHeight="1"/>
    <row r="162" ht="12.75" customHeight="1"/>
    <row r="163" ht="12.75" customHeight="1"/>
    <row r="164" ht="12.75" customHeight="1"/>
    <row r="165" ht="12.75" customHeight="1"/>
    <row r="166" ht="12.75" customHeight="1"/>
    <row r="167" ht="12.75" customHeight="1"/>
    <row r="168" ht="12.75" customHeight="1"/>
    <row r="169" ht="12.75" customHeight="1"/>
    <row r="170" ht="12.75" customHeight="1"/>
    <row r="171" ht="12.75" customHeight="1"/>
    <row r="172" ht="12.75" customHeight="1"/>
    <row r="173" ht="12.75" customHeight="1"/>
    <row r="174" ht="12.75" customHeight="1"/>
    <row r="175" ht="12.75" customHeight="1"/>
    <row r="176" ht="12.75" customHeight="1"/>
    <row r="177" ht="12.75" customHeight="1"/>
    <row r="178" ht="12.75" customHeight="1"/>
    <row r="179" ht="12.75" customHeight="1"/>
    <row r="180" ht="12.75" customHeight="1"/>
    <row r="181" ht="12.75" customHeight="1"/>
    <row r="182" ht="12.75" customHeight="1"/>
    <row r="183" ht="12.75" customHeight="1"/>
    <row r="184" ht="12.75" customHeight="1"/>
    <row r="185" ht="12.75" customHeight="1"/>
    <row r="186" ht="12.75" customHeight="1"/>
    <row r="187" ht="12.75" customHeight="1"/>
    <row r="188" ht="12.75" customHeight="1"/>
    <row r="189" ht="12.75" customHeight="1"/>
    <row r="190" ht="12.75" customHeight="1"/>
    <row r="191" ht="12.75" customHeight="1"/>
    <row r="192" ht="12.75" customHeight="1"/>
    <row r="193" ht="12.75" customHeight="1"/>
    <row r="194" ht="12.75" customHeight="1"/>
    <row r="195" ht="12.75" customHeight="1"/>
    <row r="196" ht="12.75" customHeight="1"/>
    <row r="197" ht="12.75" customHeight="1"/>
    <row r="198" ht="12.75" customHeight="1"/>
    <row r="199" ht="12.75" customHeight="1"/>
    <row r="200" ht="12.75" customHeight="1"/>
    <row r="201" ht="12.75" customHeight="1"/>
    <row r="202" ht="12.75" customHeight="1"/>
    <row r="203" ht="12.75" customHeight="1"/>
    <row r="204" ht="12.75" customHeight="1"/>
    <row r="205" ht="12.75" customHeight="1"/>
    <row r="206" ht="12.75" customHeight="1"/>
    <row r="207" ht="12.75" customHeight="1"/>
    <row r="208" ht="12.75" customHeight="1"/>
    <row r="209" ht="12.75" customHeight="1"/>
    <row r="210" ht="12.75" customHeight="1"/>
    <row r="211" ht="12.75" customHeight="1"/>
    <row r="212" ht="12.75" customHeight="1"/>
    <row r="213" ht="12.75" customHeight="1"/>
    <row r="214" ht="12.75" customHeight="1"/>
    <row r="215" ht="12.75" customHeight="1"/>
    <row r="216" ht="12.75" customHeight="1"/>
    <row r="217" ht="12.75" customHeight="1"/>
    <row r="218" ht="12.75" customHeight="1"/>
    <row r="219" ht="12.75" customHeight="1"/>
    <row r="220" ht="12.75" customHeight="1"/>
    <row r="221" ht="12.75" customHeight="1"/>
    <row r="222" ht="12.75" customHeight="1"/>
    <row r="223" ht="12.75" customHeight="1"/>
    <row r="224" ht="12.75" customHeight="1"/>
    <row r="225" ht="12.75" customHeight="1"/>
    <row r="226" ht="12.75" customHeight="1"/>
    <row r="227" ht="12.75" customHeight="1"/>
    <row r="228" ht="12.75" customHeight="1"/>
    <row r="229" ht="12.75" customHeight="1"/>
    <row r="230" ht="12.75" customHeight="1"/>
    <row r="231" ht="12.75" customHeight="1"/>
    <row r="232" ht="12.75" customHeight="1"/>
    <row r="233" ht="12.75" customHeight="1"/>
    <row r="234" ht="12.75" customHeight="1"/>
    <row r="235" ht="12.75" customHeight="1"/>
    <row r="236" ht="12.75" customHeight="1"/>
    <row r="237" ht="12.75" customHeight="1"/>
    <row r="238" ht="12.75" customHeight="1"/>
    <row r="239" ht="12.75" customHeight="1"/>
    <row r="240" ht="12.75" customHeight="1"/>
    <row r="241" ht="12.75" customHeight="1"/>
    <row r="242" ht="12.75" customHeight="1"/>
    <row r="243" ht="12.75" customHeight="1"/>
    <row r="244" ht="12.75" customHeight="1"/>
    <row r="245" ht="12.75" customHeight="1"/>
    <row r="246" ht="12.75" customHeight="1"/>
    <row r="247" ht="12.75" customHeight="1"/>
    <row r="248" ht="12.75" customHeight="1"/>
    <row r="249" ht="12.75" customHeight="1"/>
    <row r="250" ht="12.75" customHeight="1"/>
    <row r="251" ht="12.75" customHeight="1"/>
    <row r="252" ht="12.75" customHeight="1"/>
    <row r="253" ht="12.75" customHeight="1"/>
    <row r="254" ht="12.75" customHeight="1"/>
    <row r="255" ht="12.75" customHeight="1"/>
    <row r="256" ht="12.75" customHeight="1"/>
    <row r="257" ht="12.75" customHeight="1"/>
    <row r="258" ht="12.75" customHeight="1"/>
    <row r="259" ht="12.75" customHeight="1"/>
    <row r="260" ht="12.75" customHeight="1"/>
    <row r="261" ht="12.75" customHeight="1"/>
    <row r="262" ht="12.75" customHeight="1"/>
    <row r="263" ht="12.75" customHeight="1"/>
    <row r="264" ht="12.75" customHeight="1"/>
    <row r="265" ht="12.75" customHeight="1"/>
    <row r="266" ht="12.75" customHeight="1"/>
    <row r="267" ht="12.75" customHeight="1"/>
    <row r="268" ht="12.75" customHeight="1"/>
    <row r="269" ht="12.75" customHeight="1"/>
    <row r="270" ht="12.75" customHeight="1"/>
    <row r="271" ht="12.75" customHeight="1"/>
    <row r="272" ht="12.75" customHeight="1"/>
    <row r="273" ht="12.75" customHeight="1"/>
    <row r="274" ht="12.75" customHeight="1"/>
    <row r="275" ht="12.75" customHeight="1"/>
    <row r="276" ht="12.75" customHeight="1"/>
    <row r="277" ht="12.75" customHeight="1"/>
    <row r="278" ht="12.75" customHeight="1"/>
    <row r="279" ht="12.75" customHeight="1"/>
    <row r="280" ht="12.75" customHeight="1"/>
    <row r="281" ht="12.75" customHeight="1"/>
    <row r="282" ht="12.75" customHeight="1"/>
    <row r="283" ht="12.75" customHeight="1"/>
    <row r="284" ht="12.75" customHeight="1"/>
    <row r="285" ht="12.75" customHeight="1"/>
    <row r="286" ht="12.75" customHeight="1"/>
    <row r="287" ht="12.75" customHeight="1"/>
    <row r="288" ht="12.75" customHeight="1"/>
    <row r="289" ht="12.75" customHeight="1"/>
    <row r="290" ht="12.75" customHeight="1"/>
    <row r="291" ht="12.75" customHeight="1"/>
    <row r="292" ht="12.75" customHeight="1"/>
    <row r="293" ht="12.75" customHeight="1"/>
    <row r="294" ht="12.75" customHeight="1"/>
    <row r="295" ht="12.75" customHeight="1"/>
    <row r="296" ht="12.75" customHeight="1"/>
    <row r="297" ht="12.75" customHeight="1"/>
    <row r="298" ht="12.75" customHeight="1"/>
    <row r="299" ht="12.75" customHeight="1"/>
    <row r="300" ht="12.75" customHeight="1"/>
    <row r="301" ht="12.75" customHeight="1"/>
    <row r="302" ht="12.75" customHeight="1"/>
    <row r="303" ht="12.75" customHeight="1"/>
    <row r="304" ht="12.75" customHeight="1"/>
    <row r="305" ht="12.75" customHeight="1"/>
    <row r="306" ht="12.75" customHeight="1"/>
    <row r="307" ht="12.75" customHeight="1"/>
    <row r="308" ht="12.75" customHeight="1"/>
    <row r="309" ht="12.75" customHeight="1"/>
    <row r="310" ht="12.75" customHeight="1"/>
    <row r="311" ht="12.75" customHeight="1"/>
    <row r="312" ht="12.75" customHeight="1"/>
    <row r="313" ht="12.75" customHeight="1"/>
    <row r="314" ht="12.75" customHeight="1"/>
    <row r="315" ht="12.75" customHeight="1"/>
    <row r="316" ht="12.75" customHeight="1"/>
    <row r="317" ht="12.75" customHeight="1"/>
    <row r="318" ht="12.75" customHeight="1"/>
    <row r="319" ht="12.75" customHeight="1"/>
    <row r="320" ht="12.75" customHeight="1"/>
    <row r="321" ht="12.75" customHeight="1"/>
    <row r="322" ht="12.75" customHeight="1"/>
    <row r="323" ht="12.75" customHeight="1"/>
    <row r="324" ht="12.75" customHeight="1"/>
    <row r="325" ht="12.75" customHeight="1"/>
    <row r="326" ht="12.75" customHeight="1"/>
    <row r="327" ht="12.75" customHeight="1"/>
    <row r="328" ht="12.75" customHeight="1"/>
    <row r="329" ht="12.75" customHeight="1"/>
    <row r="330" ht="12.75" customHeight="1"/>
    <row r="331" ht="12.75" customHeight="1"/>
    <row r="332" ht="12.75" customHeight="1"/>
    <row r="333" ht="12.75" customHeight="1"/>
    <row r="334" ht="12.75" customHeight="1"/>
    <row r="335" ht="12.75" customHeight="1"/>
    <row r="336" ht="12.75" customHeight="1"/>
    <row r="337" ht="12.75" customHeight="1"/>
    <row r="338" ht="12.75" customHeight="1"/>
    <row r="339" ht="12.75" customHeight="1"/>
    <row r="340" ht="12.75" customHeight="1"/>
    <row r="341" ht="12.75" customHeight="1"/>
    <row r="342" ht="12.75" customHeight="1"/>
    <row r="343" ht="12.75" customHeight="1"/>
    <row r="344" ht="12.75" customHeight="1"/>
    <row r="345" ht="12.75" customHeight="1"/>
    <row r="346" ht="12.75" customHeight="1"/>
    <row r="347" ht="12.75" customHeight="1"/>
    <row r="348" ht="12.75" customHeight="1"/>
    <row r="349" ht="12.75" customHeight="1"/>
    <row r="350" ht="12.75" customHeight="1"/>
    <row r="351" ht="12.75" customHeight="1"/>
    <row r="352" ht="12.75" customHeight="1"/>
    <row r="353" ht="12.75" customHeight="1"/>
    <row r="354" ht="12.75" customHeight="1"/>
    <row r="355" ht="12.75" customHeight="1"/>
    <row r="356" ht="12.75" customHeight="1"/>
    <row r="357" ht="12.75" customHeight="1"/>
    <row r="358" ht="12.75" customHeight="1"/>
    <row r="359" ht="12.75" customHeight="1"/>
    <row r="360" ht="12.75" customHeight="1"/>
    <row r="361" ht="12.75" customHeight="1"/>
    <row r="362" ht="12.75" customHeight="1"/>
    <row r="363" ht="12.75" customHeight="1"/>
    <row r="364" ht="12.75" customHeight="1"/>
    <row r="365" ht="12.75" customHeight="1"/>
    <row r="366" ht="12.75" customHeight="1"/>
    <row r="367" ht="12.75" customHeight="1"/>
    <row r="368" ht="12.75" customHeight="1"/>
    <row r="369" ht="12.75" customHeight="1"/>
    <row r="370" ht="12.75" customHeight="1"/>
    <row r="371" ht="12.75" customHeight="1"/>
    <row r="372" ht="12.75" customHeight="1"/>
    <row r="373" ht="12.75" customHeight="1"/>
    <row r="374" ht="12.75" customHeight="1"/>
    <row r="375" ht="12.75" customHeight="1"/>
    <row r="376" ht="12.75" customHeight="1"/>
    <row r="377" ht="12.75" customHeight="1"/>
    <row r="378" ht="12.75" customHeight="1"/>
    <row r="379" ht="12.75" customHeight="1"/>
    <row r="380" ht="12.75" customHeight="1"/>
    <row r="381" ht="12.75" customHeight="1"/>
    <row r="382" ht="12.75" customHeight="1"/>
    <row r="383" ht="12.75" customHeight="1"/>
    <row r="384" ht="12.75" customHeight="1"/>
    <row r="385" ht="12.75" customHeight="1"/>
    <row r="386" ht="12.75" customHeight="1"/>
    <row r="387" ht="12.75" customHeight="1"/>
    <row r="388" ht="12.75" customHeight="1"/>
    <row r="389" ht="12.75" customHeight="1"/>
    <row r="390" ht="12.75" customHeight="1"/>
    <row r="391" ht="12.75" customHeight="1"/>
    <row r="392" ht="12.75" customHeight="1"/>
    <row r="393" ht="12.75" customHeight="1"/>
    <row r="394" ht="12.75" customHeight="1"/>
    <row r="395" ht="12.75" customHeight="1"/>
    <row r="396" ht="12.75" customHeight="1"/>
    <row r="397" ht="12.75" customHeight="1"/>
    <row r="398" ht="12.75" customHeight="1"/>
    <row r="399" ht="12.75" customHeight="1"/>
    <row r="400" ht="12.75" customHeight="1"/>
    <row r="401" ht="12.75" customHeight="1"/>
    <row r="402" ht="12.75" customHeight="1"/>
    <row r="403" ht="12.75" customHeight="1"/>
    <row r="404" ht="12.75" customHeight="1"/>
    <row r="405" ht="12.75" customHeight="1"/>
    <row r="406" ht="12.75" customHeight="1"/>
    <row r="407" ht="12.75" customHeight="1"/>
    <row r="408" ht="12.75" customHeight="1"/>
    <row r="409" ht="12.75" customHeight="1"/>
    <row r="410" ht="12.75" customHeight="1"/>
    <row r="411" ht="12.75" customHeight="1"/>
    <row r="412" ht="12.75" customHeight="1"/>
    <row r="413" ht="12.75" customHeight="1"/>
    <row r="414" ht="12.75" customHeight="1"/>
    <row r="415" ht="12.75" customHeight="1"/>
    <row r="416" ht="12.75" customHeight="1"/>
    <row r="417" ht="12.75" customHeight="1"/>
    <row r="418" ht="12.75" customHeight="1"/>
    <row r="419" ht="12.75" customHeight="1"/>
    <row r="420" ht="12.75" customHeight="1"/>
    <row r="421" ht="12.75" customHeight="1"/>
    <row r="422" ht="12.75" customHeight="1"/>
    <row r="423" ht="12.75" customHeight="1"/>
    <row r="424" ht="12.75" customHeight="1"/>
    <row r="425" ht="12.75" customHeight="1"/>
    <row r="426" ht="12.75" customHeight="1"/>
    <row r="427" ht="12.75" customHeight="1"/>
    <row r="428" ht="12.75" customHeight="1"/>
    <row r="429" ht="12.75" customHeight="1"/>
    <row r="430" ht="12.75" customHeight="1"/>
    <row r="431" ht="12.75" customHeight="1"/>
    <row r="432" ht="12.75" customHeight="1"/>
    <row r="433" ht="12.75" customHeight="1"/>
    <row r="434" ht="12.75" customHeight="1"/>
    <row r="435" ht="12.75" customHeight="1"/>
    <row r="436" ht="12.75" customHeight="1"/>
    <row r="437" ht="12.75" customHeight="1"/>
    <row r="438" ht="12.75" customHeight="1"/>
    <row r="439" ht="12.75" customHeight="1"/>
    <row r="440" ht="12.75" customHeight="1"/>
    <row r="441" ht="12.75" customHeight="1"/>
    <row r="442" ht="12.75" customHeight="1"/>
    <row r="443" ht="12.75" customHeight="1"/>
    <row r="444" ht="12.75" customHeight="1"/>
    <row r="445" ht="12.75" customHeight="1"/>
    <row r="446" ht="12.75" customHeight="1"/>
    <row r="447" ht="12.75" customHeight="1"/>
    <row r="448" ht="12.75" customHeight="1"/>
    <row r="449" ht="12.75" customHeight="1"/>
    <row r="450" ht="12.75" customHeight="1"/>
    <row r="451" ht="12.75" customHeight="1"/>
    <row r="452" ht="12.75" customHeight="1"/>
    <row r="453" ht="12.75" customHeight="1"/>
    <row r="454" ht="12.75" customHeight="1"/>
    <row r="455" ht="12.75" customHeight="1"/>
    <row r="456" ht="12.75" customHeight="1"/>
    <row r="457" ht="12.75" customHeight="1"/>
    <row r="458" ht="12.75" customHeight="1"/>
    <row r="459" ht="12.75" customHeight="1"/>
    <row r="460" ht="12.75" customHeight="1"/>
    <row r="461" ht="12.75" customHeight="1"/>
    <row r="462" ht="12.75" customHeight="1"/>
    <row r="463" ht="12.75" customHeight="1"/>
    <row r="464" ht="12.75" customHeight="1"/>
    <row r="465" ht="12.75" customHeight="1"/>
    <row r="466" ht="12.75" customHeight="1"/>
    <row r="467" ht="12.75" customHeight="1"/>
    <row r="468" ht="12.75" customHeight="1"/>
    <row r="469" ht="12.75" customHeight="1"/>
    <row r="470" ht="12.75" customHeight="1"/>
    <row r="471" ht="12.75" customHeight="1"/>
    <row r="472" ht="12.75" customHeight="1"/>
    <row r="473" ht="12.75" customHeight="1"/>
    <row r="474" ht="12.75" customHeight="1"/>
    <row r="475" ht="12.75" customHeight="1"/>
    <row r="476" ht="12.75" customHeight="1"/>
    <row r="477" ht="12.75" customHeight="1"/>
    <row r="478" ht="12.75" customHeight="1"/>
    <row r="479" ht="12.75" customHeight="1"/>
    <row r="480" ht="12.75" customHeight="1"/>
    <row r="481" ht="12.75" customHeight="1"/>
    <row r="482" ht="12.75" customHeight="1"/>
    <row r="483" ht="12.75" customHeight="1"/>
    <row r="484" ht="12.75" customHeight="1"/>
    <row r="485" ht="12.75" customHeight="1"/>
    <row r="486" ht="12.75" customHeight="1"/>
    <row r="487" ht="12.75" customHeight="1"/>
    <row r="488" ht="12.75" customHeight="1"/>
    <row r="489" ht="12.75" customHeight="1"/>
    <row r="490" ht="12.75" customHeight="1"/>
    <row r="491" ht="12.75" customHeight="1"/>
    <row r="492" ht="12.75" customHeight="1"/>
    <row r="493" ht="12.75" customHeight="1"/>
    <row r="494" ht="12.75" customHeight="1"/>
    <row r="495" ht="12.75" customHeight="1"/>
    <row r="496" ht="12.75" customHeight="1"/>
    <row r="497" ht="12.75" customHeight="1"/>
    <row r="498" ht="12.75" customHeight="1"/>
    <row r="499" ht="12.75" customHeight="1"/>
    <row r="500" ht="12.75" customHeight="1"/>
    <row r="501" ht="12.75" customHeight="1"/>
    <row r="502" ht="12.75" customHeight="1"/>
    <row r="503" ht="12.75" customHeight="1"/>
    <row r="504" ht="12.75" customHeight="1"/>
    <row r="505" ht="12.75" customHeight="1"/>
    <row r="506" ht="12.75" customHeight="1"/>
    <row r="507" ht="12.75" customHeight="1"/>
    <row r="508" ht="12.75" customHeight="1"/>
    <row r="509" ht="12.75" customHeight="1"/>
    <row r="510" ht="12.75" customHeight="1"/>
    <row r="511" ht="12.75" customHeight="1"/>
    <row r="512" ht="12.75" customHeight="1"/>
    <row r="513" ht="12.75" customHeight="1"/>
    <row r="514" ht="12.75" customHeight="1"/>
    <row r="515" ht="12.75" customHeight="1"/>
    <row r="516" ht="12.75" customHeight="1"/>
    <row r="517" ht="12.75" customHeight="1"/>
    <row r="518" ht="12.75" customHeight="1"/>
    <row r="519" ht="12.75" customHeight="1"/>
    <row r="520" ht="12.75" customHeight="1"/>
    <row r="521" ht="12.75" customHeight="1"/>
    <row r="522" ht="12.75" customHeight="1"/>
    <row r="523" ht="12.75" customHeight="1"/>
    <row r="524" ht="12.75" customHeight="1"/>
    <row r="525" ht="12.75" customHeight="1"/>
    <row r="526" ht="12.75" customHeight="1"/>
    <row r="527" ht="12.75" customHeight="1"/>
    <row r="528" ht="12.75" customHeight="1"/>
    <row r="529" ht="12.75" customHeight="1"/>
    <row r="530" ht="12.75" customHeight="1"/>
    <row r="531" ht="12.75" customHeight="1"/>
    <row r="532" ht="12.75" customHeight="1"/>
    <row r="533" ht="12.75" customHeight="1"/>
    <row r="534" ht="12.75" customHeight="1"/>
    <row r="535" ht="12.75" customHeight="1"/>
    <row r="536" ht="12.75" customHeight="1"/>
    <row r="537" ht="12.75" customHeight="1"/>
    <row r="538" ht="12.75" customHeight="1"/>
    <row r="539" ht="12.75" customHeight="1"/>
    <row r="540" ht="12.75" customHeight="1"/>
    <row r="541" ht="12.75" customHeight="1"/>
    <row r="542" ht="12.75" customHeight="1"/>
    <row r="543" ht="12.75" customHeight="1"/>
    <row r="544" ht="12.75" customHeight="1"/>
    <row r="545" ht="12.75" customHeight="1"/>
    <row r="546" ht="12.75" customHeight="1"/>
    <row r="547" ht="12.75" customHeight="1"/>
    <row r="548" ht="12.75" customHeight="1"/>
    <row r="549" ht="12.75" customHeight="1"/>
    <row r="550" ht="12.75" customHeight="1"/>
    <row r="551" ht="12.75" customHeight="1"/>
    <row r="552" ht="12.75" customHeight="1"/>
    <row r="553" ht="12.75" customHeight="1"/>
    <row r="554" ht="12.75" customHeight="1"/>
    <row r="555" ht="12.75" customHeight="1"/>
    <row r="556" ht="12.75" customHeight="1"/>
    <row r="557" ht="12.75" customHeight="1"/>
    <row r="558" ht="12.75" customHeight="1"/>
    <row r="559" ht="12.75" customHeight="1"/>
    <row r="560" ht="12.75" customHeight="1"/>
    <row r="561" ht="12.75" customHeight="1"/>
    <row r="562" ht="12.75" customHeight="1"/>
    <row r="563" ht="12.75" customHeight="1"/>
    <row r="564" ht="12.75" customHeight="1"/>
    <row r="565" ht="12.75" customHeight="1"/>
    <row r="566" ht="12.75" customHeight="1"/>
    <row r="567" ht="12.75" customHeight="1"/>
    <row r="568" ht="12.75" customHeight="1"/>
    <row r="569" ht="12.75" customHeight="1"/>
    <row r="570" ht="12.75" customHeight="1"/>
    <row r="571" ht="12.75" customHeight="1"/>
    <row r="572" ht="12.75" customHeight="1"/>
    <row r="573" ht="12.75" customHeight="1"/>
    <row r="574" ht="12.75" customHeight="1"/>
    <row r="575" ht="12.75" customHeight="1"/>
    <row r="576" ht="12.75" customHeight="1"/>
    <row r="577" ht="12.75" customHeight="1"/>
    <row r="578" ht="12.75" customHeight="1"/>
    <row r="579" ht="12.75" customHeight="1"/>
    <row r="580" ht="12.75" customHeight="1"/>
    <row r="581" ht="12.75" customHeight="1"/>
    <row r="582" ht="12.75" customHeight="1"/>
    <row r="583" ht="12.75" customHeight="1"/>
    <row r="584" ht="12.75" customHeight="1"/>
    <row r="585" ht="12.75" customHeight="1"/>
    <row r="586" ht="12.75" customHeight="1"/>
    <row r="587" ht="12.75" customHeight="1"/>
    <row r="588" ht="12.75" customHeight="1"/>
    <row r="589" ht="12.75" customHeight="1"/>
    <row r="590" ht="12.75" customHeight="1"/>
    <row r="591" ht="12.75" customHeight="1"/>
    <row r="592" ht="12.75" customHeight="1"/>
    <row r="593" ht="12.75" customHeight="1"/>
    <row r="594" ht="12.75" customHeight="1"/>
    <row r="595" ht="12.75" customHeight="1"/>
    <row r="596" ht="12.75" customHeight="1"/>
    <row r="597" ht="12.75" customHeight="1"/>
    <row r="598" ht="12.75" customHeight="1"/>
    <row r="599" ht="12.75" customHeight="1"/>
    <row r="600" ht="12.75" customHeight="1"/>
    <row r="601" ht="12.75" customHeight="1"/>
    <row r="602" ht="12.75" customHeight="1"/>
    <row r="603" ht="12.75" customHeight="1"/>
    <row r="604" ht="12.75" customHeight="1"/>
    <row r="605" ht="12.75" customHeight="1"/>
    <row r="606" ht="12.75" customHeight="1"/>
    <row r="607" ht="12.75" customHeight="1"/>
    <row r="608" ht="12.75" customHeight="1"/>
    <row r="609" ht="12.75" customHeight="1"/>
    <row r="610" ht="12.75" customHeight="1"/>
    <row r="611" ht="12.75" customHeight="1"/>
    <row r="612" ht="12.75" customHeight="1"/>
    <row r="613" ht="12.75" customHeight="1"/>
    <row r="614" ht="12.75" customHeight="1"/>
    <row r="615" ht="12.75" customHeight="1"/>
    <row r="616" ht="12.75" customHeight="1"/>
    <row r="617" ht="12.75" customHeight="1"/>
    <row r="618" ht="12.75" customHeight="1"/>
    <row r="619" ht="12.75" customHeight="1"/>
    <row r="620" ht="12.75" customHeight="1"/>
    <row r="621" ht="12.75" customHeight="1"/>
    <row r="622" ht="12.75" customHeight="1"/>
    <row r="623" ht="12.75" customHeight="1"/>
    <row r="624" ht="12.75" customHeight="1"/>
    <row r="625" ht="12.75" customHeight="1"/>
    <row r="626" ht="12.75" customHeight="1"/>
    <row r="627" ht="12.75" customHeight="1"/>
    <row r="628" ht="12.75" customHeight="1"/>
    <row r="629" ht="12.75" customHeight="1"/>
    <row r="630" ht="12.75" customHeight="1"/>
    <row r="631" ht="12.75" customHeight="1"/>
    <row r="632" ht="12.75" customHeight="1"/>
    <row r="633" ht="12.75" customHeight="1"/>
    <row r="634" ht="12.75" customHeight="1"/>
    <row r="635" ht="12.75" customHeight="1"/>
    <row r="636" ht="12.75" customHeight="1"/>
    <row r="637" ht="12.75" customHeight="1"/>
    <row r="638" ht="12.75" customHeight="1"/>
    <row r="639" ht="12.75" customHeight="1"/>
    <row r="640" ht="12.75" customHeight="1"/>
    <row r="641" ht="12.75" customHeight="1"/>
    <row r="642" ht="12.75" customHeight="1"/>
    <row r="643" ht="12.75" customHeight="1"/>
    <row r="644" ht="12.75" customHeight="1"/>
    <row r="645" ht="12.75" customHeight="1"/>
    <row r="646" ht="12.75" customHeight="1"/>
    <row r="647" ht="12.75" customHeight="1"/>
    <row r="648" ht="12.75" customHeight="1"/>
    <row r="649" ht="12.75" customHeight="1"/>
    <row r="650" ht="12.75" customHeight="1"/>
    <row r="651" ht="12.75" customHeight="1"/>
    <row r="652" ht="12.75" customHeight="1"/>
    <row r="653" ht="12.75" customHeight="1"/>
    <row r="654" ht="12.75" customHeight="1"/>
    <row r="655" ht="12.75" customHeight="1"/>
    <row r="656" ht="12.75" customHeight="1"/>
    <row r="657" ht="12.75" customHeight="1"/>
    <row r="658" ht="12.75" customHeight="1"/>
    <row r="659" ht="12.75" customHeight="1"/>
    <row r="660" ht="12.75" customHeight="1"/>
    <row r="661" ht="12.75" customHeight="1"/>
    <row r="662" ht="12.75" customHeight="1"/>
    <row r="663" ht="12.75" customHeight="1"/>
    <row r="664" ht="12.75" customHeight="1"/>
    <row r="665" ht="12.75" customHeight="1"/>
    <row r="666" ht="12.75" customHeight="1"/>
    <row r="667" ht="12.75" customHeight="1"/>
    <row r="668" ht="12.75" customHeight="1"/>
    <row r="669" ht="12.75" customHeight="1"/>
    <row r="670" ht="12.75" customHeight="1"/>
    <row r="671" ht="12.75" customHeight="1"/>
    <row r="672" ht="12.75" customHeight="1"/>
    <row r="673" ht="12.75" customHeight="1"/>
    <row r="674" ht="12.75" customHeight="1"/>
    <row r="675" ht="12.75" customHeight="1"/>
    <row r="676" ht="12.75" customHeight="1"/>
    <row r="677" ht="12.75" customHeight="1"/>
    <row r="678" ht="12.75" customHeight="1"/>
    <row r="679" ht="12.75" customHeight="1"/>
    <row r="680" ht="12.75" customHeight="1"/>
    <row r="681" ht="12.75" customHeight="1"/>
    <row r="682" ht="12.75" customHeight="1"/>
    <row r="683" ht="12.75" customHeight="1"/>
    <row r="684" ht="12.75" customHeight="1"/>
    <row r="685" ht="12.75" customHeight="1"/>
    <row r="686" ht="12.75" customHeight="1"/>
    <row r="687" ht="12.75" customHeight="1"/>
    <row r="688" ht="12.75" customHeight="1"/>
    <row r="689" ht="12.75" customHeight="1"/>
    <row r="690" ht="12.75" customHeight="1"/>
    <row r="691" ht="12.75" customHeight="1"/>
    <row r="692" ht="12.75" customHeight="1"/>
    <row r="693" ht="12.75" customHeight="1"/>
    <row r="694" ht="12.75" customHeight="1"/>
    <row r="695" ht="12.75" customHeight="1"/>
    <row r="696" ht="12.75" customHeight="1"/>
    <row r="697" ht="12.75" customHeight="1"/>
    <row r="698" ht="12.75" customHeight="1"/>
    <row r="699" ht="12.75" customHeight="1"/>
    <row r="700" ht="12.75" customHeight="1"/>
    <row r="701" ht="12.75" customHeight="1"/>
    <row r="702" ht="12.75" customHeight="1"/>
    <row r="703" ht="12.75" customHeight="1"/>
    <row r="704" ht="12.75" customHeight="1"/>
    <row r="705" ht="12.75" customHeight="1"/>
    <row r="706" ht="12.75" customHeight="1"/>
    <row r="707" ht="12.75" customHeight="1"/>
    <row r="708" ht="12.75" customHeight="1"/>
    <row r="709" ht="12.75" customHeight="1"/>
    <row r="710" ht="12.75" customHeight="1"/>
    <row r="711" ht="12.75" customHeight="1"/>
    <row r="712" ht="12.75" customHeight="1"/>
    <row r="713" ht="12.75" customHeight="1"/>
    <row r="714" ht="12.75" customHeight="1"/>
    <row r="715" ht="12.75" customHeight="1"/>
    <row r="716" ht="12.75" customHeight="1"/>
    <row r="717" ht="12.75" customHeight="1"/>
    <row r="718" ht="12.75" customHeight="1"/>
    <row r="719" ht="12.75" customHeight="1"/>
    <row r="720" ht="12.75" customHeight="1"/>
    <row r="721" ht="12.75" customHeight="1"/>
    <row r="722" ht="12.75" customHeight="1"/>
    <row r="723" ht="12.75" customHeight="1"/>
    <row r="724" ht="12.75" customHeight="1"/>
    <row r="725" ht="12.75" customHeight="1"/>
    <row r="726" ht="12.75" customHeight="1"/>
    <row r="727" ht="12.75" customHeight="1"/>
    <row r="728" ht="12.75" customHeight="1"/>
    <row r="729" ht="12.75" customHeight="1"/>
    <row r="730" ht="12.75" customHeight="1"/>
    <row r="731" ht="12.75" customHeight="1"/>
    <row r="732" ht="12.75" customHeight="1"/>
    <row r="733" ht="12.75" customHeight="1"/>
    <row r="734" ht="12.75" customHeight="1"/>
    <row r="735" ht="12.75" customHeight="1"/>
    <row r="736" ht="12.75" customHeight="1"/>
    <row r="737" ht="12.75" customHeight="1"/>
    <row r="738" ht="12.75" customHeight="1"/>
    <row r="739" ht="12.75" customHeight="1"/>
    <row r="740" ht="12.75" customHeight="1"/>
    <row r="741" ht="12.75" customHeight="1"/>
    <row r="742" ht="12.75" customHeight="1"/>
    <row r="743" ht="12.75" customHeight="1"/>
    <row r="744" ht="12.75" customHeight="1"/>
    <row r="745" ht="12.75" customHeight="1"/>
    <row r="746" ht="12.75" customHeight="1"/>
    <row r="747" ht="12.75" customHeight="1"/>
    <row r="748" ht="12.75" customHeight="1"/>
    <row r="749" ht="12.75" customHeight="1"/>
    <row r="750" ht="12.75" customHeight="1"/>
    <row r="751" ht="12.75" customHeight="1"/>
    <row r="752" ht="12.75" customHeight="1"/>
    <row r="753" ht="12.75" customHeight="1"/>
    <row r="754" ht="12.75" customHeight="1"/>
    <row r="755" ht="12.75" customHeight="1"/>
    <row r="756" ht="12.75" customHeight="1"/>
    <row r="757" ht="12.75" customHeight="1"/>
    <row r="758" ht="12.75" customHeight="1"/>
    <row r="759" ht="12.75" customHeight="1"/>
    <row r="760" ht="12.75" customHeight="1"/>
    <row r="761" ht="12.75" customHeight="1"/>
    <row r="762" ht="12.75" customHeight="1"/>
    <row r="763" ht="12.75" customHeight="1"/>
    <row r="764" ht="12.75" customHeight="1"/>
    <row r="765" ht="12.75" customHeight="1"/>
    <row r="766" ht="12.75" customHeight="1"/>
    <row r="767" ht="12.75" customHeight="1"/>
    <row r="768" ht="12.75" customHeight="1"/>
    <row r="769" ht="12.75" customHeight="1"/>
    <row r="770" ht="12.75" customHeight="1"/>
    <row r="771" ht="12.75" customHeight="1"/>
    <row r="772" ht="12.75" customHeight="1"/>
    <row r="773" ht="12.75" customHeight="1"/>
    <row r="774" ht="12.75" customHeight="1"/>
    <row r="775" ht="12.75" customHeight="1"/>
    <row r="776" ht="12.75" customHeight="1"/>
    <row r="777" ht="12.75" customHeight="1"/>
    <row r="778" ht="12.75" customHeight="1"/>
    <row r="779" ht="12.75" customHeight="1"/>
    <row r="780" ht="12.75" customHeight="1"/>
    <row r="781" ht="12.75" customHeight="1"/>
    <row r="782" ht="12.75" customHeight="1"/>
    <row r="783" ht="12.75" customHeight="1"/>
    <row r="784" ht="12.75" customHeight="1"/>
    <row r="785" ht="12.75" customHeight="1"/>
    <row r="786" ht="12.75" customHeight="1"/>
    <row r="787" ht="12.75" customHeight="1"/>
    <row r="788" ht="12.75" customHeight="1"/>
    <row r="789" ht="12.75" customHeight="1"/>
    <row r="790" ht="12.75" customHeight="1"/>
    <row r="791" ht="12.75" customHeight="1"/>
    <row r="792" ht="12.75" customHeight="1"/>
    <row r="793" ht="12.75" customHeight="1"/>
    <row r="794" ht="12.75" customHeight="1"/>
    <row r="795" ht="12.75" customHeight="1"/>
    <row r="796" ht="12.75" customHeight="1"/>
    <row r="797" ht="12.75" customHeight="1"/>
    <row r="798" ht="12.75" customHeight="1"/>
    <row r="799" ht="12.75" customHeight="1"/>
    <row r="800" ht="12.75" customHeight="1"/>
    <row r="801" ht="12.75" customHeight="1"/>
    <row r="802" ht="12.75" customHeight="1"/>
    <row r="803" ht="12.75" customHeight="1"/>
    <row r="804" ht="12.75" customHeight="1"/>
    <row r="805" ht="12.75" customHeight="1"/>
    <row r="806" ht="12.75" customHeight="1"/>
    <row r="807" ht="12.75" customHeight="1"/>
    <row r="808" ht="12.75" customHeight="1"/>
    <row r="809" ht="12.75" customHeight="1"/>
    <row r="810" ht="12.75" customHeight="1"/>
    <row r="811" ht="12.75" customHeight="1"/>
    <row r="812" ht="12.75" customHeight="1"/>
    <row r="813" ht="12.75" customHeight="1"/>
    <row r="814" ht="12.75" customHeight="1"/>
    <row r="815" ht="12.75" customHeight="1"/>
    <row r="816" ht="12.75" customHeight="1"/>
    <row r="817" ht="12.75" customHeight="1"/>
    <row r="818" ht="12.75" customHeight="1"/>
    <row r="819" ht="12.75" customHeight="1"/>
    <row r="820" ht="12.75" customHeight="1"/>
    <row r="821" ht="12.75" customHeight="1"/>
    <row r="822" ht="12.75" customHeight="1"/>
    <row r="823" ht="12.75" customHeight="1"/>
    <row r="824" ht="12.75" customHeight="1"/>
    <row r="825" ht="12.75" customHeight="1"/>
    <row r="826" ht="12.75" customHeight="1"/>
    <row r="827" ht="12.75" customHeight="1"/>
    <row r="828" ht="12.75" customHeight="1"/>
    <row r="829" ht="12.75" customHeight="1"/>
    <row r="830" ht="12.75" customHeight="1"/>
    <row r="831" ht="12.75" customHeight="1"/>
    <row r="832" ht="12.75" customHeight="1"/>
    <row r="833" ht="12.75" customHeight="1"/>
    <row r="834" ht="12.75" customHeight="1"/>
    <row r="835" ht="12.75" customHeight="1"/>
    <row r="836" ht="12.75" customHeight="1"/>
    <row r="837" ht="12.75" customHeight="1"/>
    <row r="838" ht="12.75" customHeight="1"/>
    <row r="839" ht="12.75" customHeight="1"/>
    <row r="840" ht="12.75" customHeight="1"/>
    <row r="841" ht="12.75" customHeight="1"/>
    <row r="842" ht="12.75" customHeight="1"/>
    <row r="843" ht="12.75" customHeight="1"/>
    <row r="844" ht="12.75" customHeight="1"/>
    <row r="845" ht="12.75" customHeight="1"/>
    <row r="846" ht="12.75" customHeight="1"/>
    <row r="847" ht="12.75" customHeight="1"/>
    <row r="848" ht="12.75" customHeight="1"/>
    <row r="849" ht="12.75" customHeight="1"/>
    <row r="850" ht="12.75" customHeight="1"/>
    <row r="851" ht="12.75" customHeight="1"/>
    <row r="852" ht="12.75" customHeight="1"/>
    <row r="853" ht="12.75" customHeight="1"/>
    <row r="854" ht="12.75" customHeight="1"/>
    <row r="855" ht="12.75" customHeight="1"/>
    <row r="856" ht="12.75" customHeight="1"/>
    <row r="857" ht="12.75" customHeight="1"/>
    <row r="858" ht="12.75" customHeight="1"/>
    <row r="859" ht="12.75" customHeight="1"/>
    <row r="860" ht="12.75" customHeight="1"/>
    <row r="861" ht="12.75" customHeight="1"/>
    <row r="862" ht="12.75" customHeight="1"/>
    <row r="863" ht="12.75" customHeight="1"/>
    <row r="864" ht="12.75" customHeight="1"/>
    <row r="865" ht="12.75" customHeight="1"/>
    <row r="866" ht="12.75" customHeight="1"/>
    <row r="867" ht="12.75" customHeight="1"/>
    <row r="868" ht="12.75" customHeight="1"/>
    <row r="869" ht="12.75" customHeight="1"/>
    <row r="870" ht="12.75" customHeight="1"/>
    <row r="871" ht="12.75" customHeight="1"/>
    <row r="872" ht="12.75" customHeight="1"/>
    <row r="873" ht="12.75" customHeight="1"/>
    <row r="874" ht="12.75" customHeight="1"/>
    <row r="875" ht="12.75" customHeight="1"/>
    <row r="876" ht="12.75" customHeight="1"/>
    <row r="877" ht="12.75" customHeight="1"/>
    <row r="878" ht="12.75" customHeight="1"/>
    <row r="879" ht="12.75" customHeight="1"/>
    <row r="880" ht="12.75" customHeight="1"/>
    <row r="881" ht="12.75" customHeight="1"/>
    <row r="882" ht="12.75" customHeight="1"/>
    <row r="883" ht="12.75" customHeight="1"/>
    <row r="884" ht="12.75" customHeight="1"/>
    <row r="885" ht="12.75" customHeight="1"/>
    <row r="886" ht="12.75" customHeight="1"/>
    <row r="887" ht="12.75" customHeight="1"/>
    <row r="888" ht="12.75" customHeight="1"/>
    <row r="889" ht="12.75" customHeight="1"/>
    <row r="890" ht="12.75" customHeight="1"/>
    <row r="891" ht="12.75" customHeight="1"/>
    <row r="892" ht="12.75" customHeight="1"/>
    <row r="893" ht="12.75" customHeight="1"/>
    <row r="894" ht="12.75" customHeight="1"/>
    <row r="895" ht="12.75" customHeight="1"/>
    <row r="896" ht="12.75" customHeight="1"/>
    <row r="897" ht="12.75" customHeight="1"/>
    <row r="898" ht="12.75" customHeight="1"/>
    <row r="899" ht="12.75" customHeight="1"/>
    <row r="900" ht="12.75" customHeight="1"/>
    <row r="901" ht="12.75" customHeight="1"/>
    <row r="902" ht="12.75" customHeight="1"/>
    <row r="903" ht="12.75" customHeight="1"/>
    <row r="904" ht="12.75" customHeight="1"/>
    <row r="905" ht="12.75" customHeight="1"/>
    <row r="906" ht="12.75" customHeight="1"/>
    <row r="907" ht="12.75" customHeight="1"/>
    <row r="908" ht="12.75" customHeight="1"/>
    <row r="909" ht="12.75" customHeight="1"/>
    <row r="910" ht="12.75" customHeight="1"/>
    <row r="911" ht="12.75" customHeight="1"/>
    <row r="912" ht="12.75" customHeight="1"/>
    <row r="913" ht="12.75" customHeight="1"/>
    <row r="914" ht="12.75" customHeight="1"/>
    <row r="915" ht="12.75" customHeight="1"/>
    <row r="916" ht="12.75" customHeight="1"/>
    <row r="917" ht="12.75" customHeight="1"/>
    <row r="918" ht="12.75" customHeight="1"/>
    <row r="919" ht="12.75" customHeight="1"/>
    <row r="920" ht="12.75" customHeight="1"/>
    <row r="921" ht="12.75" customHeight="1"/>
    <row r="922" ht="12.75" customHeight="1"/>
    <row r="923" ht="12.75" customHeight="1"/>
    <row r="924" ht="12.75" customHeight="1"/>
    <row r="925" ht="12.75" customHeight="1"/>
    <row r="926" ht="12.75" customHeight="1"/>
    <row r="927" ht="12.75" customHeight="1"/>
    <row r="928" ht="12.75" customHeight="1"/>
    <row r="929" ht="12.75" customHeight="1"/>
    <row r="930" ht="12.75" customHeight="1"/>
    <row r="931" ht="12.75" customHeight="1"/>
    <row r="932" ht="12.75" customHeight="1"/>
    <row r="933" ht="12.75" customHeight="1"/>
    <row r="934" ht="12.75" customHeight="1"/>
    <row r="935" ht="12.75" customHeight="1"/>
    <row r="936" ht="12.75" customHeight="1"/>
    <row r="937" ht="12.75" customHeight="1"/>
    <row r="938" ht="12.75" customHeight="1"/>
    <row r="939" ht="12.75" customHeight="1"/>
    <row r="940" ht="12.75" customHeight="1"/>
    <row r="941" ht="12.75" customHeight="1"/>
    <row r="942" ht="12.75" customHeight="1"/>
    <row r="943" ht="12.75" customHeight="1"/>
    <row r="944" ht="12.75" customHeight="1"/>
    <row r="945" ht="12.75" customHeight="1"/>
    <row r="946" ht="12.75" customHeight="1"/>
    <row r="947" ht="12.75" customHeight="1"/>
    <row r="948" ht="12.75" customHeight="1"/>
    <row r="949" ht="12.75" customHeight="1"/>
    <row r="950" ht="12.75" customHeight="1"/>
    <row r="951" ht="12.75" customHeight="1"/>
    <row r="952" ht="12.75" customHeight="1"/>
    <row r="953" ht="12.75" customHeight="1"/>
    <row r="954" ht="12.75" customHeight="1"/>
    <row r="955" ht="12.75" customHeight="1"/>
    <row r="956" ht="12.75" customHeight="1"/>
    <row r="957" ht="12.75" customHeight="1"/>
    <row r="958" ht="12.75" customHeight="1"/>
    <row r="959" ht="12.75" customHeight="1"/>
    <row r="960" ht="12.75" customHeight="1"/>
    <row r="961" ht="12.75" customHeight="1"/>
    <row r="962" ht="12.75" customHeight="1"/>
    <row r="963" ht="12.75" customHeight="1"/>
    <row r="964" ht="12.75" customHeight="1"/>
    <row r="965" ht="12.75" customHeight="1"/>
    <row r="966" ht="12.75" customHeight="1"/>
    <row r="967" ht="12.75" customHeight="1"/>
    <row r="968" ht="12.75" customHeight="1"/>
    <row r="969" ht="12.75" customHeight="1"/>
    <row r="970" ht="12.75" customHeight="1"/>
    <row r="971" ht="12.75" customHeight="1"/>
    <row r="972" ht="12.75" customHeight="1"/>
    <row r="973" ht="12.75" customHeight="1"/>
    <row r="974" ht="12.75" customHeight="1"/>
    <row r="975" ht="12.75" customHeight="1"/>
    <row r="976" ht="12.75" customHeight="1"/>
    <row r="977" ht="12.75" customHeight="1"/>
    <row r="978" ht="12.75" customHeight="1"/>
    <row r="979" ht="12.75" customHeight="1"/>
    <row r="980" ht="12.75" customHeight="1"/>
    <row r="981" ht="12.75" customHeight="1"/>
    <row r="982" ht="12.75" customHeight="1"/>
    <row r="983" ht="12.75" customHeight="1"/>
    <row r="984" ht="12.75" customHeight="1"/>
    <row r="985" ht="12.75" customHeight="1"/>
    <row r="986" ht="12.75" customHeight="1"/>
    <row r="987" ht="12.75" customHeight="1"/>
    <row r="988" ht="12.75" customHeight="1"/>
    <row r="989" ht="12.75" customHeight="1"/>
    <row r="990" ht="12.75" customHeight="1"/>
    <row r="991" ht="12.75" customHeight="1"/>
    <row r="992" ht="12.75" customHeight="1"/>
    <row r="993" ht="12.75" customHeight="1"/>
    <row r="994" ht="12.75" customHeight="1"/>
    <row r="995" ht="12.75" customHeight="1"/>
    <row r="996" ht="12.75" customHeight="1"/>
    <row r="997" ht="12.75" customHeight="1"/>
    <row r="998" ht="12.75" customHeight="1"/>
    <row r="999" ht="12.75" customHeight="1"/>
    <row r="1000" ht="12.75" customHeight="1"/>
    <row r="1001" ht="12.75" customHeight="1"/>
    <row r="1002" ht="12.75" customHeight="1"/>
    <row r="1003" ht="12.75" customHeight="1"/>
    <row r="1004" ht="12.75" customHeight="1"/>
    <row r="1005" ht="12.75" customHeight="1"/>
    <row r="1006" ht="12.75" customHeight="1"/>
    <row r="1007" ht="12.75" customHeight="1"/>
    <row r="1008" ht="12.75" customHeight="1"/>
    <row r="1009" ht="12.75" customHeight="1"/>
    <row r="1010" ht="12.75" customHeight="1"/>
    <row r="1011" ht="12.75" customHeight="1"/>
    <row r="1012" ht="12.75" customHeight="1"/>
    <row r="1013" ht="12.75" customHeight="1"/>
    <row r="1014" ht="12.75" customHeight="1"/>
    <row r="1015" ht="12.75" customHeight="1"/>
    <row r="1016" ht="12.75" customHeight="1"/>
    <row r="1017" ht="12.75" customHeight="1"/>
    <row r="1018" ht="12.75" customHeight="1"/>
    <row r="1019" ht="12.75" customHeight="1"/>
    <row r="1020" ht="12.75" customHeight="1"/>
    <row r="1021" ht="12.75" customHeight="1"/>
    <row r="1022" ht="12.75" customHeight="1"/>
    <row r="1023" ht="12.75" customHeight="1"/>
    <row r="1024" ht="12.75" customHeight="1"/>
    <row r="1025" ht="12.75" customHeight="1"/>
    <row r="1026" ht="12.75" customHeight="1"/>
    <row r="1027" ht="12.75" customHeight="1"/>
    <row r="1028" ht="12.75" customHeight="1"/>
    <row r="1029" ht="12.75" customHeight="1"/>
    <row r="1030" ht="12.75" customHeight="1"/>
    <row r="1031" ht="12.75" customHeight="1"/>
    <row r="1032" ht="12.75" customHeight="1"/>
    <row r="1033" ht="12.75" customHeight="1"/>
    <row r="1034" ht="12.75" customHeight="1"/>
    <row r="1035" ht="12.75" customHeight="1"/>
    <row r="1036" ht="12.75" customHeight="1"/>
    <row r="1037" ht="12.75" customHeight="1"/>
    <row r="1038" ht="12.75" customHeight="1"/>
    <row r="1039" ht="12.75" customHeight="1"/>
    <row r="1040" ht="12.75" customHeight="1"/>
    <row r="1041" ht="12.75" customHeight="1"/>
    <row r="1042" ht="12.75" customHeight="1"/>
    <row r="1043" ht="12.75" customHeight="1"/>
    <row r="1044" ht="12.75" customHeight="1"/>
    <row r="1045" ht="12.75" customHeight="1"/>
    <row r="1046" ht="12.75" customHeight="1"/>
    <row r="1047" ht="12.75" customHeight="1"/>
    <row r="1048" ht="12.75" customHeight="1"/>
    <row r="1049" ht="12.75" customHeight="1"/>
    <row r="1050" ht="12.75" customHeight="1"/>
    <row r="1051" ht="12.75" customHeight="1"/>
    <row r="1052" ht="12.75" customHeight="1"/>
    <row r="1053" ht="12.75" customHeight="1"/>
    <row r="1054" ht="12.75" customHeight="1"/>
    <row r="1055" ht="12.75" customHeight="1"/>
    <row r="1056" ht="12.75" customHeight="1"/>
    <row r="1057" ht="12.75" customHeight="1"/>
    <row r="1058" ht="12.75" customHeight="1"/>
    <row r="1059" ht="12.75" customHeight="1"/>
    <row r="1060" ht="12.75" customHeight="1"/>
    <row r="1061" ht="12.75" customHeight="1"/>
    <row r="1062" ht="12.75" customHeight="1"/>
    <row r="1063" ht="12.75" customHeight="1"/>
    <row r="1064" ht="12.75" customHeight="1"/>
    <row r="1065" ht="12.75" customHeight="1"/>
    <row r="1066" ht="12.75" customHeight="1"/>
    <row r="1067" ht="12.75" customHeight="1"/>
    <row r="1068" ht="12.75" customHeight="1"/>
    <row r="1069" ht="12.75" customHeight="1"/>
    <row r="1070" ht="12.75" customHeight="1"/>
    <row r="1071" ht="12.75" customHeight="1"/>
    <row r="1072" ht="12.75" customHeight="1"/>
    <row r="1073" ht="12.75" customHeight="1"/>
    <row r="1074" ht="12.75" customHeight="1"/>
    <row r="1075" ht="12.75" customHeight="1"/>
    <row r="1076" ht="12.75" customHeight="1"/>
    <row r="1077" ht="12.75" customHeight="1"/>
    <row r="1078" ht="12.75" customHeight="1"/>
    <row r="1079" ht="12.75" customHeight="1"/>
    <row r="1080" ht="12.75" customHeight="1"/>
    <row r="1081" ht="12.75" customHeight="1"/>
    <row r="1082" ht="12.75" customHeight="1"/>
    <row r="1083" ht="12.75" customHeight="1"/>
    <row r="1084" ht="12.75" customHeight="1"/>
    <row r="1085" ht="12.75" customHeight="1"/>
    <row r="1086" ht="12.75" customHeight="1"/>
    <row r="1087" ht="12.75" customHeight="1"/>
    <row r="1088" ht="12.75" customHeight="1"/>
    <row r="1089" ht="12.75" customHeight="1"/>
    <row r="1090" ht="12.75" customHeight="1"/>
    <row r="1091" ht="12.75" customHeight="1"/>
    <row r="1092" ht="12.75" customHeight="1"/>
    <row r="1093" ht="12.75" customHeight="1"/>
    <row r="1094" ht="12.75" customHeight="1"/>
    <row r="1095" ht="12.75" customHeight="1"/>
    <row r="1096" ht="12.75" customHeight="1"/>
    <row r="1097" ht="12.75" customHeight="1"/>
    <row r="1098" ht="12.75" customHeight="1"/>
    <row r="1099" ht="12.75" customHeight="1"/>
    <row r="1100" ht="12.75" customHeight="1"/>
    <row r="1101" ht="12.75" customHeight="1"/>
    <row r="1102" ht="12.75" customHeight="1"/>
    <row r="1103" ht="12.75" customHeight="1"/>
    <row r="1104" ht="12.75" customHeight="1"/>
    <row r="1105" ht="12.75" customHeight="1"/>
    <row r="1106" ht="12.75" customHeight="1"/>
    <row r="1107" ht="12.75" customHeight="1"/>
    <row r="1108" ht="12.75" customHeight="1"/>
    <row r="1109" ht="12.75" customHeight="1"/>
    <row r="1110" ht="12.75" customHeight="1"/>
    <row r="1111" ht="12.75" customHeight="1"/>
    <row r="1112" ht="12.75" customHeight="1"/>
    <row r="1113" ht="12.75" customHeight="1"/>
    <row r="1114" ht="12.75" customHeight="1"/>
    <row r="1115" ht="12.75" customHeight="1"/>
    <row r="1116" ht="12.75" customHeight="1"/>
    <row r="1117" ht="12.75" customHeight="1"/>
    <row r="1118" ht="12.75" customHeight="1"/>
    <row r="1119" ht="12.75" customHeight="1"/>
    <row r="1120" ht="12.75" customHeight="1"/>
    <row r="1121" ht="12.75" customHeight="1"/>
    <row r="1122" ht="12.75" customHeight="1"/>
    <row r="1123" ht="12.75" customHeight="1"/>
    <row r="1124" ht="12.75" customHeight="1"/>
    <row r="1125" ht="12.75" customHeight="1"/>
    <row r="1126" ht="12.75" customHeight="1"/>
    <row r="1127" ht="12.75" customHeight="1"/>
    <row r="1128" ht="12.75" customHeight="1"/>
    <row r="1129" ht="12.75" customHeight="1"/>
    <row r="1130" ht="12.75" customHeight="1"/>
    <row r="1131" ht="12.75" customHeight="1"/>
    <row r="1132" ht="12.75" customHeight="1"/>
    <row r="1133" ht="12.75" customHeight="1"/>
    <row r="1134" ht="12.75" customHeight="1"/>
    <row r="1135" ht="12.75" customHeight="1"/>
    <row r="1136" ht="12.75" customHeight="1"/>
    <row r="1137" ht="12.75" customHeight="1"/>
    <row r="1138" ht="12.75" customHeight="1"/>
    <row r="1139" ht="12.75" customHeight="1"/>
    <row r="1140" ht="12.75" customHeight="1"/>
    <row r="1141" ht="12.75" customHeight="1"/>
    <row r="1142" ht="12.75" customHeight="1"/>
    <row r="1143" ht="12.75" customHeight="1"/>
    <row r="1144" ht="12.75" customHeight="1"/>
    <row r="1145" ht="12.75" customHeight="1"/>
    <row r="1146" ht="12.75" customHeight="1"/>
    <row r="1147" ht="12.75" customHeight="1"/>
    <row r="1148" ht="12.75" customHeight="1"/>
    <row r="1149" ht="12.75" customHeight="1"/>
    <row r="1150" ht="12.75" customHeight="1"/>
    <row r="1151" ht="12.75" customHeight="1"/>
    <row r="1152" ht="12.75" customHeight="1"/>
    <row r="1153" ht="12.75" customHeight="1"/>
    <row r="1154" ht="12.75" customHeight="1"/>
    <row r="1155" ht="12.75" customHeight="1"/>
    <row r="1156" ht="12.75" customHeight="1"/>
    <row r="1157" ht="12.75" customHeight="1"/>
    <row r="1158" ht="12.75" customHeight="1"/>
    <row r="1159" ht="12.75" customHeight="1"/>
    <row r="1160" ht="12.75" customHeight="1"/>
    <row r="1161" ht="12.75" customHeight="1"/>
    <row r="1162" ht="12.75" customHeight="1"/>
    <row r="1163" ht="12.75" customHeight="1"/>
    <row r="1164" ht="12.75" customHeight="1"/>
    <row r="1165" ht="12.75" customHeight="1"/>
    <row r="1166" ht="12.75" customHeight="1"/>
    <row r="1167" ht="12.75" customHeight="1"/>
    <row r="1168" ht="12.75" customHeight="1"/>
    <row r="1169" ht="12.75" customHeight="1"/>
    <row r="1170" ht="12.75" customHeight="1"/>
    <row r="1171" ht="12.75" customHeight="1"/>
    <row r="1172" ht="12.75" customHeight="1"/>
    <row r="1173" ht="12.75" customHeight="1"/>
    <row r="1174" ht="12.75" customHeight="1"/>
    <row r="1175" ht="12.75" customHeight="1"/>
    <row r="1176" ht="12.75" customHeight="1"/>
    <row r="1177" ht="12.75" customHeight="1"/>
    <row r="1178" ht="12.75" customHeight="1"/>
    <row r="1179" ht="12.75" customHeight="1"/>
    <row r="1180" ht="12.75" customHeight="1"/>
    <row r="1181" ht="12.75" customHeight="1"/>
    <row r="1182" ht="12.75" customHeight="1"/>
    <row r="1183" ht="12.75" customHeight="1"/>
    <row r="1184" ht="12.75" customHeight="1"/>
    <row r="1185" ht="12.75" customHeight="1"/>
    <row r="1186" ht="12.75" customHeight="1"/>
    <row r="1187" ht="12.75" customHeight="1"/>
    <row r="1188" ht="12.75" customHeight="1"/>
    <row r="1189" ht="12.75" customHeight="1"/>
    <row r="1190" ht="12.75" customHeight="1"/>
    <row r="1191" ht="12.75" customHeight="1"/>
    <row r="1192" ht="12.75" customHeight="1"/>
    <row r="1193" ht="12.75" customHeight="1"/>
    <row r="1194" ht="12.75" customHeight="1"/>
    <row r="1195" ht="12.75" customHeight="1"/>
    <row r="1196" ht="12.75" customHeight="1"/>
    <row r="1197" ht="12.75" customHeight="1"/>
    <row r="1198" ht="12.75" customHeight="1"/>
    <row r="1199" ht="12.75" customHeight="1"/>
    <row r="1200" ht="12.75" customHeight="1"/>
    <row r="1201" ht="12.75" customHeight="1"/>
    <row r="1202" ht="12.75" customHeight="1"/>
    <row r="1203" ht="12.75" customHeight="1"/>
    <row r="1204" ht="12.75" customHeight="1"/>
    <row r="1205" ht="12.75" customHeight="1"/>
    <row r="1206" ht="12.75" customHeight="1"/>
    <row r="1207" ht="12.75" customHeight="1"/>
    <row r="1208" ht="12.75" customHeight="1"/>
    <row r="1209" ht="12.75" customHeight="1"/>
    <row r="1210" ht="12.75" customHeight="1"/>
    <row r="1211" ht="12.75" customHeight="1"/>
    <row r="1212" ht="12.75" customHeight="1"/>
    <row r="1213" ht="12.75" customHeight="1"/>
    <row r="1214" ht="12.75" customHeight="1"/>
    <row r="1215" ht="12.75" customHeight="1"/>
    <row r="1216" ht="12.75" customHeight="1"/>
    <row r="1217" ht="12.75" customHeight="1"/>
    <row r="1218" ht="12.75" customHeight="1"/>
    <row r="1219" ht="12.75" customHeight="1"/>
    <row r="1220" ht="12.75" customHeight="1"/>
    <row r="1221" ht="12.75" customHeight="1"/>
    <row r="1222" ht="12.75" customHeight="1"/>
    <row r="1223" ht="12.75" customHeight="1"/>
    <row r="1224" ht="12.75" customHeight="1"/>
    <row r="1225" ht="12.75" customHeight="1"/>
    <row r="1226" ht="12.75" customHeight="1"/>
    <row r="1227" ht="12.75" customHeight="1"/>
    <row r="1228" ht="12.75" customHeight="1"/>
    <row r="1229" ht="12.75" customHeight="1"/>
    <row r="1230" ht="12.75" customHeight="1"/>
    <row r="1231" ht="12.75" customHeight="1"/>
    <row r="1232" ht="12.75" customHeight="1"/>
    <row r="1233" ht="12.75" customHeight="1"/>
    <row r="1234" ht="12.75" customHeight="1"/>
    <row r="1235" ht="12.75" customHeight="1"/>
    <row r="1236" ht="12.75" customHeight="1"/>
    <row r="1237" ht="12.75" customHeight="1"/>
    <row r="1238" ht="12.75" customHeight="1"/>
    <row r="1239" ht="12.75" customHeight="1"/>
    <row r="1240" ht="12.75" customHeight="1"/>
    <row r="1241" ht="12.75" customHeight="1"/>
    <row r="1242" ht="12.75" customHeight="1"/>
    <row r="1243" ht="12.75" customHeight="1"/>
    <row r="1244" ht="12.75" customHeight="1"/>
    <row r="1245" ht="12.75" customHeight="1"/>
    <row r="1246" ht="12.75" customHeight="1"/>
    <row r="1247" ht="12.75" customHeight="1"/>
    <row r="1248" ht="12.75" customHeight="1"/>
    <row r="1249" ht="12.75" customHeight="1"/>
    <row r="1250" ht="12.75" customHeight="1"/>
    <row r="1251" ht="12.75" customHeight="1"/>
    <row r="1252" ht="12.75" customHeight="1"/>
    <row r="1253" ht="12.75" customHeight="1"/>
    <row r="1254" ht="12.75" customHeight="1"/>
    <row r="1255" ht="12.75" customHeight="1"/>
    <row r="1256" ht="12.75" customHeight="1"/>
    <row r="1257" ht="12.75" customHeight="1"/>
    <row r="1258" ht="12.75" customHeight="1"/>
    <row r="1259" ht="12.75" customHeight="1"/>
    <row r="1260" ht="12.75" customHeight="1"/>
    <row r="1261" ht="12.75" customHeight="1"/>
    <row r="1262" ht="12.75" customHeight="1"/>
    <row r="1263" ht="12.75" customHeight="1"/>
    <row r="1264" ht="12.75" customHeight="1"/>
    <row r="1265" ht="12.75" customHeight="1"/>
    <row r="1266" ht="12.75" customHeight="1"/>
    <row r="1267" ht="12.75" customHeight="1"/>
    <row r="1268" ht="12.75" customHeight="1"/>
    <row r="1269" ht="12.75" customHeight="1"/>
    <row r="1270" ht="12.75" customHeight="1"/>
    <row r="1271" ht="12.75" customHeight="1"/>
    <row r="1272" ht="12.75" customHeight="1"/>
    <row r="1273" ht="12.75" customHeight="1"/>
    <row r="1274" ht="12.75" customHeight="1"/>
    <row r="1275" ht="12.75" customHeight="1"/>
    <row r="1276" ht="12.75" customHeight="1"/>
    <row r="1277" ht="12.75" customHeight="1"/>
    <row r="1278" ht="12.75" customHeight="1"/>
    <row r="1279" ht="12.75" customHeight="1"/>
    <row r="1280" ht="12.75" customHeight="1"/>
    <row r="1281" ht="12.75" customHeight="1"/>
    <row r="1282" ht="12.75" customHeight="1"/>
    <row r="1283" ht="12.75" customHeight="1"/>
    <row r="1284" ht="12.75" customHeight="1"/>
    <row r="1285" ht="12.75" customHeight="1"/>
    <row r="1286" ht="12.75" customHeight="1"/>
    <row r="1287" ht="12.75" customHeight="1"/>
    <row r="1288" ht="12.75" customHeight="1"/>
    <row r="1289" ht="12.75" customHeight="1"/>
    <row r="1290" ht="12.75" customHeight="1"/>
    <row r="1291" ht="12.75" customHeight="1"/>
    <row r="1292" ht="12.75" customHeight="1"/>
    <row r="1293" ht="12.75" customHeight="1"/>
    <row r="1294" ht="12.75" customHeight="1"/>
    <row r="1295" ht="12.75" customHeight="1"/>
    <row r="1296" ht="12.75" customHeight="1"/>
    <row r="1297" ht="12.75" customHeight="1"/>
    <row r="1298" ht="12.75" customHeight="1"/>
    <row r="1299" ht="12.75" customHeight="1"/>
    <row r="1300" ht="12.75" customHeight="1"/>
    <row r="1301" ht="12.75" customHeight="1"/>
    <row r="1302" ht="12.75" customHeight="1"/>
    <row r="1303" ht="12.75" customHeight="1"/>
    <row r="1304" ht="12.75" customHeight="1"/>
    <row r="1305" ht="12.75" customHeight="1"/>
    <row r="1306" ht="12.75" customHeight="1"/>
    <row r="1307" ht="12.75" customHeight="1"/>
    <row r="1308" ht="12.75" customHeight="1"/>
    <row r="1309" ht="12.75" customHeight="1"/>
    <row r="1310" ht="12.75" customHeight="1"/>
    <row r="1311" ht="12.75" customHeight="1"/>
    <row r="1312" ht="12.75" customHeight="1"/>
    <row r="1313" ht="12.75" customHeight="1"/>
    <row r="1314" ht="12.75" customHeight="1"/>
    <row r="1315" ht="12.75" customHeight="1"/>
    <row r="1316" ht="12.75" customHeight="1"/>
    <row r="1317" ht="12.75" customHeight="1"/>
    <row r="1318" ht="12.75" customHeight="1"/>
    <row r="1319" ht="12.75" customHeight="1"/>
    <row r="1320" ht="12.75" customHeight="1"/>
    <row r="1321" ht="12.75" customHeight="1"/>
    <row r="1322" ht="12.75" customHeight="1"/>
    <row r="1323" ht="12.75" customHeight="1"/>
    <row r="1324" ht="12.75" customHeight="1"/>
    <row r="1325" ht="12.75" customHeight="1"/>
    <row r="1326" ht="12.75" customHeight="1"/>
    <row r="1327" ht="12.75" customHeight="1"/>
    <row r="1328" ht="12.75" customHeight="1"/>
    <row r="1329" ht="12.75" customHeight="1"/>
    <row r="1330" ht="12.75" customHeight="1"/>
    <row r="1331" ht="12.75" customHeight="1"/>
    <row r="1332" ht="12.75" customHeight="1"/>
    <row r="1333" ht="12.75" customHeight="1"/>
    <row r="1334" ht="12.75" customHeight="1"/>
    <row r="1335" ht="12.75" customHeight="1"/>
    <row r="1336" ht="12.75" customHeight="1"/>
    <row r="1337" ht="12.75" customHeight="1"/>
    <row r="1338" ht="12.75" customHeight="1"/>
    <row r="1339" ht="12.75" customHeight="1"/>
    <row r="1340" ht="12.75" customHeight="1"/>
    <row r="1341" ht="12.75" customHeight="1"/>
    <row r="1342" ht="12.75" customHeight="1"/>
    <row r="1343" ht="12.75" customHeight="1"/>
    <row r="1344" ht="12.75" customHeight="1"/>
    <row r="1345" ht="12.75" customHeight="1"/>
    <row r="1346" ht="12.75" customHeight="1"/>
    <row r="1347" ht="12.75" customHeight="1"/>
    <row r="1348" ht="12.75" customHeight="1"/>
    <row r="1349" ht="12.75" customHeight="1"/>
    <row r="1350" ht="12.75" customHeight="1"/>
    <row r="1351" ht="12.75" customHeight="1"/>
    <row r="1352" ht="12.75" customHeight="1"/>
    <row r="1353" ht="12.75" customHeight="1"/>
    <row r="1354" ht="12.75" customHeight="1"/>
    <row r="1355" ht="12.75" customHeight="1"/>
    <row r="1356" ht="12.75" customHeight="1"/>
    <row r="1357" ht="12.75" customHeight="1"/>
    <row r="1358" ht="12.75" customHeight="1"/>
    <row r="1359" ht="12.75" customHeight="1"/>
    <row r="1360" ht="12.75" customHeight="1"/>
    <row r="1361" ht="12.75" customHeight="1"/>
    <row r="1362" ht="12.75" customHeight="1"/>
    <row r="1363" ht="12.75" customHeight="1"/>
    <row r="1364" ht="12.75" customHeight="1"/>
    <row r="1365" ht="12.75" customHeight="1"/>
    <row r="1366" ht="12.75" customHeight="1"/>
    <row r="1367" ht="12.75" customHeight="1"/>
    <row r="1368" ht="12.75" customHeight="1"/>
    <row r="1369" ht="12.75" customHeight="1"/>
    <row r="1370" ht="12.75" customHeight="1"/>
    <row r="1371" ht="12.75" customHeight="1"/>
    <row r="1372" ht="12.75" customHeight="1"/>
    <row r="1373" ht="12.75" customHeight="1"/>
    <row r="1374" ht="12.75" customHeight="1"/>
    <row r="1375" ht="12.75" customHeight="1"/>
    <row r="1376" ht="12.75" customHeight="1"/>
    <row r="1377" ht="12.75" customHeight="1"/>
    <row r="1378" ht="12.75" customHeight="1"/>
    <row r="1379" ht="12.75" customHeight="1"/>
    <row r="1380" ht="12.75" customHeight="1"/>
    <row r="1381" ht="12.75" customHeight="1"/>
    <row r="1382" ht="12.75" customHeight="1"/>
    <row r="1383" ht="12.75" customHeight="1"/>
    <row r="1384" ht="12.75" customHeight="1"/>
    <row r="1385" ht="12.75" customHeight="1"/>
    <row r="1386" ht="12.75" customHeight="1"/>
    <row r="1387" ht="12.75" customHeight="1"/>
    <row r="1388" ht="12.75" customHeight="1"/>
    <row r="1389" ht="12.75" customHeight="1"/>
    <row r="1390" ht="12.75" customHeight="1"/>
    <row r="1391" ht="12.75" customHeight="1"/>
    <row r="1392" ht="12.75" customHeight="1"/>
    <row r="1393" ht="12.75" customHeight="1"/>
    <row r="1394" ht="12.75" customHeight="1"/>
    <row r="1395" ht="12.75" customHeight="1"/>
    <row r="1396" ht="12.75" customHeight="1"/>
    <row r="1397" ht="12.75" customHeight="1"/>
    <row r="1398" ht="12.75" customHeight="1"/>
    <row r="1399" ht="12.75" customHeight="1"/>
    <row r="1400" ht="12.75" customHeight="1"/>
    <row r="1401" ht="12.75" customHeight="1"/>
    <row r="1402" ht="12.75" customHeight="1"/>
    <row r="1403" ht="12.75" customHeight="1"/>
    <row r="1404" ht="12.75" customHeight="1"/>
    <row r="1405" ht="12.75" customHeight="1"/>
    <row r="1406" ht="12.75" customHeight="1"/>
    <row r="1407" ht="12.75" customHeight="1"/>
    <row r="1408" ht="12.75" customHeight="1"/>
    <row r="1409" ht="12.75" customHeight="1"/>
    <row r="1410" ht="12.75" customHeight="1"/>
    <row r="1411" ht="12.75" customHeight="1"/>
    <row r="1412" ht="12.75" customHeight="1"/>
    <row r="1413" ht="12.75" customHeight="1"/>
    <row r="1414" ht="12.75" customHeight="1"/>
    <row r="1415" ht="12.75" customHeight="1"/>
    <row r="1416" ht="12.75" customHeight="1"/>
    <row r="1417" ht="12.75" customHeight="1"/>
    <row r="1418" ht="12.75" customHeight="1"/>
    <row r="1419" ht="12.75" customHeight="1"/>
    <row r="1420" ht="12.75" customHeight="1"/>
    <row r="1421" ht="12.75" customHeight="1"/>
    <row r="1422" ht="12.75" customHeight="1"/>
    <row r="1423" ht="12.75" customHeight="1"/>
    <row r="1424" ht="12.75" customHeight="1"/>
    <row r="1425" ht="12.75" customHeight="1"/>
    <row r="1426" ht="12.75" customHeight="1"/>
    <row r="1427" ht="12.75" customHeight="1"/>
    <row r="1428" ht="12.75" customHeight="1"/>
    <row r="1429" ht="12.75" customHeight="1"/>
    <row r="1430" ht="12.75" customHeight="1"/>
    <row r="1431" ht="12.75" customHeight="1"/>
    <row r="1432" ht="12.75" customHeight="1"/>
    <row r="1433" ht="12.75" customHeight="1"/>
    <row r="1434" ht="12.75" customHeight="1"/>
    <row r="1435" ht="12.75" customHeight="1"/>
    <row r="1436" ht="12.75" customHeight="1"/>
    <row r="1437" ht="12.75" customHeight="1"/>
    <row r="1438" ht="12.75" customHeight="1"/>
    <row r="1439" ht="12.75" customHeight="1"/>
    <row r="1440" ht="12.75" customHeight="1"/>
    <row r="1441" ht="12.75" customHeight="1"/>
    <row r="1442" ht="12.75" customHeight="1"/>
    <row r="1443" ht="12.75" customHeight="1"/>
    <row r="1444" ht="12.75" customHeight="1"/>
    <row r="1445" ht="12.75" customHeight="1"/>
    <row r="1446" ht="12.75" customHeight="1"/>
    <row r="1447" ht="12.75" customHeight="1"/>
    <row r="1448" ht="12.75" customHeight="1"/>
    <row r="1449" ht="12.75" customHeight="1"/>
    <row r="1450" ht="12.75" customHeight="1"/>
    <row r="1451" ht="12.75" customHeight="1"/>
    <row r="1452" ht="12.75" customHeight="1"/>
    <row r="1453" ht="12.75" customHeight="1"/>
    <row r="1454" ht="12.75" customHeight="1"/>
    <row r="1455" ht="12.75" customHeight="1"/>
    <row r="1456" ht="12.75" customHeight="1"/>
    <row r="1457" ht="12.75" customHeight="1"/>
    <row r="1458" ht="12.75" customHeight="1"/>
    <row r="1459" ht="12.75" customHeight="1"/>
    <row r="1460" ht="12.75" customHeight="1"/>
    <row r="1461" ht="12.75" customHeight="1"/>
    <row r="1462" ht="12.75" customHeight="1"/>
    <row r="1463" ht="12.75" customHeight="1"/>
    <row r="1464" ht="12.75" customHeight="1"/>
    <row r="1465" ht="12.75" customHeight="1"/>
    <row r="1466" ht="12.75" customHeight="1"/>
    <row r="1467" ht="12.75" customHeight="1"/>
    <row r="1468" ht="12.75" customHeight="1"/>
    <row r="1469" ht="12.75" customHeight="1"/>
    <row r="1470" ht="12.75" customHeight="1"/>
    <row r="1471" ht="12.75" customHeight="1"/>
    <row r="1472" ht="12.75" customHeight="1"/>
    <row r="1473" ht="12.75" customHeight="1"/>
    <row r="1474" ht="12.75" customHeight="1"/>
    <row r="1475" ht="12.75" customHeight="1"/>
    <row r="1476" ht="12.75" customHeight="1"/>
    <row r="1477" ht="12.75" customHeight="1"/>
    <row r="1478" ht="12.75" customHeight="1"/>
    <row r="1479" ht="12.75" customHeight="1"/>
    <row r="1480" ht="12.75" customHeight="1"/>
    <row r="1481" ht="12.75" customHeight="1"/>
    <row r="1482" ht="12.75" customHeight="1"/>
    <row r="1483" ht="12.75" customHeight="1"/>
    <row r="1484" ht="12.75" customHeight="1"/>
    <row r="1485" ht="12.75" customHeight="1"/>
    <row r="1486" ht="12.75" customHeight="1"/>
    <row r="1487" ht="12.75" customHeight="1"/>
    <row r="1488" ht="12.75" customHeight="1"/>
    <row r="1489" ht="12.75" customHeight="1"/>
    <row r="1490" ht="12.75" customHeight="1"/>
    <row r="1491" ht="12.75" customHeight="1"/>
    <row r="1492" ht="12.75" customHeight="1"/>
    <row r="1493" ht="12.75" customHeight="1"/>
    <row r="1494" ht="12.75" customHeight="1"/>
    <row r="1495" ht="12.75" customHeight="1"/>
    <row r="1496" ht="12.75" customHeight="1"/>
    <row r="1497" ht="12.75" customHeight="1"/>
    <row r="1498" ht="12.75" customHeight="1"/>
    <row r="1499" ht="12.75" customHeight="1"/>
    <row r="1500" ht="12.75" customHeight="1"/>
    <row r="1501" ht="12.75" customHeight="1"/>
    <row r="1502" ht="12.75" customHeight="1"/>
    <row r="1503" ht="12.75" customHeight="1"/>
    <row r="1504" ht="12.75" customHeight="1"/>
    <row r="1505" ht="12.75" customHeight="1"/>
    <row r="1506" ht="12.75" customHeight="1"/>
    <row r="1507" ht="12.75" customHeight="1"/>
    <row r="1508" ht="12.75" customHeight="1"/>
    <row r="1509" ht="12.75" customHeight="1"/>
    <row r="1510" ht="12.75" customHeight="1"/>
    <row r="1511" ht="12.75" customHeight="1"/>
    <row r="1512" ht="12.75" customHeight="1"/>
    <row r="1513" ht="12.75" customHeight="1"/>
    <row r="1514" ht="12.75" customHeight="1"/>
    <row r="1515" ht="12.75" customHeight="1"/>
    <row r="1516" ht="12.75" customHeight="1"/>
    <row r="1517" ht="12.75" customHeight="1"/>
    <row r="1518" ht="12.75" customHeight="1"/>
    <row r="1519" ht="12.75" customHeight="1"/>
    <row r="1520" ht="12.75" customHeight="1"/>
    <row r="1521" ht="12.75" customHeight="1"/>
    <row r="1522" ht="12.75" customHeight="1"/>
    <row r="1523" ht="12.75" customHeight="1"/>
    <row r="1524" ht="12.75" customHeight="1"/>
    <row r="1525" ht="12.75" customHeight="1"/>
    <row r="1526" ht="12.75" customHeight="1"/>
    <row r="1527" ht="12.75" customHeight="1"/>
    <row r="1528" ht="12.75" customHeight="1"/>
    <row r="1529" ht="12.75" customHeight="1"/>
    <row r="1530" ht="12.75" customHeight="1"/>
    <row r="1531" ht="12.75" customHeight="1"/>
    <row r="1532" ht="12.75" customHeight="1"/>
    <row r="1533" ht="12.75" customHeight="1"/>
    <row r="1534" ht="12.75" customHeight="1"/>
    <row r="1535" ht="12.75" customHeight="1"/>
    <row r="1536" ht="12.75" customHeight="1"/>
    <row r="1537" ht="12.75" customHeight="1"/>
    <row r="1538" ht="12.75" customHeight="1"/>
    <row r="1539" ht="12.75" customHeight="1"/>
    <row r="1540" ht="12.75" customHeight="1"/>
    <row r="1541" ht="12.75" customHeight="1"/>
    <row r="1542" ht="12.75" customHeight="1"/>
    <row r="1543" ht="12.75" customHeight="1"/>
    <row r="1544" ht="12.75" customHeight="1"/>
    <row r="1545" ht="12.75" customHeight="1"/>
    <row r="1546" ht="12.75" customHeight="1"/>
    <row r="1547" ht="12.75" customHeight="1"/>
    <row r="1548" ht="12.75" customHeight="1"/>
    <row r="1549" ht="12.75" customHeight="1"/>
    <row r="1550" ht="12.75" customHeight="1"/>
    <row r="1551" ht="12.75" customHeight="1"/>
    <row r="1552" ht="12.75" customHeight="1"/>
    <row r="1553" ht="12.75" customHeight="1"/>
    <row r="1554" ht="12.75" customHeight="1"/>
    <row r="1555" ht="12.75" customHeight="1"/>
    <row r="1556" ht="12.75" customHeight="1"/>
    <row r="1557" ht="12.75" customHeight="1"/>
    <row r="1558" ht="12.75" customHeight="1"/>
    <row r="1559" ht="12.75" customHeight="1"/>
    <row r="1560" ht="12.75" customHeight="1"/>
    <row r="1561" ht="12.75" customHeight="1"/>
    <row r="1562" ht="12.75" customHeight="1"/>
    <row r="1563" ht="12.75" customHeight="1"/>
    <row r="1564" ht="12.75" customHeight="1"/>
    <row r="1565" ht="12.75" customHeight="1"/>
    <row r="1566" ht="12.75" customHeight="1"/>
    <row r="1567" ht="12.75" customHeight="1"/>
    <row r="1568" ht="12.75" customHeight="1"/>
    <row r="1569" ht="12.75" customHeight="1"/>
    <row r="1570" ht="12.75" customHeight="1"/>
    <row r="1571" ht="12.75" customHeight="1"/>
    <row r="1572" ht="12.75" customHeight="1"/>
    <row r="1573" ht="12.75" customHeight="1"/>
    <row r="1574" ht="12.75" customHeight="1"/>
    <row r="1575" ht="12.75" customHeight="1"/>
    <row r="1576" ht="12.75" customHeight="1"/>
    <row r="1577" ht="12.75" customHeight="1"/>
    <row r="1578" ht="12.75" customHeight="1"/>
    <row r="1579" ht="12.75" customHeight="1"/>
    <row r="1580" ht="12.75" customHeight="1"/>
    <row r="1581" ht="12.75" customHeight="1"/>
    <row r="1582" ht="12.75" customHeight="1"/>
    <row r="1583" ht="12.75" customHeight="1"/>
    <row r="1584" ht="12.75" customHeight="1"/>
    <row r="1585" ht="12.75" customHeight="1"/>
    <row r="1586" ht="12.75" customHeight="1"/>
    <row r="1587" ht="12.75" customHeight="1"/>
    <row r="1588" ht="12.75" customHeight="1"/>
    <row r="1589" ht="12.75" customHeight="1"/>
    <row r="1590" ht="12.75" customHeight="1"/>
    <row r="1591" ht="12.75" customHeight="1"/>
    <row r="1592" ht="12.75" customHeight="1"/>
    <row r="1593" ht="12.75" customHeight="1"/>
    <row r="1594" ht="12.75" customHeight="1"/>
    <row r="1595" ht="12.75" customHeight="1"/>
    <row r="1596" ht="12.75" customHeight="1"/>
    <row r="1597" ht="12.75" customHeight="1"/>
    <row r="1598" ht="12.75" customHeight="1"/>
    <row r="1599" ht="12.75" customHeight="1"/>
    <row r="1600" ht="12.75" customHeight="1"/>
    <row r="1601" ht="12.75" customHeight="1"/>
    <row r="1602" ht="12.75" customHeight="1"/>
    <row r="1603" ht="12.75" customHeight="1"/>
    <row r="1604" ht="12.75" customHeight="1"/>
    <row r="1605" ht="12.75" customHeight="1"/>
    <row r="1606" ht="12.75" customHeight="1"/>
    <row r="1607" ht="12.75" customHeight="1"/>
    <row r="1608" ht="12.75" customHeight="1"/>
    <row r="1609" ht="12.75" customHeight="1"/>
    <row r="1610" ht="12.75" customHeight="1"/>
    <row r="1611" ht="12.75" customHeight="1"/>
    <row r="1612" ht="12.75" customHeight="1"/>
    <row r="1613" ht="12.75" customHeight="1"/>
    <row r="1614" ht="12.75" customHeight="1"/>
    <row r="1615" ht="12.75" customHeight="1"/>
    <row r="1616" ht="12.75" customHeight="1"/>
    <row r="1617" ht="12.75" customHeight="1"/>
    <row r="1618" ht="12.75" customHeight="1"/>
    <row r="1619" ht="12.75" customHeight="1"/>
    <row r="1620" ht="12.75" customHeight="1"/>
    <row r="1621" ht="12.75" customHeight="1"/>
    <row r="1622" ht="12.75" customHeight="1"/>
    <row r="1623" ht="12.75" customHeight="1"/>
    <row r="1624" ht="12.75" customHeight="1"/>
    <row r="1625" ht="12.75" customHeight="1"/>
    <row r="1626" ht="12.75" customHeight="1"/>
    <row r="1627" ht="12.75" customHeight="1"/>
    <row r="1628" ht="12.75" customHeight="1"/>
    <row r="1629" ht="12.75" customHeight="1"/>
    <row r="1630" ht="12.75" customHeight="1"/>
    <row r="1631" ht="12.75" customHeight="1"/>
    <row r="1632" ht="12.75" customHeight="1"/>
    <row r="1633" ht="12.75" customHeight="1"/>
    <row r="1634" ht="12.75" customHeight="1"/>
    <row r="1635" ht="12.75" customHeight="1"/>
    <row r="1636" ht="12.75" customHeight="1"/>
    <row r="1637" ht="12.75" customHeight="1"/>
    <row r="1638" ht="12.75" customHeight="1"/>
    <row r="1639" ht="12.75" customHeight="1"/>
    <row r="1640" ht="12.75" customHeight="1"/>
    <row r="1641" ht="12.75" customHeight="1"/>
    <row r="1642" ht="12.75" customHeight="1"/>
    <row r="1643" ht="12.75" customHeight="1"/>
    <row r="1644" ht="12.75" customHeight="1"/>
    <row r="1645" ht="12.75" customHeight="1"/>
    <row r="1646" ht="12.75" customHeight="1"/>
    <row r="1647" ht="12.75" customHeight="1"/>
    <row r="1648" ht="12.75" customHeight="1"/>
    <row r="1649" ht="12.75" customHeight="1"/>
    <row r="1650" ht="12.75" customHeight="1"/>
    <row r="1651" ht="12.75" customHeight="1"/>
    <row r="1652" ht="12.75" customHeight="1"/>
    <row r="1653" ht="12.75" customHeight="1"/>
    <row r="1654" ht="12.75" customHeight="1"/>
    <row r="1655" ht="12.75" customHeight="1"/>
    <row r="1656" ht="12.75" customHeight="1"/>
    <row r="1657" ht="12.75" customHeight="1"/>
    <row r="1658" ht="12.75" customHeight="1"/>
    <row r="1659" ht="12.75" customHeight="1"/>
    <row r="1660" ht="12.75" customHeight="1"/>
    <row r="1661" ht="12.75" customHeight="1"/>
    <row r="1662" ht="12.75" customHeight="1"/>
    <row r="1663" ht="12.75" customHeight="1"/>
    <row r="1664" ht="12.75" customHeight="1"/>
    <row r="1665" ht="12.75" customHeight="1"/>
    <row r="1666" ht="12.75" customHeight="1"/>
    <row r="1667" ht="12.75" customHeight="1"/>
    <row r="1668" ht="12.75" customHeight="1"/>
    <row r="1669" ht="12.75" customHeight="1"/>
    <row r="1670" ht="12.75" customHeight="1"/>
    <row r="1671" ht="12.75" customHeight="1"/>
    <row r="1672" ht="12.75" customHeight="1"/>
    <row r="1673" ht="12.75" customHeight="1"/>
    <row r="1674" ht="12.75" customHeight="1"/>
    <row r="1675" ht="12.75" customHeight="1"/>
    <row r="1676" ht="12.75" customHeight="1"/>
    <row r="1677" ht="12.75" customHeight="1"/>
    <row r="1678" ht="12.75" customHeight="1"/>
    <row r="1679" ht="12.75" customHeight="1"/>
    <row r="1680" ht="12.75" customHeight="1"/>
    <row r="1681" ht="12.75" customHeight="1"/>
    <row r="1682" ht="12.75" customHeight="1"/>
    <row r="1683" ht="12.75" customHeight="1"/>
    <row r="1684" ht="12.75" customHeight="1"/>
    <row r="1685" ht="12.75" customHeight="1"/>
    <row r="1686" ht="12.75" customHeight="1"/>
    <row r="1687" ht="12.75" customHeight="1"/>
    <row r="1688" ht="12.75" customHeight="1"/>
    <row r="1689" ht="12.75" customHeight="1"/>
    <row r="1690" ht="12.75" customHeight="1"/>
    <row r="1691" ht="12.75" customHeight="1"/>
    <row r="1692" ht="12.75" customHeight="1"/>
    <row r="1693" ht="12.75" customHeight="1"/>
    <row r="1694" ht="12.75" customHeight="1"/>
    <row r="1695" ht="12.75" customHeight="1"/>
    <row r="1696" ht="12.75" customHeight="1"/>
    <row r="1697" ht="12.75" customHeight="1"/>
    <row r="1698" ht="12.75" customHeight="1"/>
    <row r="1699" ht="12.75" customHeight="1"/>
    <row r="1700" ht="12.75" customHeight="1"/>
    <row r="1701" ht="12.75" customHeight="1"/>
    <row r="1702" ht="12.75" customHeight="1"/>
    <row r="1703" ht="12.75" customHeight="1"/>
    <row r="1704" ht="12.75" customHeight="1"/>
    <row r="1705" ht="12.75" customHeight="1"/>
    <row r="1706" ht="12.75" customHeight="1"/>
    <row r="1707" ht="12.75" customHeight="1"/>
    <row r="1708" ht="12.75" customHeight="1"/>
    <row r="1709" ht="12.75" customHeight="1"/>
    <row r="1710" ht="12.75" customHeight="1"/>
    <row r="1711" ht="12.75" customHeight="1"/>
    <row r="1712" ht="12.75" customHeight="1"/>
    <row r="1713" ht="12.75" customHeight="1"/>
    <row r="1714" ht="12.75" customHeight="1"/>
    <row r="1715" ht="12.75" customHeight="1"/>
  </sheetData>
  <phoneticPr fontId="0" type="noConversion"/>
  <dataValidations count="1">
    <dataValidation type="custom" allowBlank="1" showInputMessage="1" showErrorMessage="1" sqref="AX55:AX129 AX131:AX65536 AT1:BH17 AT52:AV53 AC59:AE131 A52:B1048576 L56:AL58 C1:C50 F52:F1048576 E1:E50 H52:H1048576 E52:E65536 G1:G50 J52:J1048576 G52:G65536 I1:I50 AY19:BH50 I52:I65536 AK90:AK65536 L52:Y53 K1:Y50 L59:AB65536 K52:K65536 AJ59:AL89 AU104:AV104 AY52:BH65536 AF59:AI65536 AL91:AL65536 AJ91:AJ65536 AC133:AE65536 C52:C65536 Z52:AS53 L54:AV55 AT91 AT105:AV65536 AT92:AV103 AU56:AV91 AW52:AX53 D1:D50 AM56:AS65536 AW54:AW65536 AW18:BH18 AT56:AT89 BO1:IX50 AT18:AV50 D52:D1048576 AW19:AX50 Z1:AS50 J1:J50 H1:H50 F1:F50 A1:B50 BO52:IX1048576">
      <formula1>-1</formula1>
    </dataValidation>
  </dataValidations>
  <printOptions horizontalCentered="1"/>
  <pageMargins left="0" right="0" top="0" bottom="0" header="0" footer="0"/>
  <pageSetup paperSize="5" orientation="landscape" horizontalDpi="300" verticalDpi="4294967292" r:id="rId1"/>
  <headerFooter alignWithMargins="0">
    <oddFooter>&amp;R&amp;"Arial,Regular"&amp;8&amp;D
&amp;F/&amp;A</oddFooter>
  </headerFooter>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syncVertical="1" syncRef="AG9" transitionEvaluation="1" codeName="Sheet12">
    <pageSetUpPr fitToPage="1"/>
  </sheetPr>
  <dimension ref="A1:BM96"/>
  <sheetViews>
    <sheetView showGridLines="0" zoomScaleNormal="100" zoomScaleSheetLayoutView="100" workbookViewId="0">
      <pane xSplit="7" ySplit="8" topLeftCell="AG9" activePane="bottomRight" state="frozen"/>
      <selection activeCell="CG130" sqref="CG130"/>
      <selection pane="topRight" activeCell="CG130" sqref="CG130"/>
      <selection pane="bottomLeft" activeCell="CG130" sqref="CG130"/>
      <selection pane="bottomRight" activeCell="AW13" sqref="AW13"/>
    </sheetView>
  </sheetViews>
  <sheetFormatPr defaultColWidth="9.75" defaultRowHeight="12" outlineLevelRow="1" outlineLevelCol="1"/>
  <cols>
    <col min="1" max="1" width="38.625" customWidth="1"/>
    <col min="2" max="2" width="2.625" hidden="1" customWidth="1" outlineLevel="1"/>
    <col min="3" max="3" width="8.75" hidden="1" customWidth="1" outlineLevel="1"/>
    <col min="4" max="4" width="1.5" hidden="1" customWidth="1" outlineLevel="1"/>
    <col min="5" max="5" width="9.875" hidden="1" customWidth="1" outlineLevel="1"/>
    <col min="6" max="6" width="2.125" hidden="1" customWidth="1" outlineLevel="1"/>
    <col min="7" max="7" width="9.875" hidden="1" customWidth="1" outlineLevel="1"/>
    <col min="8" max="8" width="2.125" hidden="1" customWidth="1" outlineLevel="1" collapsed="1"/>
    <col min="9" max="9" width="8.75" hidden="1" customWidth="1" outlineLevel="1" collapsed="1"/>
    <col min="10" max="10" width="1.875" hidden="1" customWidth="1" outlineLevel="1"/>
    <col min="11" max="11" width="8.75" hidden="1" customWidth="1" outlineLevel="1"/>
    <col min="12" max="12" width="1.25" hidden="1" customWidth="1" outlineLevel="1" collapsed="1"/>
    <col min="13" max="13" width="8.75" hidden="1" customWidth="1" outlineLevel="1"/>
    <col min="14" max="14" width="1.25" hidden="1" customWidth="1" outlineLevel="1"/>
    <col min="15" max="15" width="8.75" hidden="1" customWidth="1" outlineLevel="1"/>
    <col min="16" max="16" width="1.25" hidden="1" customWidth="1" outlineLevel="1"/>
    <col min="17" max="17" width="8.75" hidden="1" customWidth="1" outlineLevel="1"/>
    <col min="18" max="18" width="1.25" hidden="1" customWidth="1" outlineLevel="1"/>
    <col min="19" max="19" width="8.75" hidden="1" customWidth="1" outlineLevel="1"/>
    <col min="20" max="20" width="1.25" hidden="1" customWidth="1" outlineLevel="1"/>
    <col min="21" max="21" width="8.75" hidden="1" customWidth="1" outlineLevel="1"/>
    <col min="22" max="22" width="1.25" hidden="1" customWidth="1" outlineLevel="1"/>
    <col min="23" max="23" width="8.75" hidden="1" customWidth="1" outlineLevel="1"/>
    <col min="24" max="24" width="1.25" hidden="1" customWidth="1" outlineLevel="1"/>
    <col min="25" max="25" width="8.75" hidden="1" customWidth="1" outlineLevel="1"/>
    <col min="26" max="26" width="1.125" hidden="1" customWidth="1" outlineLevel="1"/>
    <col min="27" max="27" width="8.75" hidden="1" customWidth="1" outlineLevel="1"/>
    <col min="28" max="28" width="1.125" hidden="1" customWidth="1" outlineLevel="1"/>
    <col min="29" max="29" width="7.75" hidden="1" customWidth="1" outlineLevel="1"/>
    <col min="30" max="30" width="1.125" hidden="1" customWidth="1" outlineLevel="1"/>
    <col min="31" max="31" width="7.75" hidden="1" customWidth="1" outlineLevel="1"/>
    <col min="32" max="32" width="1.125" hidden="1" customWidth="1" outlineLevel="1"/>
    <col min="33" max="33" width="7.625" customWidth="1" collapsed="1"/>
    <col min="34" max="34" width="1.125" customWidth="1"/>
    <col min="35" max="35" width="7.25" customWidth="1"/>
    <col min="36" max="36" width="1.125" customWidth="1"/>
    <col min="37" max="37" width="7.125" customWidth="1"/>
    <col min="38" max="38" width="1.125" customWidth="1"/>
    <col min="39" max="39" width="6.75" customWidth="1"/>
    <col min="40" max="40" width="1.125" customWidth="1"/>
    <col min="41" max="41" width="7.125" customWidth="1"/>
    <col min="42" max="42" width="1.125" customWidth="1"/>
    <col min="43" max="43" width="6.875" customWidth="1"/>
    <col min="44" max="44" width="1.125" customWidth="1"/>
    <col min="45" max="45" width="7.125" customWidth="1"/>
    <col min="46" max="46" width="1.125" customWidth="1"/>
    <col min="47" max="47" width="7.125" customWidth="1"/>
    <col min="48" max="48" width="1.125" customWidth="1"/>
    <col min="49" max="49" width="6.875" customWidth="1"/>
    <col min="50" max="50" width="1.25" customWidth="1"/>
    <col min="51" max="51" width="7" customWidth="1"/>
    <col min="52" max="52" width="0.875" customWidth="1"/>
    <col min="53" max="53" width="8.375" customWidth="1"/>
    <col min="54" max="54" width="0.875" hidden="1" customWidth="1" outlineLevel="1"/>
    <col min="55" max="55" width="8.25" hidden="1" customWidth="1" outlineLevel="1"/>
    <col min="56" max="56" width="0.875" hidden="1" customWidth="1" outlineLevel="1"/>
    <col min="57" max="57" width="8.25" hidden="1" customWidth="1" outlineLevel="1"/>
    <col min="58" max="58" width="8.75" customWidth="1" collapsed="1"/>
    <col min="59" max="59" width="65.25" hidden="1" customWidth="1" outlineLevel="1"/>
    <col min="60" max="60" width="4.75" hidden="1" customWidth="1" outlineLevel="1"/>
    <col min="61" max="64" width="9.75" hidden="1" customWidth="1" outlineLevel="1"/>
    <col min="65" max="65" width="9.75" collapsed="1"/>
  </cols>
  <sheetData>
    <row r="1" spans="1:58" ht="12.75">
      <c r="A1" s="10" t="s">
        <v>85</v>
      </c>
      <c r="B1" s="1"/>
      <c r="C1" s="1"/>
      <c r="D1" s="1"/>
      <c r="E1" s="1"/>
      <c r="F1" s="51"/>
      <c r="G1" s="1"/>
      <c r="H1" s="1"/>
      <c r="I1" s="1"/>
      <c r="J1" s="1"/>
      <c r="K1" s="1"/>
      <c r="L1" s="1"/>
      <c r="M1" s="1"/>
      <c r="N1" s="1"/>
      <c r="O1" s="1"/>
      <c r="P1" s="1"/>
      <c r="Q1" s="1"/>
      <c r="R1" s="1"/>
      <c r="S1" s="1"/>
      <c r="T1" s="1"/>
      <c r="U1" s="1"/>
      <c r="V1" s="1"/>
      <c r="W1" s="1"/>
      <c r="X1" s="1"/>
      <c r="Y1" s="1"/>
      <c r="Z1" s="51"/>
      <c r="AA1" s="1"/>
      <c r="AB1" s="51"/>
      <c r="AC1" s="538"/>
      <c r="AD1" s="51"/>
      <c r="AE1" s="538"/>
      <c r="AF1" s="51"/>
      <c r="AG1" s="538"/>
      <c r="AH1" s="51"/>
      <c r="AI1" s="538"/>
      <c r="AJ1" s="538"/>
      <c r="AK1" s="538"/>
      <c r="AL1" s="538"/>
      <c r="AM1" s="538"/>
      <c r="AN1" s="538"/>
      <c r="AO1" s="538"/>
      <c r="AP1" s="538"/>
      <c r="AQ1" s="538"/>
      <c r="AR1" s="538"/>
      <c r="AS1" s="538"/>
      <c r="AT1" s="538"/>
      <c r="AU1" s="538"/>
      <c r="AV1" s="538"/>
      <c r="AW1" s="538"/>
      <c r="AX1" s="538"/>
      <c r="AY1" s="538"/>
      <c r="AZ1" s="538"/>
      <c r="BA1" s="538"/>
      <c r="BB1" s="538"/>
      <c r="BC1" s="538"/>
      <c r="BD1" s="538"/>
      <c r="BE1" s="538"/>
      <c r="BF1" s="538"/>
    </row>
    <row r="2" spans="1:58" ht="12.75">
      <c r="A2" s="106" t="s">
        <v>80</v>
      </c>
      <c r="B2" s="72"/>
      <c r="C2" s="72"/>
      <c r="D2" s="72"/>
      <c r="E2" s="72"/>
      <c r="F2" s="72"/>
      <c r="G2" s="72"/>
      <c r="H2" s="72"/>
      <c r="I2" s="72"/>
      <c r="J2" s="72"/>
      <c r="K2" s="72"/>
      <c r="L2" s="72"/>
      <c r="M2" s="72"/>
      <c r="N2" s="72"/>
      <c r="O2" s="72"/>
      <c r="P2" s="72"/>
      <c r="Q2" s="72"/>
      <c r="R2" s="72"/>
      <c r="S2" s="72"/>
      <c r="T2" s="72"/>
      <c r="U2" s="72"/>
      <c r="V2" s="72"/>
      <c r="W2" s="72"/>
      <c r="X2" s="72"/>
      <c r="Y2" s="72"/>
      <c r="Z2" s="72"/>
      <c r="AA2" s="72"/>
      <c r="AB2" s="72"/>
      <c r="AC2" s="539"/>
      <c r="AD2" s="72"/>
      <c r="AE2" s="539"/>
      <c r="AF2" s="72"/>
      <c r="AG2" s="539"/>
      <c r="AH2" s="72"/>
      <c r="AI2" s="539"/>
      <c r="AJ2" s="539"/>
      <c r="AK2" s="539"/>
      <c r="AL2" s="539"/>
      <c r="AM2" s="539"/>
      <c r="AN2" s="539"/>
      <c r="AO2" s="539"/>
      <c r="AP2" s="539"/>
      <c r="AQ2" s="539"/>
      <c r="AR2" s="539"/>
      <c r="AS2" s="539"/>
      <c r="AT2" s="539"/>
      <c r="AU2" s="539"/>
      <c r="AV2" s="539"/>
      <c r="AW2" s="539"/>
      <c r="AX2" s="539"/>
      <c r="AY2" s="539"/>
      <c r="AZ2" s="539"/>
      <c r="BA2" s="539"/>
      <c r="BB2" s="539"/>
      <c r="BC2" s="539"/>
      <c r="BD2" s="954"/>
      <c r="BE2" s="954"/>
      <c r="BF2" s="954"/>
    </row>
    <row r="3" spans="1:58" ht="12.75">
      <c r="A3" s="136" t="s">
        <v>160</v>
      </c>
      <c r="B3" s="135"/>
      <c r="C3" s="135"/>
      <c r="D3" s="135"/>
      <c r="E3" s="135"/>
      <c r="F3" s="135"/>
      <c r="G3" s="135"/>
      <c r="H3" s="135"/>
      <c r="I3" s="135"/>
      <c r="J3" s="135"/>
      <c r="K3" s="135"/>
      <c r="L3" s="135"/>
      <c r="M3" s="135"/>
      <c r="N3" s="135"/>
      <c r="O3" s="135"/>
      <c r="P3" s="135"/>
      <c r="Q3" s="135"/>
      <c r="R3" s="135"/>
      <c r="S3" s="135"/>
      <c r="T3" s="135"/>
      <c r="U3" s="135"/>
      <c r="V3" s="135"/>
      <c r="W3" s="135"/>
      <c r="X3" s="135"/>
      <c r="Y3" s="135"/>
      <c r="Z3" s="135"/>
      <c r="AA3" s="135"/>
      <c r="AB3" s="135"/>
      <c r="AC3" s="540"/>
      <c r="AD3" s="135"/>
      <c r="AE3" s="540"/>
      <c r="AF3" s="135"/>
      <c r="AG3" s="540"/>
      <c r="AH3" s="135"/>
      <c r="AI3" s="540"/>
      <c r="AJ3" s="540"/>
      <c r="AK3" s="540"/>
      <c r="AL3" s="540"/>
      <c r="AM3" s="540"/>
      <c r="AN3" s="540"/>
      <c r="AO3" s="540"/>
      <c r="AP3" s="540"/>
      <c r="AQ3" s="540"/>
      <c r="AR3" s="540"/>
      <c r="AS3" s="540"/>
      <c r="AT3" s="540"/>
      <c r="AU3" s="540"/>
      <c r="AV3" s="540"/>
      <c r="AW3" s="540"/>
      <c r="AX3" s="540"/>
      <c r="AY3" s="540"/>
      <c r="AZ3" s="540"/>
      <c r="BA3" s="540"/>
      <c r="BB3" s="540"/>
      <c r="BC3" s="540"/>
      <c r="BD3" s="540"/>
      <c r="BE3" s="540"/>
      <c r="BF3" s="540"/>
    </row>
    <row r="4" spans="1:58" ht="12.75">
      <c r="A4" s="136" t="s">
        <v>158</v>
      </c>
      <c r="B4" s="135"/>
      <c r="C4" s="135"/>
      <c r="D4" s="135"/>
      <c r="E4" s="135"/>
      <c r="F4" s="135"/>
      <c r="G4" s="135"/>
      <c r="H4" s="135"/>
      <c r="I4" s="135"/>
      <c r="J4" s="135"/>
      <c r="K4" s="135"/>
      <c r="L4" s="135"/>
      <c r="M4" s="135"/>
      <c r="N4" s="135"/>
      <c r="O4" s="135"/>
      <c r="P4" s="135"/>
      <c r="Q4" s="135"/>
      <c r="R4" s="135"/>
      <c r="S4" s="135"/>
      <c r="T4" s="135"/>
      <c r="U4" s="135"/>
      <c r="V4" s="135"/>
      <c r="W4" s="135"/>
      <c r="X4" s="135"/>
      <c r="Y4" s="135"/>
      <c r="Z4" s="135"/>
      <c r="AA4" s="135"/>
      <c r="AB4" s="135"/>
      <c r="AC4" s="540"/>
      <c r="AD4" s="135"/>
      <c r="AE4" s="540"/>
      <c r="AF4" s="135"/>
      <c r="AG4" s="540"/>
      <c r="AH4" s="135"/>
      <c r="AI4" s="540"/>
      <c r="AJ4" s="540"/>
      <c r="AK4" s="540"/>
      <c r="AL4" s="540"/>
      <c r="AM4" s="540"/>
      <c r="AN4" s="540"/>
      <c r="AO4" s="540"/>
      <c r="AP4" s="540"/>
      <c r="AQ4" s="540"/>
      <c r="AR4" s="540"/>
      <c r="AS4" s="540"/>
      <c r="AT4" s="540"/>
      <c r="AU4" s="540"/>
      <c r="AV4" s="540"/>
      <c r="AW4" s="540"/>
      <c r="AX4" s="540"/>
      <c r="AY4" s="540"/>
      <c r="AZ4" s="540"/>
      <c r="BA4" s="540"/>
      <c r="BB4" s="540"/>
      <c r="BC4" s="540"/>
      <c r="BD4" s="540"/>
      <c r="BE4" s="540"/>
      <c r="BF4" s="540"/>
    </row>
    <row r="5" spans="1:58" ht="12.75" hidden="1" outlineLevel="1">
      <c r="A5" s="2"/>
      <c r="B5" s="1"/>
      <c r="C5" s="1"/>
      <c r="D5" s="1"/>
      <c r="E5" s="1"/>
      <c r="F5" s="51"/>
      <c r="G5" s="1"/>
      <c r="H5" s="1"/>
      <c r="I5" s="1"/>
      <c r="J5" s="1"/>
      <c r="K5" s="1"/>
      <c r="L5" s="1"/>
      <c r="M5" s="1"/>
      <c r="N5" s="1"/>
      <c r="O5" s="1"/>
      <c r="P5" s="1"/>
      <c r="Q5" s="1"/>
      <c r="R5" s="1"/>
      <c r="S5" s="1"/>
      <c r="T5" s="1"/>
      <c r="U5" s="1"/>
      <c r="V5" s="1"/>
      <c r="W5" s="1"/>
      <c r="X5" s="1"/>
      <c r="Y5" s="1"/>
      <c r="Z5" s="51"/>
      <c r="AA5" s="1"/>
      <c r="AB5" s="51"/>
      <c r="AC5" s="538"/>
      <c r="AD5" s="51"/>
      <c r="AE5" s="538"/>
      <c r="AF5" s="51"/>
      <c r="AG5" s="538"/>
      <c r="AH5" s="51"/>
      <c r="AI5" s="538"/>
      <c r="AJ5" s="538"/>
      <c r="AK5" s="538"/>
      <c r="AL5" s="538"/>
      <c r="AM5" s="538"/>
      <c r="AN5" s="538"/>
      <c r="AO5" s="538"/>
      <c r="AP5" s="538"/>
      <c r="AQ5" s="538"/>
      <c r="AR5" s="538"/>
      <c r="AS5" s="538"/>
      <c r="AT5" s="538"/>
      <c r="AU5" s="538"/>
      <c r="AV5" s="538"/>
      <c r="AW5" s="538"/>
      <c r="AX5" s="538"/>
      <c r="AY5" s="538"/>
      <c r="AZ5" s="538"/>
      <c r="BA5" s="538"/>
      <c r="BB5" s="538"/>
      <c r="BC5" s="538"/>
      <c r="BD5" s="538"/>
      <c r="BE5" s="538"/>
      <c r="BF5" s="538"/>
    </row>
    <row r="6" spans="1:58" ht="3.95" customHeight="1" collapsed="1">
      <c r="A6" s="7"/>
      <c r="B6" s="8"/>
      <c r="C6" s="8"/>
      <c r="D6" s="8"/>
      <c r="E6" s="138"/>
      <c r="F6" s="138"/>
      <c r="G6" s="138"/>
      <c r="H6" s="138"/>
      <c r="I6" s="139"/>
      <c r="J6" s="139"/>
      <c r="K6" s="139"/>
      <c r="L6" s="139"/>
      <c r="M6" s="140" t="s">
        <v>83</v>
      </c>
      <c r="N6" s="140"/>
      <c r="O6" s="140"/>
      <c r="P6" s="138"/>
      <c r="Q6" s="140"/>
      <c r="R6" s="138"/>
      <c r="S6" s="138"/>
      <c r="T6" s="138"/>
      <c r="U6" s="138"/>
      <c r="V6" s="138"/>
      <c r="W6" s="138"/>
      <c r="X6" s="138"/>
      <c r="Y6" s="138"/>
      <c r="Z6" s="138"/>
      <c r="AA6" s="138"/>
      <c r="AB6" s="138"/>
      <c r="AC6" s="541"/>
      <c r="AD6" s="138"/>
      <c r="AE6" s="541"/>
      <c r="AF6" s="138"/>
      <c r="AG6" s="541"/>
      <c r="AH6" s="138"/>
      <c r="AI6" s="541"/>
      <c r="AJ6" s="541"/>
      <c r="AK6" s="541"/>
      <c r="AL6" s="541"/>
      <c r="AM6" s="541"/>
      <c r="AN6" s="541"/>
      <c r="AO6" s="541"/>
      <c r="AP6" s="541"/>
      <c r="AQ6" s="541"/>
      <c r="AR6" s="541"/>
      <c r="AS6" s="541"/>
      <c r="AT6" s="541"/>
      <c r="AU6" s="541"/>
      <c r="AV6" s="541"/>
      <c r="AW6" s="541"/>
      <c r="AX6" s="541"/>
      <c r="AY6" s="541"/>
      <c r="AZ6" s="541"/>
      <c r="BA6" s="541"/>
      <c r="BB6" s="541"/>
      <c r="BC6" s="541"/>
      <c r="BD6" s="955"/>
      <c r="BE6" s="955"/>
      <c r="BF6" s="955"/>
    </row>
    <row r="7" spans="1:58" ht="12.75">
      <c r="A7" s="2"/>
      <c r="B7" s="1"/>
      <c r="C7" s="1"/>
      <c r="D7" s="1"/>
      <c r="E7" s="1"/>
      <c r="F7" s="51"/>
      <c r="G7" s="1"/>
      <c r="H7" s="1"/>
      <c r="I7" s="1"/>
      <c r="J7" s="1"/>
      <c r="K7" s="1"/>
      <c r="L7" s="1"/>
      <c r="M7" s="1"/>
      <c r="N7" s="1"/>
      <c r="O7" s="1"/>
      <c r="P7" s="1"/>
      <c r="Q7" s="1"/>
      <c r="R7" s="1"/>
      <c r="S7" s="1"/>
      <c r="T7" s="1"/>
      <c r="U7" s="1"/>
      <c r="V7" s="1"/>
      <c r="W7" s="1"/>
      <c r="X7" s="1"/>
      <c r="Y7" s="1"/>
      <c r="Z7" s="51"/>
      <c r="AA7" s="1"/>
      <c r="AB7" s="51"/>
      <c r="AC7" s="538"/>
      <c r="AD7" s="51"/>
      <c r="AE7" s="538"/>
      <c r="AF7" s="51"/>
      <c r="AG7" s="538"/>
      <c r="AH7" s="51"/>
      <c r="AI7" s="538"/>
      <c r="AJ7" s="538"/>
      <c r="AK7" s="538"/>
      <c r="AL7" s="538"/>
      <c r="AM7" s="538"/>
      <c r="AN7" s="538"/>
      <c r="AO7" s="538"/>
      <c r="AP7" s="538"/>
      <c r="AQ7" s="538"/>
      <c r="AR7" s="538"/>
      <c r="AS7" s="538"/>
      <c r="AT7" s="538"/>
      <c r="AU7" s="538"/>
      <c r="AV7" s="538"/>
      <c r="AW7" s="538"/>
      <c r="AX7" s="538"/>
      <c r="AY7" s="538"/>
      <c r="AZ7" s="538"/>
      <c r="BA7" s="538"/>
      <c r="BB7" s="538"/>
      <c r="BC7" s="538"/>
      <c r="BD7" s="538"/>
      <c r="BE7" s="538"/>
      <c r="BF7" s="538"/>
    </row>
    <row r="8" spans="1:58" ht="12.75">
      <c r="A8" s="3"/>
      <c r="B8" s="3"/>
      <c r="C8" s="237">
        <v>1995</v>
      </c>
      <c r="D8" s="3"/>
      <c r="E8" s="204" t="s">
        <v>152</v>
      </c>
      <c r="F8" s="205"/>
      <c r="G8" s="204" t="s">
        <v>153</v>
      </c>
      <c r="H8" s="206"/>
      <c r="I8" s="237" t="s">
        <v>154</v>
      </c>
      <c r="J8" s="206"/>
      <c r="K8" s="237" t="s">
        <v>155</v>
      </c>
      <c r="L8" s="3"/>
      <c r="M8" s="237" t="s">
        <v>436</v>
      </c>
      <c r="N8" s="3"/>
      <c r="O8" s="237" t="s">
        <v>520</v>
      </c>
      <c r="P8" s="3"/>
      <c r="Q8" s="237" t="s">
        <v>568</v>
      </c>
      <c r="R8" s="3"/>
      <c r="S8" s="383" t="s">
        <v>585</v>
      </c>
      <c r="T8" s="206"/>
      <c r="U8" s="383" t="s">
        <v>691</v>
      </c>
      <c r="V8" s="673"/>
      <c r="W8" s="383" t="s">
        <v>260</v>
      </c>
      <c r="X8" s="673"/>
      <c r="Y8" s="627" t="s">
        <v>259</v>
      </c>
      <c r="Z8" s="204"/>
      <c r="AA8" s="627" t="s">
        <v>258</v>
      </c>
      <c r="AB8" s="204"/>
      <c r="AC8" s="627" t="s">
        <v>257</v>
      </c>
      <c r="AD8" s="204"/>
      <c r="AE8" s="627" t="s">
        <v>747</v>
      </c>
      <c r="AF8" s="204"/>
      <c r="AG8" s="627" t="s">
        <v>748</v>
      </c>
      <c r="AH8" s="204"/>
      <c r="AI8" s="383" t="s">
        <v>141</v>
      </c>
      <c r="AJ8" s="542"/>
      <c r="AK8" s="383" t="s">
        <v>479</v>
      </c>
      <c r="AL8" s="542"/>
      <c r="AM8" s="383" t="s">
        <v>190</v>
      </c>
      <c r="AN8" s="542"/>
      <c r="AO8" s="383" t="s">
        <v>187</v>
      </c>
      <c r="AP8" s="542"/>
      <c r="AQ8" s="383" t="s">
        <v>788</v>
      </c>
      <c r="AR8" s="542"/>
      <c r="AS8" s="383" t="s">
        <v>800</v>
      </c>
      <c r="AT8" s="542"/>
      <c r="AU8" s="542" t="s">
        <v>378</v>
      </c>
      <c r="AV8" s="542"/>
      <c r="AW8" s="542" t="s">
        <v>188</v>
      </c>
      <c r="AX8" s="542"/>
      <c r="AY8" s="542" t="s">
        <v>787</v>
      </c>
      <c r="AZ8" s="542"/>
      <c r="BA8" s="542" t="s">
        <v>797</v>
      </c>
      <c r="BB8" s="542"/>
      <c r="BC8" s="542" t="s">
        <v>805</v>
      </c>
      <c r="BD8" s="542"/>
      <c r="BE8" s="542" t="s">
        <v>856</v>
      </c>
      <c r="BF8" s="956"/>
    </row>
    <row r="9" spans="1:58" ht="9.75" customHeight="1">
      <c r="A9" s="1"/>
      <c r="B9" s="1"/>
      <c r="C9" s="1"/>
      <c r="D9" s="1"/>
      <c r="E9" s="1"/>
      <c r="F9" s="51"/>
      <c r="G9" s="1"/>
      <c r="H9" s="1"/>
      <c r="I9" s="1"/>
      <c r="J9" s="1"/>
      <c r="K9" s="1"/>
      <c r="L9" s="1"/>
      <c r="M9" s="1"/>
      <c r="N9" s="1"/>
      <c r="O9" s="1"/>
      <c r="P9" s="1"/>
      <c r="Q9" s="384"/>
      <c r="R9" s="1"/>
      <c r="S9" s="384" t="s">
        <v>669</v>
      </c>
      <c r="T9" s="1"/>
      <c r="U9" s="384" t="s">
        <v>690</v>
      </c>
      <c r="V9" s="1"/>
      <c r="W9" s="1"/>
      <c r="X9" s="1"/>
      <c r="Y9" s="1"/>
      <c r="Z9" s="51"/>
      <c r="AA9" s="1"/>
      <c r="AB9" s="51"/>
      <c r="AC9" s="538"/>
      <c r="AD9" s="51"/>
      <c r="AE9" s="538"/>
      <c r="AF9" s="51"/>
      <c r="AG9" s="538"/>
      <c r="AH9" s="51"/>
      <c r="AI9" s="538"/>
      <c r="AJ9" s="538"/>
      <c r="AK9" s="538"/>
      <c r="AL9" s="538"/>
      <c r="AM9" s="538"/>
      <c r="AN9" s="538"/>
      <c r="AO9" s="538"/>
      <c r="AP9" s="538"/>
      <c r="AQ9" s="538"/>
      <c r="AR9" s="538"/>
      <c r="AS9" s="538"/>
      <c r="AT9" s="538"/>
      <c r="AU9" s="538"/>
      <c r="AV9" s="538"/>
      <c r="AW9" s="538"/>
      <c r="AX9" s="538"/>
      <c r="AY9" s="538"/>
      <c r="AZ9" s="538"/>
      <c r="BA9" s="538"/>
      <c r="BB9" s="538"/>
      <c r="BC9" s="538"/>
      <c r="BD9" s="538"/>
      <c r="BE9" s="538"/>
      <c r="BF9" s="538"/>
    </row>
    <row r="10" spans="1:58" ht="12.75">
      <c r="A10" s="4" t="s">
        <v>62</v>
      </c>
      <c r="B10" s="1"/>
      <c r="C10" s="6">
        <f>'yrP&amp;L'!B45</f>
        <v>-1.3340000000000449</v>
      </c>
      <c r="D10" s="1"/>
      <c r="E10" s="6">
        <f>'yrP&amp;L'!C45</f>
        <v>5.9249999999999643</v>
      </c>
      <c r="F10" s="53"/>
      <c r="G10" s="6">
        <f>'yrP&amp;L'!D45</f>
        <v>19.536999999999992</v>
      </c>
      <c r="H10" s="6"/>
      <c r="I10" s="6">
        <f>'yrP&amp;L'!E45</f>
        <v>54.118000000000002</v>
      </c>
      <c r="J10" s="6"/>
      <c r="K10" s="359">
        <f>'qtrP&amp;L'!S124</f>
        <v>90.660000000000039</v>
      </c>
      <c r="L10" s="6"/>
      <c r="M10" s="6">
        <f>'qtrP&amp;L'!W124</f>
        <v>93.757999999999953</v>
      </c>
      <c r="N10" s="6"/>
      <c r="O10" s="6">
        <f>'yrP&amp;L'!H45</f>
        <v>105.49500000000018</v>
      </c>
      <c r="P10" s="6"/>
      <c r="Q10" s="325">
        <f>'yrP&amp;L'!I45</f>
        <v>88.735000000000028</v>
      </c>
      <c r="R10" s="6"/>
      <c r="S10" s="325">
        <f>'yrP&amp;L'!J45</f>
        <v>83.107999999999919</v>
      </c>
      <c r="T10" s="6"/>
      <c r="U10" s="325">
        <f>'yrP&amp;L'!K45</f>
        <v>224.23200000000003</v>
      </c>
      <c r="V10" s="6"/>
      <c r="W10" s="6">
        <f>'yrP&amp;L'!L45</f>
        <v>293.71100000000001</v>
      </c>
      <c r="X10" s="6"/>
      <c r="Y10" s="6">
        <f>'yrP&amp;L'!M45</f>
        <v>387.35899999999958</v>
      </c>
      <c r="Z10" s="53"/>
      <c r="AA10" s="6">
        <f>'yrP&amp;L'!N45</f>
        <v>400.01899999999961</v>
      </c>
      <c r="AB10" s="53"/>
      <c r="AC10" s="325">
        <f>'qtrP&amp;L'!BD144</f>
        <v>179.06100000000009</v>
      </c>
      <c r="AD10" s="53"/>
      <c r="AE10" s="325">
        <f>'qtrP&amp;L'!BH144</f>
        <v>169.02199999999999</v>
      </c>
      <c r="AF10" s="53"/>
      <c r="AG10" s="548">
        <v>140.64699999999999</v>
      </c>
      <c r="AH10" s="53"/>
      <c r="AI10" s="548">
        <v>151.70500000000001</v>
      </c>
      <c r="AJ10" s="325"/>
      <c r="AK10" s="548">
        <v>232.108</v>
      </c>
      <c r="AL10" s="325"/>
      <c r="AM10" s="548">
        <v>82.983000000000004</v>
      </c>
      <c r="AN10" s="325"/>
      <c r="AO10" s="548">
        <v>80.322000000000003</v>
      </c>
      <c r="AP10" s="325"/>
      <c r="AQ10" s="548">
        <f>'yrP&amp;L'!V45</f>
        <v>213.29099999999991</v>
      </c>
      <c r="AS10" s="2006">
        <v>212.44900000000001</v>
      </c>
      <c r="AU10" s="325">
        <f>'yrP&amp;L'!X45</f>
        <v>208.25689999999977</v>
      </c>
      <c r="AV10" s="325"/>
      <c r="AW10" s="325">
        <f>'yrP&amp;L'!Y45</f>
        <v>241.48208877209117</v>
      </c>
      <c r="AX10" s="325"/>
      <c r="AY10" s="325">
        <f>'yrP&amp;L'!Z45</f>
        <v>240.41765795851921</v>
      </c>
      <c r="AZ10" s="325"/>
      <c r="BA10" s="325">
        <f>'yrP&amp;L'!AA45</f>
        <v>230.19482822221167</v>
      </c>
      <c r="BB10" s="325"/>
      <c r="BC10" s="325">
        <f>'yrP&amp;L'!AB45</f>
        <v>219.4759076634794</v>
      </c>
      <c r="BD10" s="325"/>
      <c r="BE10" s="325">
        <f>'yrP&amp;L'!AC45</f>
        <v>202.75636056230348</v>
      </c>
      <c r="BF10" s="325"/>
    </row>
    <row r="11" spans="1:58" ht="12.75">
      <c r="A11" s="4" t="s">
        <v>63</v>
      </c>
      <c r="B11" s="1"/>
      <c r="C11" s="76">
        <v>6.2210000000000001</v>
      </c>
      <c r="D11" s="1"/>
      <c r="E11" s="100">
        <v>6.0869999999999997</v>
      </c>
      <c r="F11" s="272"/>
      <c r="G11" s="100">
        <v>7.3179999999999996</v>
      </c>
      <c r="H11" s="273"/>
      <c r="I11" s="100">
        <v>8.6110000000000007</v>
      </c>
      <c r="J11" s="273"/>
      <c r="K11" s="360">
        <v>12.198999999999998</v>
      </c>
      <c r="L11" s="73"/>
      <c r="M11" s="600">
        <f>'qtrP&amp;L'!W54</f>
        <v>23.2</v>
      </c>
      <c r="N11" s="600"/>
      <c r="O11" s="600">
        <f>'qtrP&amp;L'!AB54</f>
        <v>41.875</v>
      </c>
      <c r="P11" s="600"/>
      <c r="Q11" s="600">
        <f>'qtrP&amp;L'!AF54</f>
        <v>50.661000000000001</v>
      </c>
      <c r="R11" s="600"/>
      <c r="S11" s="601">
        <v>59.965000000000003</v>
      </c>
      <c r="T11" s="600"/>
      <c r="U11" s="601">
        <v>69.442999999999998</v>
      </c>
      <c r="V11" s="600"/>
      <c r="W11" s="599">
        <v>78.727999999999994</v>
      </c>
      <c r="X11" s="600"/>
      <c r="Y11" s="599">
        <v>88.033000000000001</v>
      </c>
      <c r="Z11" s="602"/>
      <c r="AA11" s="599">
        <f>'yrP&amp;L'!N28</f>
        <v>109.203</v>
      </c>
      <c r="AB11" s="602"/>
      <c r="AC11" s="601">
        <v>133.14099999999999</v>
      </c>
      <c r="AD11" s="602"/>
      <c r="AE11" s="601">
        <v>147.483</v>
      </c>
      <c r="AF11" s="602"/>
      <c r="AG11" s="601">
        <v>145.548</v>
      </c>
      <c r="AH11" s="602"/>
      <c r="AI11" s="601">
        <v>143.15600000000001</v>
      </c>
      <c r="AJ11" s="603"/>
      <c r="AK11" s="601">
        <v>128.39699999999999</v>
      </c>
      <c r="AL11" s="603"/>
      <c r="AM11" s="601">
        <v>134.047</v>
      </c>
      <c r="AN11" s="603"/>
      <c r="AO11" s="601">
        <v>142.351</v>
      </c>
      <c r="AP11" s="603"/>
      <c r="AQ11" s="601">
        <v>148.858</v>
      </c>
      <c r="AR11" s="603"/>
      <c r="AS11" s="948">
        <v>158.17400000000001</v>
      </c>
      <c r="AT11" s="603"/>
      <c r="AU11" s="603">
        <f>'yrP&amp;L'!X28</f>
        <v>167.42099999999999</v>
      </c>
      <c r="AV11" s="603"/>
      <c r="AW11" s="603">
        <f>'yrP&amp;L'!Y28</f>
        <v>178.04414514290619</v>
      </c>
      <c r="AX11" s="603"/>
      <c r="AY11" s="603">
        <f>'yrP&amp;L'!Z28</f>
        <v>178.83432486736163</v>
      </c>
      <c r="AZ11" s="603"/>
      <c r="BA11" s="603">
        <f>'yrP&amp;L'!AA28</f>
        <v>186.81987281625447</v>
      </c>
      <c r="BB11" s="603"/>
      <c r="BC11" s="603">
        <f>'yrP&amp;L'!AB28</f>
        <v>190.80631325444813</v>
      </c>
      <c r="BD11" s="603"/>
      <c r="BE11" s="603">
        <f>'yrP&amp;L'!AC28</f>
        <v>190.78373543323752</v>
      </c>
      <c r="BF11" s="603"/>
    </row>
    <row r="12" spans="1:58" ht="12.75">
      <c r="A12" s="4" t="s">
        <v>64</v>
      </c>
      <c r="B12" s="1"/>
      <c r="C12" s="68"/>
      <c r="D12" s="1"/>
      <c r="E12" s="100">
        <v>-1.8979999999999999</v>
      </c>
      <c r="F12" s="100"/>
      <c r="G12" s="100">
        <v>-0.496</v>
      </c>
      <c r="H12" s="100"/>
      <c r="I12" s="100">
        <v>-2.7530000000000001</v>
      </c>
      <c r="J12" s="100"/>
      <c r="K12" s="360">
        <v>-7.2140000000000004</v>
      </c>
      <c r="L12" s="73"/>
      <c r="M12" s="599">
        <v>-6.5720000000000001</v>
      </c>
      <c r="N12" s="600"/>
      <c r="O12" s="599">
        <v>6.5739999999999998</v>
      </c>
      <c r="P12" s="600"/>
      <c r="Q12" s="599">
        <v>2.7919999999999998</v>
      </c>
      <c r="R12" s="600"/>
      <c r="S12" s="601">
        <v>13.007999999999999</v>
      </c>
      <c r="T12" s="600"/>
      <c r="U12" s="601">
        <v>-17.087</v>
      </c>
      <c r="V12" s="600"/>
      <c r="W12" s="599">
        <v>4.7519999999999998</v>
      </c>
      <c r="X12" s="600"/>
      <c r="Y12" s="599">
        <v>-27.614999999999998</v>
      </c>
      <c r="Z12" s="602"/>
      <c r="AA12" s="599">
        <v>-8.1470000000000002</v>
      </c>
      <c r="AB12" s="602"/>
      <c r="AC12" s="601">
        <v>24.469000000000001</v>
      </c>
      <c r="AD12" s="602"/>
      <c r="AE12" s="603">
        <v>-36.027000000000001</v>
      </c>
      <c r="AF12" s="602"/>
      <c r="AG12" s="601">
        <v>11.885</v>
      </c>
      <c r="AH12" s="602"/>
      <c r="AI12" s="601">
        <v>4.2069999999999999</v>
      </c>
      <c r="AJ12" s="603"/>
      <c r="AK12" s="603">
        <v>-31.417999999999999</v>
      </c>
      <c r="AL12" s="603"/>
      <c r="AM12" s="948">
        <v>20.187000000000001</v>
      </c>
      <c r="AN12" s="603"/>
      <c r="AO12" s="603">
        <v>-2.2789999999999999</v>
      </c>
      <c r="AP12" s="603"/>
      <c r="AQ12" s="948">
        <v>4.68</v>
      </c>
      <c r="AR12" s="603"/>
      <c r="AS12" s="948">
        <v>14.837999999999999</v>
      </c>
      <c r="AT12" s="603"/>
      <c r="AU12" s="603">
        <f>-bal!AW13+bal!AU13</f>
        <v>0</v>
      </c>
      <c r="AV12" s="603"/>
      <c r="AW12" s="603">
        <f>-bal!AY13+bal!AW13</f>
        <v>0</v>
      </c>
      <c r="AX12" s="603"/>
      <c r="AY12" s="603">
        <f>-bal!BA13+bal!AY13</f>
        <v>0</v>
      </c>
      <c r="AZ12" s="603"/>
      <c r="BA12" s="603">
        <f>bal!BC13-bal!BA13</f>
        <v>0</v>
      </c>
      <c r="BB12" s="603"/>
      <c r="BC12" s="603">
        <f>bal!BE13-bal!BC13</f>
        <v>0</v>
      </c>
      <c r="BD12" s="603"/>
      <c r="BE12" s="603">
        <f>bal!BG13-bal!BE13</f>
        <v>0</v>
      </c>
      <c r="BF12" s="603"/>
    </row>
    <row r="13" spans="1:58" ht="12.75">
      <c r="A13" s="4" t="s">
        <v>112</v>
      </c>
      <c r="B13" s="1"/>
      <c r="C13" s="68"/>
      <c r="D13" s="1"/>
      <c r="E13" s="79">
        <f>SUM(E14:E17)</f>
        <v>3.0580000000000003</v>
      </c>
      <c r="F13" s="197"/>
      <c r="G13" s="79">
        <f>SUM(G14:G17)</f>
        <v>3.5059999999999998</v>
      </c>
      <c r="H13" s="73"/>
      <c r="I13" s="79">
        <f>SUM(I14:I17)</f>
        <v>3.7029999999999998</v>
      </c>
      <c r="J13" s="73"/>
      <c r="K13" s="361">
        <f>SUM(K14:K17)</f>
        <v>12.27</v>
      </c>
      <c r="L13" s="73"/>
      <c r="M13" s="609">
        <f>SUM(M14:M17)</f>
        <v>10.274999999999999</v>
      </c>
      <c r="N13" s="600"/>
      <c r="O13" s="609">
        <f>SUM(O14:O17)</f>
        <v>4.8010000000000002</v>
      </c>
      <c r="P13" s="600"/>
      <c r="Q13" s="609">
        <f>SUM(Q14:Q17)</f>
        <v>3.3959999999999999</v>
      </c>
      <c r="R13" s="600"/>
      <c r="S13" s="610">
        <f>SUM(S14:S17)</f>
        <v>7.8650000000000002</v>
      </c>
      <c r="T13" s="600"/>
      <c r="U13" s="610">
        <f>SUM(U14:U17)</f>
        <v>55.365000000000002</v>
      </c>
      <c r="V13" s="609"/>
      <c r="W13" s="610">
        <f>SUM(W14:W17)</f>
        <v>56.176000000000002</v>
      </c>
      <c r="X13" s="609"/>
      <c r="Y13" s="610">
        <f>SUM(Y14:Y17)</f>
        <v>258.334</v>
      </c>
      <c r="Z13" s="607"/>
      <c r="AA13" s="610">
        <f>SUM(AA14:AA17)</f>
        <v>36.587000000000003</v>
      </c>
      <c r="AB13" s="607"/>
      <c r="AC13" s="610">
        <f>SUM(AC14:AC17)</f>
        <v>49.185000000000002</v>
      </c>
      <c r="AD13" s="607"/>
      <c r="AE13" s="610">
        <f>SUM(AE14:AE17)</f>
        <v>70.241</v>
      </c>
      <c r="AF13" s="607"/>
      <c r="AG13" s="610">
        <f>SUM(AG14:AG17)</f>
        <v>54.396999999999998</v>
      </c>
      <c r="AH13" s="607"/>
      <c r="AI13" s="608">
        <f>12.341+0.356-0.373-0.325+20.73</f>
        <v>32.728999999999999</v>
      </c>
      <c r="AJ13" s="608"/>
      <c r="AK13" s="608">
        <f>66.349+14.05-13.279+0.1+34.869+31.99</f>
        <v>134.07900000000001</v>
      </c>
      <c r="AL13" s="608"/>
      <c r="AM13" s="608">
        <f>+-6.541+8.746-8.833+1.378+44.465</f>
        <v>39.215000000000003</v>
      </c>
      <c r="AN13" s="608"/>
      <c r="AO13" s="608">
        <f>8.465+16.07-0.495+33.468</f>
        <v>57.508000000000003</v>
      </c>
      <c r="AP13" s="608"/>
      <c r="AQ13" s="608">
        <f>34.977+2.977-9.422</f>
        <v>28.531999999999993</v>
      </c>
      <c r="AR13" s="608"/>
      <c r="AS13" s="608">
        <f>29.137-0.835+20.576</f>
        <v>48.878</v>
      </c>
      <c r="AT13" s="608"/>
      <c r="AU13" s="608">
        <v>40</v>
      </c>
      <c r="AV13" s="608"/>
      <c r="AW13" s="608">
        <v>40</v>
      </c>
      <c r="AX13" s="608"/>
      <c r="AY13" s="608">
        <v>40</v>
      </c>
      <c r="AZ13" s="608"/>
      <c r="BA13" s="608">
        <v>40</v>
      </c>
      <c r="BB13" s="608"/>
      <c r="BC13" s="608">
        <v>40</v>
      </c>
      <c r="BD13" s="604"/>
      <c r="BE13" s="604">
        <v>40</v>
      </c>
      <c r="BF13" s="604"/>
    </row>
    <row r="14" spans="1:58" ht="12.75" hidden="1" outlineLevel="1">
      <c r="A14" s="4" t="s">
        <v>106</v>
      </c>
      <c r="B14" s="1"/>
      <c r="C14" s="68">
        <v>2.1850000000000001</v>
      </c>
      <c r="D14" s="1"/>
      <c r="E14" s="100">
        <v>2.0670000000000002</v>
      </c>
      <c r="F14" s="198"/>
      <c r="G14" s="100">
        <v>2.2919999999999998</v>
      </c>
      <c r="H14" s="100"/>
      <c r="I14" s="100">
        <v>1.4670000000000001</v>
      </c>
      <c r="J14" s="100"/>
      <c r="K14" s="100">
        <f>1.907</f>
        <v>1.907</v>
      </c>
      <c r="L14" s="1"/>
      <c r="M14" s="100">
        <v>2.9020000000000001</v>
      </c>
      <c r="N14" s="1"/>
      <c r="O14" s="100">
        <v>0</v>
      </c>
      <c r="P14" s="1"/>
      <c r="Q14" s="100">
        <v>0</v>
      </c>
      <c r="R14" s="1"/>
      <c r="S14" s="100">
        <v>0</v>
      </c>
      <c r="T14" s="1"/>
      <c r="U14" s="385">
        <v>1.399</v>
      </c>
      <c r="V14" s="1"/>
      <c r="W14" s="100">
        <v>1.1850000000000001</v>
      </c>
      <c r="X14" s="1"/>
      <c r="Y14" s="100"/>
      <c r="Z14" s="198"/>
      <c r="AA14" s="100"/>
      <c r="AB14" s="198"/>
      <c r="AC14" s="385"/>
      <c r="AD14" s="198"/>
      <c r="AE14" s="385">
        <v>17.992000000000001</v>
      </c>
      <c r="AF14" s="198"/>
      <c r="AG14" s="385"/>
      <c r="AH14" s="198"/>
      <c r="AI14" s="385"/>
      <c r="AJ14" s="385"/>
      <c r="AK14" s="385"/>
      <c r="AL14" s="385"/>
      <c r="AM14" s="385"/>
      <c r="AN14" s="385"/>
      <c r="AO14" s="385"/>
      <c r="AP14" s="385"/>
      <c r="AQ14" s="385"/>
      <c r="AR14" s="385"/>
      <c r="AS14" s="385"/>
      <c r="AT14" s="385"/>
      <c r="AU14" s="385"/>
      <c r="AV14" s="385"/>
      <c r="AW14" s="385"/>
      <c r="AX14" s="385"/>
      <c r="AY14" s="385"/>
      <c r="AZ14" s="385"/>
      <c r="BA14" s="385"/>
      <c r="BB14" s="385"/>
      <c r="BC14" s="385"/>
      <c r="BD14" s="385"/>
      <c r="BE14" s="385"/>
      <c r="BF14" s="385"/>
    </row>
    <row r="15" spans="1:58" ht="12.75" hidden="1" outlineLevel="1">
      <c r="A15" s="4" t="s">
        <v>107</v>
      </c>
      <c r="B15" s="1"/>
      <c r="C15" s="68">
        <v>3.081</v>
      </c>
      <c r="D15" s="1"/>
      <c r="E15" s="100">
        <v>0</v>
      </c>
      <c r="F15" s="198"/>
      <c r="G15" s="100">
        <v>0</v>
      </c>
      <c r="H15" s="100"/>
      <c r="I15" s="100">
        <v>0</v>
      </c>
      <c r="J15" s="100"/>
      <c r="K15" s="100">
        <v>0</v>
      </c>
      <c r="L15" s="1"/>
      <c r="M15" s="198">
        <v>0</v>
      </c>
      <c r="N15" s="1"/>
      <c r="O15" s="198">
        <v>0</v>
      </c>
      <c r="P15" s="1"/>
      <c r="Q15" s="198">
        <v>0</v>
      </c>
      <c r="R15" s="1"/>
      <c r="S15" s="198">
        <v>0</v>
      </c>
      <c r="T15" s="1"/>
      <c r="U15" s="544"/>
      <c r="V15" s="1"/>
      <c r="W15" s="198"/>
      <c r="X15" s="1"/>
      <c r="Y15" s="198">
        <v>12.345000000000001</v>
      </c>
      <c r="Z15" s="198"/>
      <c r="AA15" s="198"/>
      <c r="AB15" s="198"/>
      <c r="AC15" s="544"/>
      <c r="AD15" s="198"/>
      <c r="AE15" s="544"/>
      <c r="AF15" s="198"/>
      <c r="AG15" s="544"/>
      <c r="AH15" s="198"/>
      <c r="AI15" s="544"/>
      <c r="AJ15" s="544"/>
      <c r="AK15" s="544"/>
      <c r="AL15" s="544"/>
      <c r="AM15" s="544"/>
      <c r="AN15" s="544"/>
      <c r="AO15" s="544"/>
      <c r="AP15" s="544"/>
      <c r="AQ15" s="544"/>
      <c r="AR15" s="544"/>
      <c r="AS15" s="544"/>
      <c r="AT15" s="544"/>
      <c r="AU15" s="544"/>
      <c r="AV15" s="544"/>
      <c r="AW15" s="544"/>
      <c r="AX15" s="544"/>
      <c r="AY15" s="544"/>
      <c r="AZ15" s="544"/>
      <c r="BA15" s="544"/>
      <c r="BB15" s="544"/>
      <c r="BC15" s="544"/>
      <c r="BD15" s="544"/>
      <c r="BE15" s="544"/>
      <c r="BF15" s="544"/>
    </row>
    <row r="16" spans="1:58" ht="12.75" hidden="1" outlineLevel="1">
      <c r="A16" s="4" t="s">
        <v>519</v>
      </c>
      <c r="B16" s="1"/>
      <c r="C16" s="68">
        <v>0.94799999999999995</v>
      </c>
      <c r="D16" s="1"/>
      <c r="E16" s="100">
        <v>0.99099999999999999</v>
      </c>
      <c r="F16" s="198"/>
      <c r="G16" s="100">
        <v>1.214</v>
      </c>
      <c r="H16" s="100"/>
      <c r="I16" s="100">
        <v>1.3360000000000001</v>
      </c>
      <c r="J16" s="100"/>
      <c r="K16" s="100">
        <v>5.8090000000000002</v>
      </c>
      <c r="L16" s="1"/>
      <c r="M16" s="100">
        <v>6.952</v>
      </c>
      <c r="N16" s="1"/>
      <c r="O16" s="100">
        <v>3.0840000000000001</v>
      </c>
      <c r="P16" s="1"/>
      <c r="Q16" s="100">
        <v>0.85299999999999998</v>
      </c>
      <c r="R16" s="1"/>
      <c r="S16" s="100">
        <v>1.1919999999999999</v>
      </c>
      <c r="T16" s="1"/>
      <c r="U16" s="385">
        <v>25.166</v>
      </c>
      <c r="V16" s="1"/>
      <c r="W16" s="100">
        <v>19.62</v>
      </c>
      <c r="X16" s="1"/>
      <c r="Y16" s="100">
        <v>36.555999999999997</v>
      </c>
      <c r="Z16" s="198"/>
      <c r="AA16" s="100">
        <v>33.67</v>
      </c>
      <c r="AB16" s="198"/>
      <c r="AC16" s="385">
        <v>20.295999999999999</v>
      </c>
      <c r="AD16" s="198"/>
      <c r="AE16" s="385">
        <v>36.9</v>
      </c>
      <c r="AF16" s="198"/>
      <c r="AG16" s="385">
        <v>25.457000000000001</v>
      </c>
      <c r="AH16" s="198"/>
      <c r="AI16" s="385"/>
      <c r="AJ16" s="385"/>
      <c r="AK16" s="385"/>
      <c r="AL16" s="385"/>
      <c r="AM16" s="385"/>
      <c r="AN16" s="385"/>
      <c r="AO16" s="385"/>
      <c r="AP16" s="385"/>
      <c r="AQ16" s="385"/>
      <c r="AR16" s="385"/>
      <c r="AS16" s="385"/>
      <c r="AT16" s="385"/>
      <c r="AU16" s="385"/>
      <c r="AV16" s="385"/>
      <c r="AW16" s="385"/>
      <c r="AX16" s="385"/>
      <c r="AY16" s="385"/>
      <c r="AZ16" s="385"/>
      <c r="BA16" s="385"/>
      <c r="BB16" s="385"/>
      <c r="BC16" s="385"/>
      <c r="BD16" s="385"/>
      <c r="BE16" s="385"/>
      <c r="BF16" s="385"/>
    </row>
    <row r="17" spans="1:58" ht="12.75" hidden="1" outlineLevel="1">
      <c r="A17" s="1" t="s">
        <v>516</v>
      </c>
      <c r="B17" s="1"/>
      <c r="C17" s="72"/>
      <c r="D17" s="1"/>
      <c r="E17" s="99">
        <v>0</v>
      </c>
      <c r="F17" s="276"/>
      <c r="G17" s="99">
        <v>0</v>
      </c>
      <c r="H17" s="276"/>
      <c r="I17" s="99">
        <v>0.9</v>
      </c>
      <c r="J17" s="276"/>
      <c r="K17" s="99">
        <v>4.5540000000000003</v>
      </c>
      <c r="L17" s="1"/>
      <c r="M17" s="99">
        <v>0.42099999999999999</v>
      </c>
      <c r="N17" s="1"/>
      <c r="O17" s="99">
        <f>2.717-1</f>
        <v>1.7170000000000001</v>
      </c>
      <c r="P17" s="1"/>
      <c r="Q17" s="99">
        <f>2.543</f>
        <v>2.5430000000000001</v>
      </c>
      <c r="R17" s="1"/>
      <c r="S17" s="99">
        <f>5.999+0.674</f>
        <v>6.673</v>
      </c>
      <c r="T17" s="1"/>
      <c r="U17" s="543">
        <f>28.8</f>
        <v>28.8</v>
      </c>
      <c r="V17" s="538"/>
      <c r="W17" s="543">
        <f>35.371</f>
        <v>35.371000000000002</v>
      </c>
      <c r="X17" s="1"/>
      <c r="Y17" s="99">
        <f>25.465-19.541+19.541+183.968</f>
        <v>209.43299999999999</v>
      </c>
      <c r="Z17" s="198"/>
      <c r="AA17" s="99">
        <f>7.26-6.156+1.221+0.592</f>
        <v>2.9170000000000003</v>
      </c>
      <c r="AB17" s="198"/>
      <c r="AC17" s="543">
        <f>1.121+-0.693+-1.141+6.713+22.889</f>
        <v>28.888999999999999</v>
      </c>
      <c r="AD17" s="198"/>
      <c r="AE17" s="543">
        <f>7.995-2.812+6.477+2.749+0.94</f>
        <v>15.349</v>
      </c>
      <c r="AF17" s="198"/>
      <c r="AG17" s="543">
        <f>15.648-12.499+0.117+1.248+24.426</f>
        <v>28.939999999999998</v>
      </c>
      <c r="AH17" s="198"/>
      <c r="AI17" s="543"/>
      <c r="AJ17" s="543"/>
      <c r="AK17" s="543"/>
      <c r="AL17" s="543"/>
      <c r="AM17" s="543"/>
      <c r="AN17" s="543"/>
      <c r="AO17" s="543"/>
      <c r="AP17" s="543"/>
      <c r="AQ17" s="543"/>
      <c r="AR17" s="543"/>
      <c r="AS17" s="543"/>
      <c r="AT17" s="543"/>
      <c r="AU17" s="543"/>
      <c r="AV17" s="543"/>
      <c r="AW17" s="543"/>
      <c r="AX17" s="543"/>
      <c r="AY17" s="543"/>
      <c r="AZ17" s="543"/>
      <c r="BA17" s="543"/>
      <c r="BB17" s="543"/>
      <c r="BC17" s="543"/>
      <c r="BD17" s="544"/>
      <c r="BE17" s="544"/>
      <c r="BF17" s="544"/>
    </row>
    <row r="18" spans="1:58" ht="12.75" collapsed="1">
      <c r="A18" s="4" t="s">
        <v>65</v>
      </c>
      <c r="B18" s="1"/>
      <c r="C18" s="5">
        <f>SUM(C10:C16)</f>
        <v>11.100999999999955</v>
      </c>
      <c r="D18" s="1"/>
      <c r="E18" s="5">
        <f>SUM(E10:E13)</f>
        <v>13.171999999999965</v>
      </c>
      <c r="F18" s="51"/>
      <c r="G18" s="5">
        <f>SUM(G10:G13)</f>
        <v>29.864999999999991</v>
      </c>
      <c r="H18" s="1"/>
      <c r="I18" s="5">
        <f>SUM(I10:I13)</f>
        <v>63.679000000000002</v>
      </c>
      <c r="J18" s="1"/>
      <c r="K18" s="5">
        <f>SUM(K10:K13)</f>
        <v>107.91500000000003</v>
      </c>
      <c r="L18" s="1"/>
      <c r="M18" s="5">
        <f>SUM(M10:M13)</f>
        <v>120.66099999999994</v>
      </c>
      <c r="N18" s="1"/>
      <c r="O18" s="5">
        <f>SUM(O10:O13)</f>
        <v>158.74500000000018</v>
      </c>
      <c r="P18" s="1"/>
      <c r="Q18" s="5">
        <f>SUM(Q10:Q13)</f>
        <v>145.584</v>
      </c>
      <c r="R18" s="1"/>
      <c r="S18" s="5">
        <f>SUM(S10:S13)</f>
        <v>163.94599999999994</v>
      </c>
      <c r="T18" s="1"/>
      <c r="U18" s="545">
        <f>SUM(U10:U13)</f>
        <v>331.95300000000003</v>
      </c>
      <c r="V18" s="1"/>
      <c r="W18" s="5">
        <f>SUM(W10:W13)</f>
        <v>433.36700000000002</v>
      </c>
      <c r="X18" s="1"/>
      <c r="Y18" s="5">
        <f>SUM(Y10:Y13)</f>
        <v>706.11099999999965</v>
      </c>
      <c r="Z18" s="52"/>
      <c r="AA18" s="5">
        <f>SUM(AA10:AA13)</f>
        <v>537.66199999999969</v>
      </c>
      <c r="AB18" s="52"/>
      <c r="AC18" s="545">
        <f>SUM(AC10:AC13)</f>
        <v>385.85600000000011</v>
      </c>
      <c r="AD18" s="52"/>
      <c r="AE18" s="545">
        <f>SUM(AE10:AE13)</f>
        <v>350.71899999999999</v>
      </c>
      <c r="AF18" s="52"/>
      <c r="AG18" s="545">
        <f>SUM(AG10:AG13)</f>
        <v>352.47699999999998</v>
      </c>
      <c r="AH18" s="52"/>
      <c r="AI18" s="545">
        <f>SUM(AI10:AI13)</f>
        <v>331.79699999999997</v>
      </c>
      <c r="AJ18" s="545"/>
      <c r="AK18" s="545">
        <f>SUM(AK10:AK13)</f>
        <v>463.166</v>
      </c>
      <c r="AL18" s="545"/>
      <c r="AM18" s="545">
        <f>SUM(AM10:AM13)</f>
        <v>276.43200000000002</v>
      </c>
      <c r="AN18" s="545"/>
      <c r="AO18" s="545">
        <f>SUM(AO10:AO13)</f>
        <v>277.90199999999999</v>
      </c>
      <c r="AP18" s="545"/>
      <c r="AQ18" s="545">
        <f>SUM(AQ10:AQ13)</f>
        <v>395.36099999999988</v>
      </c>
      <c r="AR18" s="545">
        <f>SUM(AR10:AR13)</f>
        <v>0</v>
      </c>
      <c r="AS18" s="545">
        <f>SUM(AS10:AS13)</f>
        <v>434.33900000000006</v>
      </c>
      <c r="AT18" s="545">
        <f>SUM(AT10:AT13)</f>
        <v>0</v>
      </c>
      <c r="AU18" s="545">
        <f>SUM(AU10:AU13)</f>
        <v>415.67789999999979</v>
      </c>
      <c r="AV18" s="545"/>
      <c r="AW18" s="545">
        <f>SUM(AW10:AW13)</f>
        <v>459.52623391499736</v>
      </c>
      <c r="AX18" s="545"/>
      <c r="AY18" s="545">
        <f>SUM(AY10:AY13)</f>
        <v>459.25198282588087</v>
      </c>
      <c r="AZ18" s="545"/>
      <c r="BA18" s="545">
        <f>SUM(BA10:BA13)</f>
        <v>457.01470103846611</v>
      </c>
      <c r="BB18" s="545"/>
      <c r="BC18" s="545">
        <f>SUM(BC10:BC13)</f>
        <v>450.28222091792753</v>
      </c>
      <c r="BD18" s="551"/>
      <c r="BE18" s="551">
        <f>SUM(BE10:BE13)</f>
        <v>433.54009599554104</v>
      </c>
      <c r="BF18" s="545"/>
    </row>
    <row r="19" spans="1:58" ht="12.75" hidden="1" outlineLevel="1">
      <c r="A19" s="1"/>
      <c r="B19" s="1"/>
      <c r="C19" s="1"/>
      <c r="D19" s="1"/>
      <c r="E19" s="1"/>
      <c r="F19" s="51"/>
      <c r="G19" s="1"/>
      <c r="H19" s="1"/>
      <c r="I19" s="1"/>
      <c r="J19" s="1"/>
      <c r="K19" s="1"/>
      <c r="L19" s="1"/>
      <c r="M19" s="1"/>
      <c r="N19" s="1"/>
      <c r="O19" s="1"/>
      <c r="P19" s="1"/>
      <c r="Q19" s="1"/>
      <c r="R19" s="1"/>
      <c r="S19" s="1"/>
      <c r="T19" s="1"/>
      <c r="U19" s="538"/>
      <c r="V19" s="1"/>
      <c r="W19" s="1"/>
      <c r="X19" s="1"/>
      <c r="Y19" s="1"/>
      <c r="Z19" s="51"/>
      <c r="AA19" s="1"/>
      <c r="AB19" s="51"/>
      <c r="AC19" s="538"/>
      <c r="AD19" s="51"/>
      <c r="AE19" s="538"/>
      <c r="AF19" s="51"/>
      <c r="AG19" s="538"/>
      <c r="AH19" s="51"/>
      <c r="AI19" s="538"/>
      <c r="AJ19" s="538"/>
      <c r="AK19" s="538"/>
      <c r="AL19" s="538"/>
      <c r="AM19" s="538"/>
      <c r="AN19" s="538"/>
      <c r="AO19" s="538"/>
      <c r="AP19" s="538"/>
      <c r="AQ19" s="538"/>
      <c r="AR19" s="538"/>
      <c r="AS19" s="538"/>
      <c r="AT19" s="538"/>
      <c r="AU19" s="538"/>
      <c r="AV19" s="538"/>
      <c r="AW19" s="538"/>
      <c r="AX19" s="538"/>
      <c r="AY19" s="538"/>
      <c r="AZ19" s="538"/>
      <c r="BA19" s="538"/>
      <c r="BB19" s="538"/>
      <c r="BC19" s="538"/>
      <c r="BD19" s="538"/>
      <c r="BE19" s="538"/>
      <c r="BF19" s="538"/>
    </row>
    <row r="20" spans="1:58" ht="12.75" hidden="1" outlineLevel="1" collapsed="1">
      <c r="A20" s="7"/>
      <c r="B20" s="8"/>
      <c r="C20" s="8"/>
      <c r="D20" s="8"/>
      <c r="E20" s="137"/>
      <c r="F20" s="137"/>
      <c r="G20" s="137"/>
      <c r="H20" s="137"/>
      <c r="I20" s="139"/>
      <c r="J20" s="139"/>
      <c r="K20" s="139"/>
      <c r="L20" s="139"/>
      <c r="M20" s="140" t="s">
        <v>84</v>
      </c>
      <c r="N20" s="137"/>
      <c r="O20" s="140"/>
      <c r="P20" s="137"/>
      <c r="Q20" s="140"/>
      <c r="R20" s="137"/>
      <c r="S20" s="137"/>
      <c r="T20" s="137"/>
      <c r="U20" s="546"/>
      <c r="V20" s="137"/>
      <c r="W20" s="137"/>
      <c r="X20" s="137"/>
      <c r="Y20" s="137"/>
      <c r="Z20" s="137"/>
      <c r="AA20" s="137"/>
      <c r="AB20" s="137"/>
      <c r="AC20" s="546"/>
      <c r="AD20" s="137"/>
      <c r="AE20" s="546"/>
      <c r="AF20" s="137"/>
      <c r="AG20" s="546"/>
      <c r="AH20" s="137"/>
      <c r="AI20" s="546"/>
      <c r="AJ20" s="546"/>
      <c r="AK20" s="546"/>
      <c r="AL20" s="546"/>
      <c r="AM20" s="546"/>
      <c r="AN20" s="546"/>
      <c r="AO20" s="546"/>
      <c r="AP20" s="546"/>
      <c r="AQ20" s="546"/>
      <c r="AR20" s="862"/>
      <c r="AS20" s="862"/>
      <c r="AT20" s="862"/>
      <c r="AU20" s="862"/>
      <c r="AV20" s="862"/>
      <c r="AW20" s="862"/>
      <c r="AX20" s="862"/>
      <c r="AY20" s="862"/>
      <c r="AZ20" s="862"/>
      <c r="BA20" s="862"/>
      <c r="BB20" s="862"/>
      <c r="BC20" s="862"/>
      <c r="BD20" s="862"/>
      <c r="BE20" s="862"/>
      <c r="BF20" s="862"/>
    </row>
    <row r="21" spans="1:58" ht="6" customHeight="1" collapsed="1">
      <c r="A21" s="1"/>
      <c r="B21" s="1"/>
      <c r="C21" s="1"/>
      <c r="D21" s="1"/>
      <c r="E21" s="1"/>
      <c r="F21" s="51"/>
      <c r="G21" s="1"/>
      <c r="H21" s="1"/>
      <c r="I21" s="1"/>
      <c r="J21" s="1"/>
      <c r="K21" s="1"/>
      <c r="L21" s="1"/>
      <c r="M21" s="73"/>
      <c r="N21" s="1"/>
      <c r="O21" s="73"/>
      <c r="P21" s="1"/>
      <c r="Q21" s="73"/>
      <c r="R21" s="1"/>
      <c r="S21" s="73"/>
      <c r="T21" s="1"/>
      <c r="U21" s="547"/>
      <c r="V21" s="1"/>
      <c r="W21" s="73"/>
      <c r="X21" s="1"/>
      <c r="Y21" s="73"/>
      <c r="Z21" s="197"/>
      <c r="AA21" s="73"/>
      <c r="AB21" s="197"/>
      <c r="AC21" s="547"/>
      <c r="AD21" s="197"/>
      <c r="AE21" s="547"/>
      <c r="AF21" s="197"/>
      <c r="AG21" s="547"/>
      <c r="AH21" s="197"/>
      <c r="AI21" s="547"/>
      <c r="AJ21" s="547"/>
      <c r="AK21" s="547"/>
      <c r="AL21" s="547"/>
      <c r="AM21" s="547"/>
      <c r="AN21" s="547"/>
      <c r="AO21" s="547"/>
      <c r="AP21" s="547"/>
      <c r="AQ21" s="547"/>
      <c r="AR21" s="547"/>
      <c r="AS21" s="547"/>
      <c r="AT21" s="547"/>
      <c r="AU21" s="547"/>
      <c r="AV21" s="547"/>
      <c r="AW21" s="547"/>
      <c r="AX21" s="547"/>
      <c r="AY21" s="547"/>
      <c r="AZ21" s="547"/>
      <c r="BA21" s="547"/>
      <c r="BB21" s="547"/>
      <c r="BC21" s="547"/>
      <c r="BD21" s="547"/>
      <c r="BE21" s="547"/>
      <c r="BF21" s="547"/>
    </row>
    <row r="22" spans="1:58" ht="12.75">
      <c r="A22" s="4" t="s">
        <v>172</v>
      </c>
      <c r="B22" s="1"/>
      <c r="C22" s="76">
        <v>15.635999999999999</v>
      </c>
      <c r="D22" s="1"/>
      <c r="E22" s="76">
        <v>10.54</v>
      </c>
      <c r="F22" s="74"/>
      <c r="G22" s="6">
        <v>12.646000000000001</v>
      </c>
      <c r="H22" s="75"/>
      <c r="I22" s="6">
        <v>24.913</v>
      </c>
      <c r="J22" s="75"/>
      <c r="K22" s="362">
        <f>34.822+10.734</f>
        <v>45.556000000000004</v>
      </c>
      <c r="L22" s="73"/>
      <c r="M22" s="193">
        <f>87.825+8.5+78.184</f>
        <v>174.50900000000001</v>
      </c>
      <c r="N22" s="73"/>
      <c r="O22" s="193">
        <v>119.34699999999999</v>
      </c>
      <c r="P22" s="73"/>
      <c r="Q22" s="193">
        <v>61.406999999999996</v>
      </c>
      <c r="R22" s="73"/>
      <c r="S22" s="193">
        <v>77.543999999999997</v>
      </c>
      <c r="T22" s="73"/>
      <c r="U22" s="548">
        <v>97.287999999999997</v>
      </c>
      <c r="V22" s="73"/>
      <c r="W22" s="193">
        <v>81.545000000000002</v>
      </c>
      <c r="X22" s="73"/>
      <c r="Y22" s="193">
        <v>225.93899999999999</v>
      </c>
      <c r="Z22" s="366"/>
      <c r="AA22" s="193">
        <v>250.40700000000001</v>
      </c>
      <c r="AB22" s="366"/>
      <c r="AC22" s="548">
        <v>265.33499999999998</v>
      </c>
      <c r="AD22" s="366"/>
      <c r="AE22" s="548">
        <v>127.419</v>
      </c>
      <c r="AF22" s="366"/>
      <c r="AG22" s="548">
        <v>84.259</v>
      </c>
      <c r="AH22" s="366"/>
      <c r="AI22" s="548">
        <v>100.13500000000001</v>
      </c>
      <c r="AJ22" s="548"/>
      <c r="AK22" s="548">
        <v>93.938999999999993</v>
      </c>
      <c r="AL22" s="548"/>
      <c r="AM22" s="548">
        <v>278.49900000000002</v>
      </c>
      <c r="AN22" s="548"/>
      <c r="AO22" s="548">
        <v>245.00200000000001</v>
      </c>
      <c r="AP22" s="548"/>
      <c r="AQ22" s="548">
        <v>153.256</v>
      </c>
      <c r="AR22" s="548"/>
      <c r="AS22" s="548">
        <v>161.494</v>
      </c>
      <c r="AT22" s="548"/>
      <c r="AU22" s="548">
        <v>169</v>
      </c>
      <c r="AV22" s="548"/>
      <c r="AW22" s="548">
        <v>185</v>
      </c>
      <c r="AX22" s="548"/>
      <c r="AY22" s="548">
        <v>185</v>
      </c>
      <c r="AZ22" s="548"/>
      <c r="BA22" s="548">
        <v>185</v>
      </c>
      <c r="BB22" s="548"/>
      <c r="BC22" s="548">
        <v>185</v>
      </c>
      <c r="BD22" s="548"/>
      <c r="BE22" s="548">
        <v>185</v>
      </c>
      <c r="BF22" s="548"/>
    </row>
    <row r="23" spans="1:58" ht="6.6" customHeight="1">
      <c r="A23" s="4"/>
      <c r="B23" s="1"/>
      <c r="C23" s="68"/>
      <c r="D23" s="1"/>
      <c r="E23" s="68"/>
      <c r="F23" s="51"/>
      <c r="G23" s="68"/>
      <c r="H23" s="1"/>
      <c r="I23" s="68"/>
      <c r="J23" s="1"/>
      <c r="K23" s="68"/>
      <c r="L23" s="1"/>
      <c r="M23" s="68"/>
      <c r="N23" s="1"/>
      <c r="O23" s="89">
        <f>+O22/'yrP&amp;L'!H7</f>
        <v>8.6994013407692541E-2</v>
      </c>
      <c r="P23" s="1"/>
      <c r="Q23" s="89">
        <f>+Q22/'yrP&amp;L'!I7</f>
        <v>4.1969297559155266E-2</v>
      </c>
      <c r="R23" s="1"/>
      <c r="S23" s="89">
        <f>+S22/'yrP&amp;L'!J7</f>
        <v>5.4021217246885266E-2</v>
      </c>
      <c r="T23" s="1"/>
      <c r="U23" s="665"/>
      <c r="V23" s="1"/>
      <c r="W23" s="89"/>
      <c r="X23" s="1"/>
      <c r="Y23" s="89"/>
      <c r="Z23" s="70"/>
      <c r="AA23" s="89"/>
      <c r="AB23" s="70"/>
      <c r="AC23" s="89"/>
      <c r="AD23" s="70"/>
      <c r="AE23" s="89"/>
      <c r="AF23" s="70"/>
      <c r="AG23" s="549"/>
      <c r="AH23" s="70"/>
      <c r="AI23" s="549"/>
      <c r="AJ23" s="549"/>
      <c r="AK23" s="549"/>
      <c r="AL23" s="549"/>
      <c r="AM23" s="549"/>
      <c r="AN23" s="549"/>
      <c r="AO23" s="549"/>
      <c r="AP23" s="549"/>
      <c r="AQ23" s="549"/>
      <c r="AR23" s="549"/>
      <c r="AS23" s="549"/>
      <c r="AT23" s="549"/>
      <c r="AU23" s="549"/>
      <c r="AV23" s="549"/>
      <c r="AW23" s="549"/>
      <c r="AX23" s="549"/>
      <c r="AY23" s="549"/>
      <c r="AZ23" s="549"/>
      <c r="BA23" s="549"/>
      <c r="BB23" s="549"/>
      <c r="BC23" s="549"/>
      <c r="BD23" s="549"/>
      <c r="BE23" s="549"/>
      <c r="BF23" s="549"/>
    </row>
    <row r="24" spans="1:58" ht="12.75">
      <c r="A24" s="395" t="s">
        <v>113</v>
      </c>
      <c r="B24" s="1"/>
      <c r="C24" s="6"/>
      <c r="D24" s="1"/>
      <c r="E24" s="6"/>
      <c r="F24" s="53"/>
      <c r="G24" s="6"/>
      <c r="H24" s="1"/>
      <c r="I24" s="6"/>
      <c r="J24" s="1"/>
      <c r="K24" s="6"/>
      <c r="L24" s="1"/>
      <c r="M24" s="193"/>
      <c r="N24" s="1"/>
      <c r="O24" s="1"/>
      <c r="P24" s="1"/>
      <c r="Q24" s="1"/>
      <c r="R24" s="1"/>
      <c r="S24" s="1"/>
      <c r="T24" s="1"/>
      <c r="U24" s="538"/>
      <c r="V24" s="1"/>
      <c r="W24" s="1"/>
      <c r="X24" s="1"/>
      <c r="Y24" s="1"/>
      <c r="Z24" s="51"/>
      <c r="AA24" s="1"/>
      <c r="AB24" s="51"/>
      <c r="AC24" s="538"/>
      <c r="AD24" s="51"/>
      <c r="AE24" s="538"/>
      <c r="AF24" s="51"/>
      <c r="AG24" s="538"/>
      <c r="AH24" s="51"/>
      <c r="AI24" s="538"/>
      <c r="AJ24" s="538"/>
      <c r="AK24" s="538"/>
      <c r="AL24" s="538"/>
      <c r="AM24" s="538"/>
      <c r="AN24" s="538"/>
      <c r="AO24" s="538"/>
      <c r="AP24" s="538"/>
      <c r="AQ24" s="538"/>
      <c r="AR24" s="538"/>
      <c r="AS24" s="538"/>
      <c r="AT24" s="538"/>
      <c r="AU24" s="538"/>
      <c r="AV24" s="538"/>
      <c r="AW24" s="538"/>
      <c r="AX24" s="538"/>
      <c r="AY24" s="538"/>
      <c r="AZ24" s="538"/>
      <c r="BA24" s="538"/>
      <c r="BB24" s="538"/>
      <c r="BC24" s="538"/>
      <c r="BD24" s="538"/>
      <c r="BE24" s="538"/>
      <c r="BF24" s="538"/>
    </row>
    <row r="25" spans="1:58" ht="12.75">
      <c r="A25" s="1" t="s">
        <v>108</v>
      </c>
      <c r="B25" s="1"/>
      <c r="C25" s="67">
        <v>16.893000000000001</v>
      </c>
      <c r="D25" s="1"/>
      <c r="E25" s="84">
        <v>3.7229999999999999</v>
      </c>
      <c r="F25" s="77"/>
      <c r="G25" s="84">
        <v>8.9030000000000005</v>
      </c>
      <c r="H25" s="78"/>
      <c r="I25" s="84">
        <f>+bal!K10-bal!I10</f>
        <v>13.410000000000004</v>
      </c>
      <c r="J25" s="78"/>
      <c r="K25" s="84">
        <f>+bal!M10-bal!K10</f>
        <v>10.686999999999998</v>
      </c>
      <c r="L25" s="78"/>
      <c r="M25" s="193">
        <v>5.6059999999999999</v>
      </c>
      <c r="N25" s="78"/>
      <c r="O25" s="193">
        <v>7.7089999999999996</v>
      </c>
      <c r="P25" s="78"/>
      <c r="Q25" s="193">
        <v>33.000999999999998</v>
      </c>
      <c r="R25" s="78"/>
      <c r="S25" s="329">
        <v>-14.452</v>
      </c>
      <c r="T25" s="78"/>
      <c r="U25" s="393">
        <v>44.54</v>
      </c>
      <c r="V25" s="78"/>
      <c r="W25" s="329">
        <v>39.137</v>
      </c>
      <c r="X25" s="78"/>
      <c r="Y25" s="329">
        <v>53.527000000000001</v>
      </c>
      <c r="Z25" s="367"/>
      <c r="AA25" s="329">
        <v>19.074000000000002</v>
      </c>
      <c r="AB25" s="367"/>
      <c r="AC25" s="393">
        <v>13.734999999999999</v>
      </c>
      <c r="AD25" s="367"/>
      <c r="AE25" s="393">
        <v>27.994</v>
      </c>
      <c r="AF25" s="367"/>
      <c r="AG25" s="393">
        <v>-18.713000000000001</v>
      </c>
      <c r="AH25" s="367"/>
      <c r="AI25" s="393">
        <v>77.311000000000007</v>
      </c>
      <c r="AJ25" s="550"/>
      <c r="AK25" s="393">
        <v>-35.201999999999998</v>
      </c>
      <c r="AL25" s="550"/>
      <c r="AM25" s="393">
        <v>-40.148000000000003</v>
      </c>
      <c r="AN25" s="550"/>
      <c r="AO25" s="393">
        <v>-8.5679999999999996</v>
      </c>
      <c r="AP25" s="550"/>
      <c r="AQ25" s="393">
        <v>22.259</v>
      </c>
      <c r="AR25" s="550"/>
      <c r="AS25" s="2007">
        <v>53.613</v>
      </c>
      <c r="AT25" s="550"/>
      <c r="AU25" s="550">
        <f>+bal!AW10-bal!AU10</f>
        <v>39.766999999999996</v>
      </c>
      <c r="AV25" s="550"/>
      <c r="AW25" s="550">
        <f>+bal!AY10-bal!AW10</f>
        <v>24.883448965352443</v>
      </c>
      <c r="AX25" s="550"/>
      <c r="AY25" s="550">
        <f>+bal!BA10-bal!AY10</f>
        <v>26.9242810072206</v>
      </c>
      <c r="AZ25" s="550"/>
      <c r="BA25" s="550">
        <f>+bal!BC10-bal!BA10</f>
        <v>26.966179345523415</v>
      </c>
      <c r="BB25" s="550"/>
      <c r="BC25" s="550">
        <f>+bal!BE10-bal!BC10</f>
        <v>2.8873818023839704E-2</v>
      </c>
      <c r="BD25" s="550"/>
      <c r="BE25" s="550">
        <f>+bal!BG10-bal!BE10</f>
        <v>-5.6444553026551603E-2</v>
      </c>
      <c r="BF25" s="550"/>
    </row>
    <row r="26" spans="1:58" ht="12.75">
      <c r="A26" s="4" t="s">
        <v>109</v>
      </c>
      <c r="B26" s="1"/>
      <c r="C26" s="68">
        <v>2.9750000000000001</v>
      </c>
      <c r="D26" s="1"/>
      <c r="E26" s="76">
        <v>-2.0550000000000002</v>
      </c>
      <c r="F26" s="74"/>
      <c r="G26" s="76">
        <v>2.6110000000000002</v>
      </c>
      <c r="H26" s="75"/>
      <c r="I26" s="76">
        <f>+bal!K11-bal!I11</f>
        <v>0.91300000000000026</v>
      </c>
      <c r="J26" s="75"/>
      <c r="K26" s="76">
        <f>+bal!M11-bal!K11</f>
        <v>4.9109999999999996</v>
      </c>
      <c r="L26" s="73"/>
      <c r="M26" s="599">
        <v>13.388</v>
      </c>
      <c r="N26" s="600"/>
      <c r="O26" s="599">
        <v>-8.6959999999999997</v>
      </c>
      <c r="P26" s="600"/>
      <c r="Q26" s="599">
        <v>-4.7510000000000003</v>
      </c>
      <c r="R26" s="600"/>
      <c r="S26" s="599">
        <v>9.3439999999999994</v>
      </c>
      <c r="T26" s="600"/>
      <c r="U26" s="601">
        <v>-3.8780000000000001</v>
      </c>
      <c r="V26" s="600"/>
      <c r="W26" s="599">
        <v>-4.6379999999999999</v>
      </c>
      <c r="X26" s="600"/>
      <c r="Y26" s="599">
        <v>-2.778</v>
      </c>
      <c r="Z26" s="602"/>
      <c r="AA26" s="599">
        <v>5.66</v>
      </c>
      <c r="AB26" s="602"/>
      <c r="AC26" s="601">
        <v>10.093999999999999</v>
      </c>
      <c r="AD26" s="602"/>
      <c r="AE26" s="601">
        <v>-7.0519999999999996</v>
      </c>
      <c r="AF26" s="602"/>
      <c r="AG26" s="601">
        <v>3.79</v>
      </c>
      <c r="AH26" s="602"/>
      <c r="AI26" s="601">
        <v>3.589</v>
      </c>
      <c r="AJ26" s="603"/>
      <c r="AK26" s="601">
        <v>6.6639999999999997</v>
      </c>
      <c r="AL26" s="603"/>
      <c r="AM26" s="601">
        <v>29.510999999999999</v>
      </c>
      <c r="AN26" s="603"/>
      <c r="AO26" s="603">
        <v>-3.0840000000000001</v>
      </c>
      <c r="AP26" s="603"/>
      <c r="AQ26" s="601">
        <v>10.093</v>
      </c>
      <c r="AR26" s="603"/>
      <c r="AS26" s="948">
        <v>7.7050000000000001</v>
      </c>
      <c r="AT26" s="603"/>
      <c r="AU26" s="603">
        <f>+bal!AW11-bal!AU11</f>
        <v>-8.3299999999999983</v>
      </c>
      <c r="AV26" s="603"/>
      <c r="AW26" s="603">
        <f>+bal!AY11-bal!AW11</f>
        <v>1.0476643736290185</v>
      </c>
      <c r="AX26" s="603"/>
      <c r="AY26" s="603">
        <f>+bal!BA11-bal!AY11</f>
        <v>1.3800220438548365</v>
      </c>
      <c r="AZ26" s="603"/>
      <c r="BA26" s="603">
        <f>+bal!BC11-bal!BA11</f>
        <v>1.2722233973286876</v>
      </c>
      <c r="BB26" s="603"/>
      <c r="BC26" s="603">
        <f>+bal!BE11-bal!BC11</f>
        <v>4.9640061875493302E-3</v>
      </c>
      <c r="BD26" s="603"/>
      <c r="BE26" s="603">
        <f>+bal!BG11-bal!BE11</f>
        <v>-9.7039854669134229E-3</v>
      </c>
      <c r="BF26" s="603"/>
    </row>
    <row r="27" spans="1:58" ht="12.75">
      <c r="A27" s="4" t="s">
        <v>110</v>
      </c>
      <c r="B27" s="1"/>
      <c r="C27" s="70">
        <v>-3.081</v>
      </c>
      <c r="D27" s="1"/>
      <c r="E27" s="76">
        <v>0.43</v>
      </c>
      <c r="F27" s="74"/>
      <c r="G27" s="76">
        <f>1.578-0.376</f>
        <v>1.202</v>
      </c>
      <c r="H27" s="75"/>
      <c r="I27" s="100">
        <v>-2.4449999999999998</v>
      </c>
      <c r="J27" s="75"/>
      <c r="K27" s="100">
        <v>6.2050000000000001</v>
      </c>
      <c r="L27" s="73"/>
      <c r="M27" s="599">
        <v>12.185</v>
      </c>
      <c r="N27" s="600"/>
      <c r="O27" s="599">
        <v>4.4930000000000003</v>
      </c>
      <c r="P27" s="600"/>
      <c r="Q27" s="599">
        <v>8.4949999999999992</v>
      </c>
      <c r="R27" s="600"/>
      <c r="S27" s="599">
        <v>-3.3420000000000001</v>
      </c>
      <c r="T27" s="600"/>
      <c r="U27" s="604">
        <v>-1.9179999999999999</v>
      </c>
      <c r="V27" s="600"/>
      <c r="W27" s="605">
        <v>3.6419999999999999</v>
      </c>
      <c r="X27" s="600"/>
      <c r="Y27" s="605">
        <v>4.2039999999999997</v>
      </c>
      <c r="Z27" s="602"/>
      <c r="AA27" s="605">
        <f>1.334+3.242</f>
        <v>4.5760000000000005</v>
      </c>
      <c r="AB27" s="602"/>
      <c r="AC27" s="604">
        <f>24.781-0.39</f>
        <v>24.390999999999998</v>
      </c>
      <c r="AD27" s="602"/>
      <c r="AE27" s="604">
        <f>-13.063-1.146</f>
        <v>-14.209</v>
      </c>
      <c r="AF27" s="602"/>
      <c r="AG27" s="604">
        <f>9.045+1.38</f>
        <v>10.425000000000001</v>
      </c>
      <c r="AH27" s="602"/>
      <c r="AI27" s="604">
        <f>21.261-2.444</f>
        <v>18.817</v>
      </c>
      <c r="AJ27" s="606"/>
      <c r="AK27" s="604">
        <f>-0.404+8.165</f>
        <v>7.7609999999999992</v>
      </c>
      <c r="AL27" s="606"/>
      <c r="AM27" s="604">
        <f>36.089-10.844</f>
        <v>25.244999999999997</v>
      </c>
      <c r="AN27" s="606"/>
      <c r="AO27" s="606">
        <f>+-6.612-14.282</f>
        <v>-20.893999999999998</v>
      </c>
      <c r="AP27" s="606"/>
      <c r="AQ27" s="601">
        <f>7.027+10.017</f>
        <v>17.044</v>
      </c>
      <c r="AR27" s="606"/>
      <c r="AS27" s="2008">
        <f>0.332+6.705</f>
        <v>7.0369999999999999</v>
      </c>
      <c r="AT27" s="606"/>
      <c r="AU27" s="606">
        <f>+bal!AW12-bal!AU12+bal!AW24-bal!AU24</f>
        <v>-9.5030000000000001</v>
      </c>
      <c r="AV27" s="606"/>
      <c r="AW27" s="606">
        <f>+bal!AY12-bal!AW12+bal!AY24-bal!AW24</f>
        <v>0</v>
      </c>
      <c r="AX27" s="606"/>
      <c r="AY27" s="606">
        <f>+bal!BA12-bal!AY12+bal!BA24-bal!AY24</f>
        <v>0</v>
      </c>
      <c r="AZ27" s="606"/>
      <c r="BA27" s="606">
        <f>+bal!BC12-bal!BA12+bal!BC24-bal!BA24</f>
        <v>0</v>
      </c>
      <c r="BB27" s="606"/>
      <c r="BC27" s="606">
        <f>+bal!BE12-bal!BC12+bal!BE24-bal!BC24</f>
        <v>0</v>
      </c>
      <c r="BD27" s="606"/>
      <c r="BE27" s="606">
        <f>+bal!BG12-bal!BE12+bal!BG24-bal!BE24</f>
        <v>0</v>
      </c>
      <c r="BF27" s="606"/>
    </row>
    <row r="28" spans="1:58" ht="12.75">
      <c r="A28" s="395" t="s">
        <v>132</v>
      </c>
      <c r="B28" s="1"/>
      <c r="C28" s="70"/>
      <c r="D28" s="1"/>
      <c r="E28" s="76"/>
      <c r="F28" s="74"/>
      <c r="G28" s="76"/>
      <c r="H28" s="75"/>
      <c r="I28" s="76"/>
      <c r="J28" s="75"/>
      <c r="K28" s="194"/>
      <c r="L28" s="73"/>
      <c r="M28" s="600"/>
      <c r="N28" s="600"/>
      <c r="O28" s="600"/>
      <c r="P28" s="600"/>
      <c r="Q28" s="600"/>
      <c r="R28" s="600"/>
      <c r="S28" s="600"/>
      <c r="T28" s="600"/>
      <c r="U28" s="603"/>
      <c r="V28" s="600"/>
      <c r="W28" s="599"/>
      <c r="X28" s="600"/>
      <c r="Y28" s="600"/>
      <c r="Z28" s="602"/>
      <c r="AA28" s="599"/>
      <c r="AB28" s="602"/>
      <c r="AC28" s="601"/>
      <c r="AD28" s="602"/>
      <c r="AE28" s="601"/>
      <c r="AF28" s="602"/>
      <c r="AG28" s="601"/>
      <c r="AH28" s="602"/>
      <c r="AI28" s="603"/>
      <c r="AJ28" s="603"/>
      <c r="AK28" s="603"/>
      <c r="AL28" s="603"/>
      <c r="AM28" s="603"/>
      <c r="AN28" s="603"/>
      <c r="AO28" s="603"/>
      <c r="AP28" s="603"/>
      <c r="AQ28" s="603"/>
      <c r="AR28" s="603"/>
      <c r="AS28" s="603"/>
      <c r="AT28" s="603"/>
      <c r="AU28" s="603"/>
      <c r="AV28" s="603"/>
      <c r="AW28" s="603"/>
      <c r="AX28" s="603"/>
      <c r="AY28" s="603"/>
      <c r="AZ28" s="603"/>
      <c r="BA28" s="603"/>
      <c r="BB28" s="603"/>
      <c r="BC28" s="603"/>
      <c r="BD28" s="603"/>
      <c r="BE28" s="603"/>
      <c r="BF28" s="603"/>
    </row>
    <row r="29" spans="1:58" ht="12.75">
      <c r="A29" s="4" t="s">
        <v>111</v>
      </c>
      <c r="B29" s="1"/>
      <c r="C29" s="68">
        <v>-9.5329999999999995</v>
      </c>
      <c r="D29" s="1"/>
      <c r="E29" s="76">
        <v>-4.0179999999999998</v>
      </c>
      <c r="F29" s="74"/>
      <c r="G29" s="76">
        <v>1.657</v>
      </c>
      <c r="H29" s="75"/>
      <c r="I29" s="76">
        <v>5.4</v>
      </c>
      <c r="J29" s="75"/>
      <c r="K29" s="100">
        <f>-bal!M29+bal!K29+0.028</f>
        <v>-12.121</v>
      </c>
      <c r="L29" s="73"/>
      <c r="M29" s="599">
        <v>-12.175000000000001</v>
      </c>
      <c r="N29" s="600"/>
      <c r="O29" s="599">
        <v>2.1339999999999999</v>
      </c>
      <c r="P29" s="600"/>
      <c r="Q29" s="599">
        <v>-12.752000000000001</v>
      </c>
      <c r="R29" s="600"/>
      <c r="S29" s="599">
        <v>-13.353</v>
      </c>
      <c r="T29" s="600"/>
      <c r="U29" s="601">
        <v>-23.166</v>
      </c>
      <c r="V29" s="600"/>
      <c r="W29" s="599">
        <v>-29.366</v>
      </c>
      <c r="X29" s="600"/>
      <c r="Y29" s="600">
        <v>-32.344999999999999</v>
      </c>
      <c r="Z29" s="602"/>
      <c r="AA29" s="599">
        <v>15.558999999999999</v>
      </c>
      <c r="AB29" s="602"/>
      <c r="AC29" s="601">
        <v>3.0529999999999999</v>
      </c>
      <c r="AD29" s="602"/>
      <c r="AE29" s="601">
        <v>-4.992</v>
      </c>
      <c r="AF29" s="602"/>
      <c r="AG29" s="601">
        <v>-5.2320000000000002</v>
      </c>
      <c r="AH29" s="602"/>
      <c r="AI29" s="603">
        <v>-17.934000000000001</v>
      </c>
      <c r="AJ29" s="603"/>
      <c r="AK29" s="601">
        <v>10.468</v>
      </c>
      <c r="AL29" s="603"/>
      <c r="AM29" s="601">
        <v>28.568000000000001</v>
      </c>
      <c r="AN29" s="603"/>
      <c r="AO29" s="601">
        <v>5.28</v>
      </c>
      <c r="AP29" s="603"/>
      <c r="AQ29" s="601">
        <v>3.1890000000000001</v>
      </c>
      <c r="AR29" s="603"/>
      <c r="AS29" s="603">
        <v>-52.347000000000001</v>
      </c>
      <c r="AT29" s="603"/>
      <c r="AU29" s="603">
        <f>-bal!AW29+bal!AU29</f>
        <v>9.5010000000000048</v>
      </c>
      <c r="AV29" s="603"/>
      <c r="AW29" s="603">
        <f>-bal!AY29+bal!AW29</f>
        <v>-14.791046551583719</v>
      </c>
      <c r="AX29" s="603"/>
      <c r="AY29" s="603">
        <f>-bal!BA29+bal!AY29</f>
        <v>-16.004143730245232</v>
      </c>
      <c r="AZ29" s="603"/>
      <c r="BA29" s="603">
        <f>-bal!BC29+bal!BA29</f>
        <v>-16.029048648897515</v>
      </c>
      <c r="BB29" s="603"/>
      <c r="BC29" s="603">
        <f>-bal!BE29+bal!BC29</f>
        <v>-1.7162973955407779E-2</v>
      </c>
      <c r="BD29" s="603"/>
      <c r="BE29" s="603">
        <f>-bal!BG29+bal!BE29</f>
        <v>3.3551378370475504E-2</v>
      </c>
      <c r="BF29" s="603"/>
    </row>
    <row r="30" spans="1:58" ht="12.75">
      <c r="A30" s="4" t="s">
        <v>171</v>
      </c>
      <c r="B30" s="1"/>
      <c r="C30" s="68"/>
      <c r="D30" s="1"/>
      <c r="E30" s="76"/>
      <c r="F30" s="74"/>
      <c r="G30" s="76">
        <v>0.28599999999999998</v>
      </c>
      <c r="H30" s="75"/>
      <c r="I30" s="292">
        <v>-1.669</v>
      </c>
      <c r="J30" s="292"/>
      <c r="K30" s="292">
        <f>-bal!M34+bal!K34</f>
        <v>-4.3310000000000004</v>
      </c>
      <c r="L30" s="73"/>
      <c r="M30" s="599">
        <v>-5.3730000000000002</v>
      </c>
      <c r="N30" s="600"/>
      <c r="O30" s="599">
        <v>-4.53</v>
      </c>
      <c r="P30" s="600"/>
      <c r="Q30" s="599">
        <v>-5.2130000000000001</v>
      </c>
      <c r="R30" s="600"/>
      <c r="S30" s="599">
        <v>-2.7250000000000001</v>
      </c>
      <c r="T30" s="600"/>
      <c r="U30" s="601">
        <v>-7.3730000000000002</v>
      </c>
      <c r="V30" s="600"/>
      <c r="W30" s="599">
        <v>-10.137</v>
      </c>
      <c r="X30" s="600"/>
      <c r="Y30" s="599">
        <v>-11.622999999999999</v>
      </c>
      <c r="Z30" s="602"/>
      <c r="AA30" s="599">
        <v>0.69899999999999995</v>
      </c>
      <c r="AB30" s="602"/>
      <c r="AC30" s="601">
        <v>11.391999999999999</v>
      </c>
      <c r="AD30" s="602"/>
      <c r="AE30" s="601">
        <v>3.43</v>
      </c>
      <c r="AF30" s="602"/>
      <c r="AG30" s="601">
        <v>-1.7130000000000001</v>
      </c>
      <c r="AH30" s="602"/>
      <c r="AI30" s="603">
        <v>-3.9790000000000001</v>
      </c>
      <c r="AJ30" s="603"/>
      <c r="AK30" s="603">
        <v>-1.4730000000000001</v>
      </c>
      <c r="AL30" s="603"/>
      <c r="AM30" s="603">
        <v>-1.2689999999999999</v>
      </c>
      <c r="AN30" s="603"/>
      <c r="AO30" s="603">
        <v>-1.238</v>
      </c>
      <c r="AP30" s="603"/>
      <c r="AQ30" s="603">
        <v>-0.755</v>
      </c>
      <c r="AR30" s="603"/>
      <c r="AS30" s="603">
        <v>-4.4649999999999999</v>
      </c>
      <c r="AT30" s="603"/>
      <c r="AU30" s="603">
        <f>-bal!AW34+bal!AU34</f>
        <v>0.61899999999999977</v>
      </c>
      <c r="AV30" s="603"/>
      <c r="AW30" s="603">
        <f>-bal!AY34+bal!AW34</f>
        <v>0</v>
      </c>
      <c r="AX30" s="603"/>
      <c r="AY30" s="603">
        <f>-bal!BA34+bal!AY34</f>
        <v>0</v>
      </c>
      <c r="AZ30" s="603"/>
      <c r="BA30" s="603">
        <f>-bal!BC34+bal!BA34</f>
        <v>0</v>
      </c>
      <c r="BB30" s="603"/>
      <c r="BC30" s="603">
        <f>-bal!BE34+bal!BC34</f>
        <v>0</v>
      </c>
      <c r="BD30" s="603"/>
      <c r="BE30" s="603">
        <f>-bal!BG34+bal!BE34</f>
        <v>0</v>
      </c>
      <c r="BF30" s="603"/>
    </row>
    <row r="31" spans="1:58" ht="12.75">
      <c r="A31" s="4" t="s">
        <v>675</v>
      </c>
      <c r="B31" s="1"/>
      <c r="C31" s="68"/>
      <c r="D31" s="1"/>
      <c r="E31" s="76"/>
      <c r="F31" s="74"/>
      <c r="G31" s="76"/>
      <c r="H31" s="75"/>
      <c r="I31" s="292"/>
      <c r="J31" s="292"/>
      <c r="K31" s="292"/>
      <c r="L31" s="73"/>
      <c r="M31" s="599"/>
      <c r="N31" s="600"/>
      <c r="O31" s="599"/>
      <c r="P31" s="600"/>
      <c r="Q31" s="599"/>
      <c r="R31" s="600"/>
      <c r="S31" s="599">
        <v>-5.29</v>
      </c>
      <c r="T31" s="600"/>
      <c r="U31" s="601">
        <v>-3.359</v>
      </c>
      <c r="V31" s="600"/>
      <c r="W31" s="601">
        <v>-2.7839999999999998</v>
      </c>
      <c r="X31" s="603"/>
      <c r="Y31" s="601">
        <v>-7.7910000000000004</v>
      </c>
      <c r="Z31" s="603"/>
      <c r="AA31" s="601">
        <v>-4.6399999999999997</v>
      </c>
      <c r="AB31" s="603"/>
      <c r="AC31" s="601">
        <v>-18.887</v>
      </c>
      <c r="AD31" s="603"/>
      <c r="AE31" s="601">
        <v>-4.173</v>
      </c>
      <c r="AF31" s="603"/>
      <c r="AG31" s="601">
        <v>7.4509999999999996</v>
      </c>
      <c r="AH31" s="603"/>
      <c r="AI31" s="601">
        <v>7.8369999999999997</v>
      </c>
      <c r="AJ31" s="603"/>
      <c r="AK31" s="601">
        <v>11.073</v>
      </c>
      <c r="AL31" s="603"/>
      <c r="AM31" s="601">
        <v>-0.58299999999999996</v>
      </c>
      <c r="AN31" s="603"/>
      <c r="AO31" s="601">
        <v>4.5279999999999996</v>
      </c>
      <c r="AP31" s="603"/>
      <c r="AQ31" s="601">
        <v>4.0990000000000002</v>
      </c>
      <c r="AR31" s="603"/>
      <c r="AS31" s="948">
        <v>5.2290000000000001</v>
      </c>
      <c r="AT31" s="603"/>
      <c r="AU31" s="603"/>
      <c r="AV31" s="603"/>
      <c r="AW31" s="603"/>
      <c r="AX31" s="603"/>
      <c r="AY31" s="603"/>
      <c r="AZ31" s="603"/>
      <c r="BA31" s="603"/>
      <c r="BB31" s="603"/>
      <c r="BC31" s="603"/>
      <c r="BD31" s="603"/>
      <c r="BE31" s="603"/>
      <c r="BF31" s="603"/>
    </row>
    <row r="32" spans="1:58" ht="12.75">
      <c r="A32" s="4" t="s">
        <v>140</v>
      </c>
      <c r="B32" s="1"/>
      <c r="C32" s="69">
        <v>2.5459999999999998</v>
      </c>
      <c r="D32" s="1"/>
      <c r="E32" s="79">
        <v>-3.4889999999999999</v>
      </c>
      <c r="F32" s="54"/>
      <c r="G32" s="291">
        <v>-10.962</v>
      </c>
      <c r="H32" s="274"/>
      <c r="I32" s="291">
        <f>-13.42-I30</f>
        <v>-11.750999999999999</v>
      </c>
      <c r="J32" s="1"/>
      <c r="K32" s="99">
        <v>-30.347999999999999</v>
      </c>
      <c r="L32" s="1"/>
      <c r="M32" s="607">
        <v>-43.981999999999999</v>
      </c>
      <c r="N32" s="600"/>
      <c r="O32" s="607">
        <v>-16.254999999999999</v>
      </c>
      <c r="P32" s="600"/>
      <c r="Q32" s="607">
        <v>22.256</v>
      </c>
      <c r="R32" s="600"/>
      <c r="S32" s="607">
        <v>-21.437000000000001</v>
      </c>
      <c r="T32" s="600"/>
      <c r="U32" s="608">
        <v>-41.576000000000001</v>
      </c>
      <c r="V32" s="609"/>
      <c r="W32" s="607">
        <v>-42.905999999999999</v>
      </c>
      <c r="X32" s="609"/>
      <c r="Y32" s="609">
        <v>-78.236999999999995</v>
      </c>
      <c r="Z32" s="609"/>
      <c r="AA32" s="607">
        <f>1.048+31.416</f>
        <v>32.463999999999999</v>
      </c>
      <c r="AB32" s="609"/>
      <c r="AC32" s="608">
        <f>20.697+19.188</f>
        <v>39.884999999999998</v>
      </c>
      <c r="AD32" s="609"/>
      <c r="AE32" s="608">
        <f>-25.528-12.862+1.649</f>
        <v>-36.741</v>
      </c>
      <c r="AF32" s="609"/>
      <c r="AG32" s="608">
        <f>19.618-11.999-12.457</f>
        <v>-4.8380000000000027</v>
      </c>
      <c r="AH32" s="609"/>
      <c r="AI32" s="608">
        <f>-7.677+15.515-0.938</f>
        <v>6.9000000000000012</v>
      </c>
      <c r="AJ32" s="610"/>
      <c r="AK32" s="610">
        <f>-23.018+7.408-20.186</f>
        <v>-35.795999999999999</v>
      </c>
      <c r="AL32" s="610"/>
      <c r="AM32" s="608">
        <f>42.465+25.84-27.605-20.751</f>
        <v>19.949000000000002</v>
      </c>
      <c r="AN32" s="610"/>
      <c r="AO32" s="608">
        <f>-20.716-24.826+9.012</f>
        <v>-36.53</v>
      </c>
      <c r="AP32" s="610"/>
      <c r="AQ32" s="608">
        <f>+-34.234+17.615+14.133-12.579+10.442</f>
        <v>-4.6230000000000047</v>
      </c>
      <c r="AR32" s="610"/>
      <c r="AS32" s="2009">
        <f>25.809+10.695+15.467</f>
        <v>51.971000000000004</v>
      </c>
      <c r="AT32" s="610"/>
      <c r="AU32" s="610">
        <f>-bal!AW31+bal!AU31-bal!AW32+bal!AU32-bal!AW33+bal!AU33-bal!AW36+bal!AU36+22.6823</f>
        <v>19.547300000000003</v>
      </c>
      <c r="AV32" s="610"/>
      <c r="AW32" s="610">
        <f>-bal!AY31+bal!AW31-bal!AY32+bal!AW32-bal!AY33+bal!AW33-bal!AY36+bal!AW36</f>
        <v>-9.6161012707818188</v>
      </c>
      <c r="AX32" s="610"/>
      <c r="AY32" s="610">
        <f>-bal!BA31+bal!AY31-bal!BA32+bal!AY32-bal!BA33+bal!AY33-bal!BA36+bal!AY36</f>
        <v>-5.7847282999446676</v>
      </c>
      <c r="AZ32" s="610"/>
      <c r="BA32" s="610">
        <f>-bal!BC31+bal!BA31-bal!BC32+bal!BA32-bal!BC33+bal!BA33-bal!BC36+bal!BA36</f>
        <v>-6.0163628581319699</v>
      </c>
      <c r="BB32" s="610"/>
      <c r="BC32" s="610">
        <f>-bal!BE31+bal!BC31-bal!BE32+bal!BC32-bal!BE33+bal!BC33-bal!BE36+bal!BC36</f>
        <v>-4.6482829920691771</v>
      </c>
      <c r="BD32" s="606"/>
      <c r="BE32" s="610">
        <f>-bal!BG31+bal!BE31-bal!BG32+bal!BE32-bal!BG33+bal!BE33-bal!BG36+bal!BE36</f>
        <v>-6.237512669606069</v>
      </c>
      <c r="BF32" s="606"/>
    </row>
    <row r="33" spans="1:58" ht="12.75">
      <c r="A33" s="1" t="s">
        <v>169</v>
      </c>
      <c r="B33" s="1"/>
      <c r="C33" s="71">
        <f>C32+C29+C27+C26+C25+C16+C15+C14+C11</f>
        <v>22.234999999999999</v>
      </c>
      <c r="D33" s="1"/>
      <c r="E33" s="76">
        <f>SUM(E25:E32)</f>
        <v>-5.4089999999999998</v>
      </c>
      <c r="F33" s="51"/>
      <c r="G33" s="76">
        <f>SUM(G25:G32)</f>
        <v>3.697000000000001</v>
      </c>
      <c r="H33" s="1"/>
      <c r="I33" s="76">
        <f>SUM(I25:I32)</f>
        <v>3.8580000000000059</v>
      </c>
      <c r="J33" s="1"/>
      <c r="K33" s="363">
        <f>SUM(K25:K32)</f>
        <v>-24.997000000000003</v>
      </c>
      <c r="L33" s="292"/>
      <c r="M33" s="292">
        <f>SUM(M25:M32)</f>
        <v>-30.350999999999999</v>
      </c>
      <c r="N33" s="292"/>
      <c r="O33" s="292">
        <f>SUM(O25:O32)</f>
        <v>-15.145</v>
      </c>
      <c r="P33" s="292"/>
      <c r="Q33" s="292">
        <f>SUM(Q25:Q32)</f>
        <v>41.035999999999994</v>
      </c>
      <c r="R33" s="292"/>
      <c r="S33" s="292">
        <f>SUM(S25:S32)</f>
        <v>-51.255000000000003</v>
      </c>
      <c r="T33" s="292"/>
      <c r="U33" s="394">
        <f>SUM(U25:U32)</f>
        <v>-36.730000000000004</v>
      </c>
      <c r="V33" s="292"/>
      <c r="W33" s="292">
        <f>SUM(W25:W32)</f>
        <v>-47.051999999999992</v>
      </c>
      <c r="X33" s="292"/>
      <c r="Y33" s="292">
        <f>SUM(Y25:Y32)</f>
        <v>-75.042999999999992</v>
      </c>
      <c r="Z33" s="292"/>
      <c r="AA33" s="647">
        <f>SUM(AA25:AA32)</f>
        <v>73.391999999999996</v>
      </c>
      <c r="AB33" s="292"/>
      <c r="AC33" s="651">
        <f>SUM(AC25:AC32)</f>
        <v>83.662999999999982</v>
      </c>
      <c r="AD33" s="292"/>
      <c r="AE33" s="394">
        <f>SUM(AE25:AE32)</f>
        <v>-35.742999999999995</v>
      </c>
      <c r="AF33" s="292"/>
      <c r="AG33" s="394">
        <f>SUM(AG25:AG32)</f>
        <v>-8.8300000000000054</v>
      </c>
      <c r="AH33" s="292"/>
      <c r="AI33" s="394">
        <f>SUM(AI25:AI32)</f>
        <v>92.541000000000025</v>
      </c>
      <c r="AJ33" s="394"/>
      <c r="AK33" s="394">
        <f>SUM(AK25:AK32)</f>
        <v>-36.504999999999995</v>
      </c>
      <c r="AL33" s="394"/>
      <c r="AM33" s="394">
        <f>SUM(AM25:AM32)</f>
        <v>61.272999999999996</v>
      </c>
      <c r="AN33" s="394"/>
      <c r="AO33" s="394">
        <f>SUM(AO25:AO32)</f>
        <v>-60.506</v>
      </c>
      <c r="AP33" s="394"/>
      <c r="AQ33" s="394">
        <f>SUM(AQ25:AQ32)</f>
        <v>51.305999999999997</v>
      </c>
      <c r="AR33" s="394"/>
      <c r="AS33" s="394">
        <f>SUM(AS25:AS32)</f>
        <v>68.743000000000009</v>
      </c>
      <c r="AT33" s="394"/>
      <c r="AU33" s="394">
        <f>SUM(AU25:AU32)</f>
        <v>51.601300000000009</v>
      </c>
      <c r="AV33" s="394"/>
      <c r="AW33" s="394">
        <f>SUM(AW25:AW32)</f>
        <v>1.5239655166159238</v>
      </c>
      <c r="AX33" s="394"/>
      <c r="AY33" s="394">
        <f>SUM(AY25:AY32)</f>
        <v>6.5154310208855364</v>
      </c>
      <c r="AZ33" s="394"/>
      <c r="BA33" s="394">
        <f>SUM(BA25:BA32)</f>
        <v>6.1929912358226176</v>
      </c>
      <c r="BB33" s="394"/>
      <c r="BC33" s="394">
        <f>SUM(BC25:BC32)</f>
        <v>-4.6316081418131958</v>
      </c>
      <c r="BD33" s="394"/>
      <c r="BE33" s="394">
        <f>SUM(BE25:BE32)</f>
        <v>-6.2701098297290585</v>
      </c>
      <c r="BF33" s="394"/>
    </row>
    <row r="34" spans="1:58" ht="12.75" hidden="1" outlineLevel="1">
      <c r="A34" s="4"/>
      <c r="B34" s="1"/>
      <c r="C34" s="5"/>
      <c r="D34" s="1"/>
      <c r="E34" s="5"/>
      <c r="F34" s="52"/>
      <c r="G34" s="5"/>
      <c r="H34" s="1"/>
      <c r="I34" s="5"/>
      <c r="J34" s="1"/>
      <c r="K34" s="195"/>
      <c r="L34" s="1"/>
      <c r="M34" s="1"/>
      <c r="N34" s="1"/>
      <c r="O34" s="1"/>
      <c r="P34" s="1"/>
      <c r="Q34" s="1"/>
      <c r="R34" s="1"/>
      <c r="S34" s="1"/>
      <c r="T34" s="1"/>
      <c r="U34" s="538"/>
      <c r="V34" s="1"/>
      <c r="W34" s="1"/>
      <c r="X34" s="1"/>
      <c r="Y34" s="1"/>
      <c r="Z34" s="51"/>
      <c r="AA34" s="1"/>
      <c r="AB34" s="51"/>
      <c r="AC34" s="538"/>
      <c r="AD34" s="51"/>
      <c r="AE34" s="538"/>
      <c r="AF34" s="51"/>
      <c r="AG34" s="538"/>
      <c r="AH34" s="51"/>
      <c r="AI34" s="538"/>
      <c r="AJ34" s="538"/>
      <c r="AK34" s="538"/>
      <c r="AL34" s="538"/>
      <c r="AM34" s="538"/>
      <c r="AN34" s="538"/>
      <c r="AO34" s="538"/>
      <c r="AP34" s="538"/>
      <c r="AQ34" s="538"/>
      <c r="AR34" s="538"/>
      <c r="AS34" s="538"/>
      <c r="AT34" s="538"/>
      <c r="AU34" s="538"/>
      <c r="AV34" s="538"/>
      <c r="AW34" s="538"/>
      <c r="AX34" s="538"/>
      <c r="AY34" s="538"/>
      <c r="AZ34" s="538"/>
      <c r="BA34" s="538"/>
      <c r="BB34" s="538"/>
      <c r="BC34" s="538"/>
      <c r="BD34" s="538"/>
      <c r="BE34" s="538"/>
      <c r="BF34" s="538"/>
    </row>
    <row r="35" spans="1:58" ht="6" customHeight="1" collapsed="1">
      <c r="A35" s="4"/>
      <c r="B35" s="1"/>
      <c r="C35" s="1"/>
      <c r="D35" s="1"/>
      <c r="E35" s="1"/>
      <c r="F35" s="51"/>
      <c r="G35" s="1"/>
      <c r="H35" s="1"/>
      <c r="I35" s="1"/>
      <c r="J35" s="1"/>
      <c r="K35" s="1"/>
      <c r="L35" s="1"/>
      <c r="M35" s="1"/>
      <c r="N35" s="1"/>
      <c r="O35" s="1"/>
      <c r="P35" s="1"/>
      <c r="Q35" s="1"/>
      <c r="R35" s="1"/>
      <c r="S35" s="1"/>
      <c r="T35" s="1"/>
      <c r="U35" s="538"/>
      <c r="V35" s="1"/>
      <c r="W35" s="1"/>
      <c r="X35" s="1"/>
      <c r="Y35" s="1"/>
      <c r="Z35" s="51"/>
      <c r="AA35" s="1"/>
      <c r="AB35" s="51"/>
      <c r="AC35" s="538"/>
      <c r="AD35" s="51"/>
      <c r="AE35" s="538"/>
      <c r="AF35" s="51"/>
      <c r="AG35" s="538"/>
      <c r="AH35" s="51"/>
      <c r="AI35" s="538"/>
      <c r="AJ35" s="538"/>
      <c r="AK35" s="538"/>
      <c r="AL35" s="538"/>
      <c r="AM35" s="538"/>
      <c r="AN35" s="538"/>
      <c r="AO35" s="538"/>
      <c r="AP35" s="538"/>
      <c r="AQ35" s="538"/>
      <c r="AR35" s="538"/>
      <c r="AS35" s="538"/>
      <c r="AT35" s="538"/>
      <c r="AU35" s="538"/>
      <c r="AV35" s="538"/>
      <c r="AW35" s="538"/>
      <c r="AX35" s="538"/>
      <c r="AY35" s="538"/>
      <c r="AZ35" s="538"/>
      <c r="BA35" s="538"/>
      <c r="BB35" s="538"/>
      <c r="BC35" s="538"/>
      <c r="BD35" s="538"/>
      <c r="BE35" s="538"/>
      <c r="BF35" s="538"/>
    </row>
    <row r="36" spans="1:58" ht="12.75">
      <c r="A36" s="4" t="s">
        <v>66</v>
      </c>
      <c r="B36" s="1"/>
      <c r="C36" s="5">
        <f>C33+C10</f>
        <v>20.900999999999954</v>
      </c>
      <c r="D36" s="1"/>
      <c r="E36" s="5">
        <f>E33+E22</f>
        <v>5.1309999999999993</v>
      </c>
      <c r="F36" s="52"/>
      <c r="G36" s="5">
        <f>G33+G22</f>
        <v>16.343000000000004</v>
      </c>
      <c r="H36" s="1"/>
      <c r="I36" s="5">
        <f>I33+I22</f>
        <v>28.771000000000008</v>
      </c>
      <c r="J36" s="1"/>
      <c r="K36" s="5">
        <f>K33+K22</f>
        <v>20.559000000000001</v>
      </c>
      <c r="L36" s="1"/>
      <c r="M36" s="5">
        <f>M33+M22</f>
        <v>144.15800000000002</v>
      </c>
      <c r="N36" s="1"/>
      <c r="O36" s="5">
        <f>O33+O22</f>
        <v>104.202</v>
      </c>
      <c r="P36" s="1"/>
      <c r="Q36" s="5">
        <f>Q33+Q22</f>
        <v>102.44299999999998</v>
      </c>
      <c r="R36" s="1"/>
      <c r="S36" s="5">
        <f>S33+S22</f>
        <v>26.288999999999994</v>
      </c>
      <c r="T36" s="1"/>
      <c r="U36" s="545">
        <f>U33+U22</f>
        <v>60.557999999999993</v>
      </c>
      <c r="V36" s="1"/>
      <c r="W36" s="5">
        <f>W33+W22</f>
        <v>34.493000000000009</v>
      </c>
      <c r="X36" s="1"/>
      <c r="Y36" s="5">
        <f>Y33+Y22</f>
        <v>150.89600000000002</v>
      </c>
      <c r="Z36" s="52"/>
      <c r="AA36" s="5">
        <f>AA33+AA22</f>
        <v>323.79899999999998</v>
      </c>
      <c r="AB36" s="52"/>
      <c r="AC36" s="545">
        <f>AC33+AC22</f>
        <v>348.99799999999993</v>
      </c>
      <c r="AD36" s="52"/>
      <c r="AE36" s="545">
        <f>AE33+AE22</f>
        <v>91.676000000000002</v>
      </c>
      <c r="AF36" s="52"/>
      <c r="AG36" s="545">
        <f>AG33+AG22</f>
        <v>75.429000000000002</v>
      </c>
      <c r="AH36" s="52"/>
      <c r="AI36" s="545">
        <f>AI33+AI22</f>
        <v>192.67600000000004</v>
      </c>
      <c r="AJ36" s="545"/>
      <c r="AK36" s="545">
        <f>AK33+AK22</f>
        <v>57.433999999999997</v>
      </c>
      <c r="AL36" s="545"/>
      <c r="AM36" s="545">
        <f>AM33+AM22</f>
        <v>339.77200000000005</v>
      </c>
      <c r="AN36" s="545"/>
      <c r="AO36" s="545">
        <f>AO33+AO22</f>
        <v>184.49600000000001</v>
      </c>
      <c r="AP36" s="545"/>
      <c r="AQ36" s="545">
        <f>AQ33+AQ22</f>
        <v>204.56200000000001</v>
      </c>
      <c r="AR36" s="545"/>
      <c r="AS36" s="545">
        <f>AS33+AS22</f>
        <v>230.23700000000002</v>
      </c>
      <c r="AT36" s="545"/>
      <c r="AU36" s="545">
        <f>AU33+AU22</f>
        <v>220.60130000000001</v>
      </c>
      <c r="AV36" s="545"/>
      <c r="AW36" s="545">
        <f>AW33+AW22</f>
        <v>186.52396551661593</v>
      </c>
      <c r="AX36" s="545"/>
      <c r="AY36" s="545">
        <f>AY33+AY22</f>
        <v>191.51543102088553</v>
      </c>
      <c r="AZ36" s="545"/>
      <c r="BA36" s="545">
        <f>BA33+BA22</f>
        <v>191.1929912358226</v>
      </c>
      <c r="BB36" s="545"/>
      <c r="BC36" s="545">
        <f>BC33+BC22</f>
        <v>180.36839185818681</v>
      </c>
      <c r="BD36" s="545"/>
      <c r="BE36" s="545">
        <f>BE33+BE22</f>
        <v>178.72989017027095</v>
      </c>
      <c r="BF36" s="545"/>
    </row>
    <row r="37" spans="1:58" ht="6" customHeight="1">
      <c r="A37" s="4"/>
      <c r="B37" s="1"/>
      <c r="C37" s="5"/>
      <c r="D37" s="1"/>
      <c r="E37" s="5"/>
      <c r="F37" s="52"/>
      <c r="G37" s="5"/>
      <c r="H37" s="1"/>
      <c r="I37" s="5"/>
      <c r="J37" s="1"/>
      <c r="K37" s="5"/>
      <c r="L37" s="1"/>
      <c r="M37" s="5"/>
      <c r="N37" s="1"/>
      <c r="O37" s="5"/>
      <c r="P37" s="1"/>
      <c r="Q37" s="5"/>
      <c r="R37" s="1"/>
      <c r="S37" s="5"/>
      <c r="T37" s="1"/>
      <c r="U37" s="545"/>
      <c r="V37" s="1"/>
      <c r="W37" s="5"/>
      <c r="X37" s="1"/>
      <c r="Y37" s="5"/>
      <c r="Z37" s="105"/>
      <c r="AA37" s="5"/>
      <c r="AB37" s="105"/>
      <c r="AC37" s="545"/>
      <c r="AD37" s="105"/>
      <c r="AE37" s="545"/>
      <c r="AF37" s="105"/>
      <c r="AG37" s="545"/>
      <c r="AH37" s="105"/>
      <c r="AI37" s="545"/>
      <c r="AJ37" s="545"/>
      <c r="AK37" s="545"/>
      <c r="AL37" s="545"/>
      <c r="AM37" s="545"/>
      <c r="AN37" s="545"/>
      <c r="AO37" s="545"/>
      <c r="AP37" s="545"/>
      <c r="AQ37" s="545"/>
      <c r="AR37" s="552"/>
      <c r="AS37" s="552"/>
      <c r="AT37" s="552"/>
      <c r="AU37" s="897"/>
      <c r="AV37" s="897"/>
      <c r="AW37" s="552"/>
      <c r="AX37" s="552"/>
      <c r="AY37" s="552"/>
      <c r="AZ37" s="552"/>
      <c r="BA37" s="552"/>
      <c r="BB37" s="552"/>
      <c r="BC37" s="552"/>
      <c r="BD37" s="897"/>
      <c r="BE37" s="897"/>
      <c r="BF37" s="897"/>
    </row>
    <row r="38" spans="1:58" ht="12.75">
      <c r="A38" s="101" t="s">
        <v>114</v>
      </c>
      <c r="B38" s="102"/>
      <c r="C38" s="103"/>
      <c r="D38" s="102"/>
      <c r="E38" s="103"/>
      <c r="F38" s="103"/>
      <c r="G38" s="103"/>
      <c r="H38" s="102"/>
      <c r="I38" s="103"/>
      <c r="J38" s="102"/>
      <c r="K38" s="103"/>
      <c r="L38" s="102"/>
      <c r="M38" s="103"/>
      <c r="N38" s="102"/>
      <c r="O38" s="103"/>
      <c r="P38" s="102"/>
      <c r="Q38" s="103"/>
      <c r="R38" s="102"/>
      <c r="S38" s="103"/>
      <c r="T38" s="102"/>
      <c r="U38" s="551"/>
      <c r="V38" s="102"/>
      <c r="W38" s="103"/>
      <c r="X38" s="102"/>
      <c r="Y38" s="103"/>
      <c r="Z38" s="52"/>
      <c r="AA38" s="103"/>
      <c r="AB38" s="52"/>
      <c r="AC38" s="551"/>
      <c r="AD38" s="52"/>
      <c r="AE38" s="551"/>
      <c r="AF38" s="52"/>
      <c r="AG38" s="551"/>
      <c r="AH38" s="52"/>
      <c r="AI38" s="551"/>
      <c r="AJ38" s="551"/>
      <c r="AK38" s="551"/>
      <c r="AL38" s="551"/>
      <c r="AM38" s="551"/>
      <c r="AN38" s="551"/>
      <c r="AO38" s="551"/>
      <c r="AP38" s="551"/>
      <c r="AQ38" s="551"/>
      <c r="AR38" s="551"/>
      <c r="AS38" s="551"/>
      <c r="AT38" s="551"/>
      <c r="AU38" s="551"/>
      <c r="AV38" s="551"/>
      <c r="AW38" s="551"/>
      <c r="AX38" s="551"/>
      <c r="AY38" s="551"/>
      <c r="AZ38" s="551"/>
      <c r="BA38" s="551"/>
      <c r="BB38" s="2097"/>
      <c r="BC38" s="551"/>
      <c r="BD38" s="2097"/>
      <c r="BE38" s="671"/>
      <c r="BF38" s="897"/>
    </row>
    <row r="39" spans="1:58" ht="12.75">
      <c r="A39" s="104" t="s">
        <v>115</v>
      </c>
      <c r="B39" s="72"/>
      <c r="C39" s="105"/>
      <c r="D39" s="72"/>
      <c r="E39" s="105">
        <f>E18-E36</f>
        <v>8.0409999999999648</v>
      </c>
      <c r="F39" s="105"/>
      <c r="G39" s="105">
        <f>G18-G36</f>
        <v>13.521999999999988</v>
      </c>
      <c r="H39" s="72"/>
      <c r="I39" s="105">
        <f>I18-I36</f>
        <v>34.907999999999994</v>
      </c>
      <c r="J39" s="72"/>
      <c r="K39" s="105">
        <f>K18-K36</f>
        <v>87.356000000000037</v>
      </c>
      <c r="L39" s="72"/>
      <c r="M39" s="293">
        <f>M18-M36</f>
        <v>-23.497000000000071</v>
      </c>
      <c r="N39" s="72"/>
      <c r="O39" s="105">
        <f>O18-O36</f>
        <v>54.543000000000177</v>
      </c>
      <c r="P39" s="72"/>
      <c r="Q39" s="105">
        <f>Q18-Q36</f>
        <v>43.14100000000002</v>
      </c>
      <c r="R39" s="72"/>
      <c r="S39" s="105">
        <f>S18-S36</f>
        <v>137.65699999999995</v>
      </c>
      <c r="T39" s="72"/>
      <c r="U39" s="552">
        <f>U18-U36</f>
        <v>271.39500000000004</v>
      </c>
      <c r="V39" s="72"/>
      <c r="W39" s="105">
        <f>W18-W36</f>
        <v>398.87400000000002</v>
      </c>
      <c r="X39" s="72"/>
      <c r="Y39" s="105">
        <f>Y18-Y36</f>
        <v>555.21499999999969</v>
      </c>
      <c r="Z39" s="105"/>
      <c r="AA39" s="105">
        <f>AA18-AA36</f>
        <v>213.86299999999972</v>
      </c>
      <c r="AB39" s="105"/>
      <c r="AC39" s="552">
        <f>AC18-AC36</f>
        <v>36.858000000000175</v>
      </c>
      <c r="AD39" s="105"/>
      <c r="AE39" s="552">
        <f>AE18-AE36</f>
        <v>259.04300000000001</v>
      </c>
      <c r="AF39" s="105"/>
      <c r="AG39" s="552">
        <f>AG18-AG36</f>
        <v>277.048</v>
      </c>
      <c r="AH39" s="105"/>
      <c r="AI39" s="552">
        <f>AI18-AI36</f>
        <v>139.12099999999992</v>
      </c>
      <c r="AJ39" s="552"/>
      <c r="AK39" s="552">
        <f>AK18-AK36</f>
        <v>405.73199999999997</v>
      </c>
      <c r="AL39" s="552"/>
      <c r="AM39" s="552">
        <f>AM18-AM36</f>
        <v>-63.340000000000032</v>
      </c>
      <c r="AN39" s="552"/>
      <c r="AO39" s="552">
        <f>AO18-AO36</f>
        <v>93.405999999999977</v>
      </c>
      <c r="AP39" s="552"/>
      <c r="AQ39" s="552">
        <f>AQ18-AQ36</f>
        <v>190.79899999999986</v>
      </c>
      <c r="AR39" s="552">
        <f>AR18-AR36</f>
        <v>0</v>
      </c>
      <c r="AS39" s="552">
        <f>AS18-AS36</f>
        <v>204.10200000000003</v>
      </c>
      <c r="AT39" s="552">
        <f>AT18-AT36</f>
        <v>0</v>
      </c>
      <c r="AU39" s="552">
        <f>AU18-AU36</f>
        <v>195.07659999999979</v>
      </c>
      <c r="AV39" s="552"/>
      <c r="AW39" s="552">
        <f>AW18-AW36</f>
        <v>273.00226839838143</v>
      </c>
      <c r="AX39" s="552"/>
      <c r="AY39" s="552">
        <f>AY18-AY36</f>
        <v>267.73655180499532</v>
      </c>
      <c r="AZ39" s="552"/>
      <c r="BA39" s="552">
        <f>BA18-BA36</f>
        <v>265.82170980264351</v>
      </c>
      <c r="BB39" s="2098"/>
      <c r="BC39" s="552">
        <f>BC18-BC36</f>
        <v>269.91382905974069</v>
      </c>
      <c r="BD39" s="2098"/>
      <c r="BE39" s="672">
        <f>BE18-BE36</f>
        <v>254.81020582527009</v>
      </c>
      <c r="BF39" s="897"/>
    </row>
    <row r="40" spans="1:58" ht="12.75" hidden="1" outlineLevel="1">
      <c r="A40" s="4"/>
      <c r="B40" s="1"/>
      <c r="C40" s="5"/>
      <c r="D40" s="1"/>
      <c r="E40" s="5"/>
      <c r="F40" s="52"/>
      <c r="G40" s="5"/>
      <c r="H40" s="1"/>
      <c r="I40" s="5"/>
      <c r="J40" s="1"/>
      <c r="K40" s="5"/>
      <c r="L40" s="1"/>
      <c r="M40" s="5"/>
      <c r="N40" s="1"/>
      <c r="O40" s="52"/>
      <c r="P40" s="1"/>
      <c r="Q40" s="5"/>
      <c r="R40" s="1"/>
      <c r="S40" s="5"/>
      <c r="T40" s="1"/>
      <c r="U40" s="545"/>
      <c r="V40" s="1"/>
      <c r="W40" s="5"/>
      <c r="X40" s="1"/>
      <c r="Y40" s="5"/>
      <c r="Z40" s="52"/>
      <c r="AA40" s="5"/>
      <c r="AB40" s="52"/>
      <c r="AC40" s="545"/>
      <c r="AD40" s="52"/>
      <c r="AE40" s="545"/>
      <c r="AF40" s="52"/>
      <c r="AG40" s="661"/>
      <c r="AH40" s="52"/>
      <c r="AI40" s="545"/>
      <c r="AJ40" s="545"/>
      <c r="AK40" s="545"/>
      <c r="AL40" s="545"/>
      <c r="AM40" s="545"/>
      <c r="AN40" s="545"/>
      <c r="AO40" s="545"/>
      <c r="AP40" s="545"/>
      <c r="AQ40" s="545"/>
      <c r="AR40" s="545"/>
      <c r="AS40" s="545"/>
      <c r="AT40" s="545"/>
      <c r="AU40" s="545"/>
      <c r="AV40" s="545"/>
      <c r="AW40" s="545"/>
      <c r="AX40" s="545"/>
      <c r="AY40" s="545"/>
      <c r="AZ40" s="545"/>
      <c r="BA40" s="545"/>
      <c r="BB40" s="545"/>
      <c r="BC40" s="545"/>
      <c r="BD40" s="545"/>
      <c r="BE40" s="545"/>
      <c r="BF40" s="545"/>
    </row>
    <row r="41" spans="1:58" ht="12.75" hidden="1" outlineLevel="1">
      <c r="A41" s="4"/>
      <c r="B41" s="1"/>
      <c r="C41" s="5"/>
      <c r="D41" s="1"/>
      <c r="E41" s="5"/>
      <c r="F41" s="52"/>
      <c r="G41" s="5"/>
      <c r="H41" s="1"/>
      <c r="I41" s="5"/>
      <c r="J41" s="1"/>
      <c r="K41" s="5"/>
      <c r="L41" s="1"/>
      <c r="M41" s="5"/>
      <c r="N41" s="1"/>
      <c r="O41" s="5"/>
      <c r="P41" s="1"/>
      <c r="Q41" s="5"/>
      <c r="R41" s="1"/>
      <c r="S41" s="5"/>
      <c r="T41" s="1"/>
      <c r="U41" s="545"/>
      <c r="V41" s="1"/>
      <c r="W41" s="5"/>
      <c r="X41" s="1"/>
      <c r="Y41" s="5"/>
      <c r="Z41" s="52"/>
      <c r="AA41" s="5"/>
      <c r="AB41" s="52"/>
      <c r="AC41" s="545"/>
      <c r="AD41" s="52"/>
      <c r="AE41" s="545"/>
      <c r="AF41" s="52"/>
      <c r="AG41" s="545"/>
      <c r="AH41" s="52"/>
      <c r="AI41" s="545"/>
      <c r="AJ41" s="545"/>
      <c r="AK41" s="545"/>
      <c r="AL41" s="545"/>
      <c r="AM41" s="545"/>
      <c r="AN41" s="545"/>
      <c r="AO41" s="545"/>
      <c r="AP41" s="545"/>
      <c r="AQ41" s="545"/>
      <c r="AR41" s="545"/>
      <c r="AS41" s="545"/>
      <c r="AT41" s="545"/>
      <c r="AU41" s="545"/>
      <c r="AV41" s="545"/>
      <c r="AW41" s="545"/>
      <c r="AX41" s="545"/>
      <c r="AY41" s="545"/>
      <c r="AZ41" s="545"/>
      <c r="BA41" s="545"/>
      <c r="BB41" s="545"/>
      <c r="BC41" s="545"/>
      <c r="BD41" s="545"/>
      <c r="BE41" s="545"/>
      <c r="BF41" s="545"/>
    </row>
    <row r="42" spans="1:58" ht="12.75" hidden="1" outlineLevel="1" collapsed="1">
      <c r="A42" s="50"/>
      <c r="B42" s="1"/>
      <c r="C42" s="5"/>
      <c r="D42" s="1"/>
      <c r="E42" s="105"/>
      <c r="F42" s="105"/>
      <c r="G42" s="105"/>
      <c r="H42" s="72"/>
      <c r="I42" s="140"/>
      <c r="J42" s="140"/>
      <c r="K42" s="140"/>
      <c r="L42" s="140"/>
      <c r="M42" s="140" t="s">
        <v>67</v>
      </c>
      <c r="N42" s="137"/>
      <c r="O42" s="140"/>
      <c r="P42" s="137"/>
      <c r="Q42" s="137"/>
      <c r="R42" s="137"/>
      <c r="S42" s="396"/>
      <c r="T42" s="137"/>
      <c r="U42" s="553"/>
      <c r="V42" s="137"/>
      <c r="W42" s="396"/>
      <c r="X42" s="137"/>
      <c r="Y42" s="396"/>
      <c r="Z42" s="396"/>
      <c r="AA42" s="396"/>
      <c r="AB42" s="396"/>
      <c r="AC42" s="553"/>
      <c r="AD42" s="396"/>
      <c r="AE42" s="553"/>
      <c r="AF42" s="396"/>
      <c r="AG42" s="553"/>
      <c r="AH42" s="396"/>
      <c r="AI42" s="553"/>
      <c r="AJ42" s="553"/>
      <c r="AK42" s="553"/>
      <c r="AL42" s="553"/>
      <c r="AM42" s="553"/>
      <c r="AN42" s="553"/>
      <c r="AO42" s="553"/>
      <c r="AP42" s="553"/>
      <c r="AQ42" s="553"/>
      <c r="AR42" s="863"/>
      <c r="AS42" s="863"/>
      <c r="AT42" s="863"/>
      <c r="AU42" s="863"/>
      <c r="AV42" s="863"/>
      <c r="AW42" s="863"/>
      <c r="AX42" s="863"/>
      <c r="AY42" s="863"/>
      <c r="AZ42" s="863"/>
      <c r="BA42" s="863"/>
      <c r="BB42" s="863"/>
      <c r="BC42" s="863"/>
      <c r="BD42" s="863"/>
      <c r="BE42" s="863"/>
      <c r="BF42" s="863"/>
    </row>
    <row r="43" spans="1:58" ht="6" customHeight="1" collapsed="1">
      <c r="A43" s="50"/>
      <c r="B43" s="1"/>
      <c r="C43" s="5"/>
      <c r="D43" s="1"/>
      <c r="E43" s="5"/>
      <c r="F43" s="52"/>
      <c r="G43" s="5"/>
      <c r="H43" s="1"/>
      <c r="I43" s="5"/>
      <c r="J43" s="1"/>
      <c r="K43" s="5"/>
      <c r="L43" s="1"/>
      <c r="M43" s="5"/>
      <c r="N43" s="1"/>
      <c r="O43" s="5"/>
      <c r="P43" s="1"/>
      <c r="Q43" s="5"/>
      <c r="R43" s="1"/>
      <c r="S43" s="5"/>
      <c r="T43" s="1"/>
      <c r="U43" s="545"/>
      <c r="V43" s="1"/>
      <c r="W43" s="5"/>
      <c r="X43" s="1"/>
      <c r="Y43" s="5"/>
      <c r="Z43" s="52"/>
      <c r="AA43" s="5"/>
      <c r="AB43" s="52"/>
      <c r="AC43" s="545"/>
      <c r="AD43" s="52"/>
      <c r="AE43" s="545"/>
      <c r="AF43" s="52"/>
      <c r="AG43" s="545"/>
      <c r="AH43" s="52"/>
      <c r="AI43" s="545"/>
      <c r="AJ43" s="545"/>
      <c r="AK43" s="545"/>
      <c r="AL43" s="545"/>
      <c r="AM43" s="545"/>
      <c r="AN43" s="545"/>
      <c r="AO43" s="545"/>
      <c r="AP43" s="545"/>
      <c r="AQ43" s="545"/>
      <c r="AR43" s="545"/>
      <c r="AS43" s="545"/>
      <c r="AT43" s="545"/>
      <c r="AU43" s="545"/>
      <c r="AV43" s="545"/>
      <c r="AW43" s="545"/>
      <c r="AX43" s="545"/>
      <c r="AY43" s="545"/>
      <c r="AZ43" s="545"/>
      <c r="BA43" s="545"/>
      <c r="BB43" s="545"/>
      <c r="BC43" s="545"/>
      <c r="BD43" s="545"/>
      <c r="BE43" s="545"/>
      <c r="BF43" s="545"/>
    </row>
    <row r="44" spans="1:58" ht="12.75">
      <c r="A44" s="4" t="s">
        <v>562</v>
      </c>
      <c r="B44" s="1"/>
      <c r="C44" s="68"/>
      <c r="D44" s="1"/>
      <c r="E44" s="100">
        <v>5.8739999999999997</v>
      </c>
      <c r="F44" s="74"/>
      <c r="G44" s="100">
        <f>-0.9+0.054</f>
        <v>-0.84599999999999997</v>
      </c>
      <c r="H44" s="75"/>
      <c r="I44" s="100">
        <v>0</v>
      </c>
      <c r="J44" s="75"/>
      <c r="K44" s="360">
        <v>0</v>
      </c>
      <c r="L44" s="73"/>
      <c r="M44" s="611">
        <f>29.101-1.651</f>
        <v>27.45</v>
      </c>
      <c r="N44" s="600"/>
      <c r="O44" s="611">
        <v>-5.7160000000000002</v>
      </c>
      <c r="P44" s="600"/>
      <c r="Q44" s="611">
        <f>4.777-9.555</f>
        <v>-4.7779999999999996</v>
      </c>
      <c r="R44" s="600"/>
      <c r="S44" s="605">
        <v>-5.4340000000000002</v>
      </c>
      <c r="T44" s="600"/>
      <c r="U44" s="604">
        <f>-2.655-16.915</f>
        <v>-19.57</v>
      </c>
      <c r="V44" s="600"/>
      <c r="W44" s="605">
        <v>-0.745</v>
      </c>
      <c r="X44" s="600"/>
      <c r="Y44" s="605">
        <f>-3.02+2.025</f>
        <v>-0.99500000000000011</v>
      </c>
      <c r="Z44" s="602"/>
      <c r="AA44" s="602">
        <v>-1.9119999999999999</v>
      </c>
      <c r="AB44" s="602"/>
      <c r="AC44" s="604">
        <f>-2.177+75</f>
        <v>72.822999999999993</v>
      </c>
      <c r="AD44" s="602"/>
      <c r="AE44" s="606">
        <f>-2.015-45</f>
        <v>-47.015000000000001</v>
      </c>
      <c r="AF44" s="602"/>
      <c r="AG44" s="606">
        <f>-2.59-30</f>
        <v>-32.590000000000003</v>
      </c>
      <c r="AH44" s="602"/>
      <c r="AI44" s="606">
        <v>-3.2559999999999998</v>
      </c>
      <c r="AJ44" s="606"/>
      <c r="AK44" s="606">
        <v>-3.0659999999999998</v>
      </c>
      <c r="AL44" s="606"/>
      <c r="AM44" s="606">
        <v>-2.839</v>
      </c>
      <c r="AN44" s="606"/>
      <c r="AO44" s="606">
        <v>-7.1429999999999998</v>
      </c>
      <c r="AP44" s="606"/>
      <c r="AQ44" s="606">
        <v>-7.6349999999999998</v>
      </c>
      <c r="AR44" s="606"/>
      <c r="AS44" s="606">
        <v>-4.375</v>
      </c>
      <c r="AT44" s="606"/>
      <c r="AU44" s="606">
        <f>+bal!AW39-bal!AU39</f>
        <v>0</v>
      </c>
      <c r="AV44" s="606"/>
      <c r="AW44" s="606">
        <f>+bal!AY39-bal!AW39</f>
        <v>0</v>
      </c>
      <c r="AX44" s="606"/>
      <c r="AY44" s="606">
        <f>+bal!BA39-bal!AY39</f>
        <v>0</v>
      </c>
      <c r="AZ44" s="606"/>
      <c r="BA44" s="606">
        <f>+bal!BC39-bal!BA39</f>
        <v>0</v>
      </c>
      <c r="BB44" s="606"/>
      <c r="BC44" s="606">
        <f>+bal!BE39-bal!BC39</f>
        <v>0</v>
      </c>
      <c r="BD44" s="606"/>
      <c r="BE44" s="606">
        <f>+bal!BG39-bal!BE39</f>
        <v>0</v>
      </c>
      <c r="BF44" s="606"/>
    </row>
    <row r="45" spans="1:58" ht="12.75">
      <c r="A45" s="1" t="s">
        <v>563</v>
      </c>
      <c r="B45" s="1"/>
      <c r="C45" s="1"/>
      <c r="D45" s="1"/>
      <c r="E45" s="198">
        <f>0.425</f>
        <v>0.42499999999999999</v>
      </c>
      <c r="F45" s="74"/>
      <c r="G45" s="198">
        <f>1.357</f>
        <v>1.357</v>
      </c>
      <c r="H45" s="74"/>
      <c r="I45" s="198">
        <f>2.033</f>
        <v>2.0329999999999999</v>
      </c>
      <c r="J45" s="74"/>
      <c r="K45" s="378">
        <v>2.6760000000000002</v>
      </c>
      <c r="L45" s="197"/>
      <c r="M45" s="605">
        <v>10.191000000000001</v>
      </c>
      <c r="N45" s="602"/>
      <c r="O45" s="605">
        <v>15.832000000000001</v>
      </c>
      <c r="P45" s="602"/>
      <c r="Q45" s="605">
        <v>1.84</v>
      </c>
      <c r="R45" s="602"/>
      <c r="S45" s="605">
        <v>1.139</v>
      </c>
      <c r="T45" s="602"/>
      <c r="U45" s="604">
        <v>57.533000000000001</v>
      </c>
      <c r="V45" s="602"/>
      <c r="W45" s="605">
        <v>48.198</v>
      </c>
      <c r="X45" s="602"/>
      <c r="Y45" s="605">
        <v>28.446999999999999</v>
      </c>
      <c r="Z45" s="605"/>
      <c r="AA45" s="605">
        <f>13.183+6.156</f>
        <v>19.338999999999999</v>
      </c>
      <c r="AB45" s="605"/>
      <c r="AC45" s="604">
        <f>3.799+0.693</f>
        <v>4.492</v>
      </c>
      <c r="AD45" s="605"/>
      <c r="AE45" s="604">
        <f>7.63+2.812</f>
        <v>10.442</v>
      </c>
      <c r="AF45" s="605"/>
      <c r="AG45" s="604">
        <f>7.272+12.499-6.434</f>
        <v>13.337</v>
      </c>
      <c r="AH45" s="605"/>
      <c r="AI45" s="604">
        <f>5.098+0.373</f>
        <v>5.4710000000000001</v>
      </c>
      <c r="AJ45" s="604"/>
      <c r="AK45" s="604">
        <f>76.401+13.279</f>
        <v>89.679999999999993</v>
      </c>
      <c r="AL45" s="604"/>
      <c r="AM45" s="604">
        <f>8.833+0.1044</f>
        <v>8.9374000000000002</v>
      </c>
      <c r="AN45" s="604"/>
      <c r="AO45" s="604">
        <f>7.305+0.742</f>
        <v>8.0470000000000006</v>
      </c>
      <c r="AP45" s="604"/>
      <c r="AQ45" s="604">
        <f>7.283+0.657</f>
        <v>7.94</v>
      </c>
      <c r="AR45" s="604"/>
      <c r="AS45" s="604">
        <f>16.26+0.763</f>
        <v>17.023000000000003</v>
      </c>
      <c r="AT45" s="604"/>
      <c r="AU45" s="604">
        <f>AS45</f>
        <v>17.023000000000003</v>
      </c>
      <c r="AV45" s="604"/>
      <c r="AW45" s="604">
        <f>AU45</f>
        <v>17.023000000000003</v>
      </c>
      <c r="AX45" s="604"/>
      <c r="AY45" s="604">
        <f>AW45</f>
        <v>17.023000000000003</v>
      </c>
      <c r="AZ45" s="604"/>
      <c r="BA45" s="604">
        <f>AY45</f>
        <v>17.023000000000003</v>
      </c>
      <c r="BB45" s="604"/>
      <c r="BC45" s="604">
        <f>BA45</f>
        <v>17.023000000000003</v>
      </c>
      <c r="BD45" s="604"/>
      <c r="BE45" s="604">
        <f>BC45</f>
        <v>17.023000000000003</v>
      </c>
      <c r="BF45" s="604"/>
    </row>
    <row r="46" spans="1:58" ht="12.75">
      <c r="A46" s="1" t="s">
        <v>676</v>
      </c>
      <c r="B46" s="1"/>
      <c r="C46" s="1"/>
      <c r="D46" s="1"/>
      <c r="E46" s="198">
        <v>0</v>
      </c>
      <c r="F46" s="1"/>
      <c r="G46" s="198">
        <v>0</v>
      </c>
      <c r="H46" s="75"/>
      <c r="I46" s="198">
        <v>0</v>
      </c>
      <c r="J46" s="75"/>
      <c r="K46" s="378">
        <v>0</v>
      </c>
      <c r="L46" s="73"/>
      <c r="M46" s="605">
        <v>-22.338999999999999</v>
      </c>
      <c r="N46" s="600"/>
      <c r="O46" s="605">
        <v>-2.5150000000000001</v>
      </c>
      <c r="P46" s="600"/>
      <c r="Q46" s="605">
        <v>-19.475999999999999</v>
      </c>
      <c r="R46" s="600"/>
      <c r="S46" s="605">
        <v>-0.68899999999999995</v>
      </c>
      <c r="T46" s="600"/>
      <c r="U46" s="604">
        <v>0</v>
      </c>
      <c r="V46" s="600"/>
      <c r="W46" s="605">
        <f>-161.008-10.487</f>
        <v>-171.495</v>
      </c>
      <c r="X46" s="600"/>
      <c r="Y46" s="605">
        <f>-146.485-7.635-0.113</f>
        <v>-154.233</v>
      </c>
      <c r="Z46" s="605"/>
      <c r="AA46" s="605">
        <f>-438.291+-12.31</f>
        <v>-450.601</v>
      </c>
      <c r="AB46" s="605"/>
      <c r="AC46" s="604">
        <v>-3.4319999999999999</v>
      </c>
      <c r="AD46" s="605"/>
      <c r="AE46" s="604">
        <v>-0.247</v>
      </c>
      <c r="AF46" s="605"/>
      <c r="AG46" s="604">
        <f>-216.07-18.041</f>
        <v>-234.11099999999999</v>
      </c>
      <c r="AH46" s="605"/>
      <c r="AI46" s="604">
        <f>-15.16-2.189</f>
        <v>-17.349</v>
      </c>
      <c r="AJ46" s="604"/>
      <c r="AK46" s="604">
        <f>-173.554-4.125</f>
        <v>-177.679</v>
      </c>
      <c r="AL46" s="604"/>
      <c r="AM46" s="604">
        <f>-33.051-23.386</f>
        <v>-56.436999999999998</v>
      </c>
      <c r="AN46" s="604"/>
      <c r="AO46" s="604">
        <v>-7.4640000000000004</v>
      </c>
      <c r="AP46" s="604"/>
      <c r="AQ46" s="604">
        <f>+-5.163-227.071</f>
        <v>-232.23400000000001</v>
      </c>
      <c r="AR46" s="604"/>
      <c r="AS46" s="604">
        <v>-7.032</v>
      </c>
      <c r="AT46" s="604"/>
      <c r="AU46" s="604">
        <v>-88</v>
      </c>
      <c r="AV46" s="604"/>
      <c r="AW46" s="604">
        <f>-2.5*19</f>
        <v>-47.5</v>
      </c>
      <c r="AX46" s="604"/>
      <c r="AY46" s="604">
        <f>-3*20</f>
        <v>-60</v>
      </c>
      <c r="AZ46" s="604"/>
      <c r="BA46" s="604">
        <f>-3*20</f>
        <v>-60</v>
      </c>
      <c r="BB46" s="604"/>
      <c r="BC46" s="604">
        <f>-3*20</f>
        <v>-60</v>
      </c>
      <c r="BD46" s="604"/>
      <c r="BE46" s="604">
        <f>-3*20</f>
        <v>-60</v>
      </c>
      <c r="BF46" s="604"/>
    </row>
    <row r="47" spans="1:58" ht="12.75">
      <c r="A47" s="1" t="s">
        <v>632</v>
      </c>
      <c r="B47" s="1"/>
      <c r="C47" s="1"/>
      <c r="D47" s="51"/>
      <c r="E47" s="198">
        <v>0</v>
      </c>
      <c r="F47" s="51"/>
      <c r="G47" s="198">
        <v>0</v>
      </c>
      <c r="H47" s="74"/>
      <c r="I47" s="198">
        <f>-54.559+41.199</f>
        <v>-13.36</v>
      </c>
      <c r="J47" s="74"/>
      <c r="K47" s="378">
        <f>+-124.166+38.775</f>
        <v>-85.390999999999991</v>
      </c>
      <c r="L47" s="197"/>
      <c r="M47" s="605">
        <f>-46.421+112.878-1.397</f>
        <v>65.059999999999988</v>
      </c>
      <c r="N47" s="602"/>
      <c r="O47" s="605">
        <f>-53.019+35.861+1.966</f>
        <v>-15.192000000000002</v>
      </c>
      <c r="P47" s="602"/>
      <c r="Q47" s="605">
        <f>-86.856+84.894-5.102</f>
        <v>-7.0639999999999894</v>
      </c>
      <c r="R47" s="602"/>
      <c r="S47" s="605">
        <f>-397.506+245.64-1.513</f>
        <v>-153.37899999999999</v>
      </c>
      <c r="T47" s="602"/>
      <c r="U47" s="604">
        <f>-508.768+330.39-0.014</f>
        <v>-178.392</v>
      </c>
      <c r="V47" s="602"/>
      <c r="W47" s="605">
        <f>-1187.556+876.111-0.074</f>
        <v>-311.51900000000006</v>
      </c>
      <c r="X47" s="602"/>
      <c r="Y47" s="605">
        <f>-1353.339+915.952-0.14</f>
        <v>-437.52699999999993</v>
      </c>
      <c r="Z47" s="605"/>
      <c r="AA47" s="605">
        <f>-1772.653+2126.891-1.17</f>
        <v>353.06800000000004</v>
      </c>
      <c r="AB47" s="605"/>
      <c r="AC47" s="604">
        <f>-48.655+393.559-1.18</f>
        <v>343.72399999999999</v>
      </c>
      <c r="AD47" s="605"/>
      <c r="AE47" s="604">
        <f>80.353-2.003</f>
        <v>78.349999999999994</v>
      </c>
      <c r="AF47" s="605"/>
      <c r="AG47" s="604">
        <f>177.472-62.797-2.801</f>
        <v>111.87400000000001</v>
      </c>
      <c r="AH47" s="602"/>
      <c r="AI47" s="604">
        <f>-34.187-193.851+240.797</f>
        <v>12.758999999999986</v>
      </c>
      <c r="AJ47" s="606"/>
      <c r="AK47" s="606">
        <f>-1.125-111.086+15.5</f>
        <v>-96.710999999999999</v>
      </c>
      <c r="AL47" s="606"/>
      <c r="AM47" s="604">
        <f>+-6.835-52.065+162.785</f>
        <v>103.88499999999999</v>
      </c>
      <c r="AN47" s="606"/>
      <c r="AO47" s="604">
        <f>+-1.264+10.002</f>
        <v>8.7380000000000013</v>
      </c>
      <c r="AP47" s="606"/>
      <c r="AQ47" s="606">
        <v>-2.3820000000000001</v>
      </c>
      <c r="AR47" s="606"/>
      <c r="AS47" s="606">
        <v>-1.528</v>
      </c>
      <c r="AT47" s="606"/>
      <c r="AU47" s="606">
        <f>+bal!AU22-bal!AW22</f>
        <v>0</v>
      </c>
      <c r="AV47" s="606"/>
      <c r="AW47" s="606">
        <f>+bal!AX22-bal!AY22</f>
        <v>0</v>
      </c>
      <c r="AX47" s="606"/>
      <c r="AY47" s="606">
        <f>+bal!AY22-bal!BA22</f>
        <v>0</v>
      </c>
      <c r="AZ47" s="606"/>
      <c r="BA47" s="606">
        <f>+bal!BA22-bal!BC22</f>
        <v>0</v>
      </c>
      <c r="BB47" s="606"/>
      <c r="BC47" s="606">
        <f>+bal!BC22-bal!BE22</f>
        <v>0</v>
      </c>
      <c r="BD47" s="606"/>
      <c r="BE47" s="606">
        <f>+bal!BG22-bal!BE22</f>
        <v>0</v>
      </c>
      <c r="BF47" s="606"/>
    </row>
    <row r="48" spans="1:58" ht="12.75">
      <c r="A48" s="51" t="s">
        <v>678</v>
      </c>
      <c r="B48" s="51"/>
      <c r="C48" s="51"/>
      <c r="D48" s="51"/>
      <c r="E48" s="198"/>
      <c r="F48" s="51"/>
      <c r="G48" s="198"/>
      <c r="H48" s="74"/>
      <c r="I48" s="198"/>
      <c r="J48" s="74"/>
      <c r="K48" s="378"/>
      <c r="L48" s="197"/>
      <c r="M48" s="605"/>
      <c r="N48" s="602"/>
      <c r="O48" s="605"/>
      <c r="P48" s="602"/>
      <c r="Q48" s="605">
        <v>0.46500000000000002</v>
      </c>
      <c r="R48" s="602"/>
      <c r="S48" s="605">
        <f>1.055</f>
        <v>1.0549999999999999</v>
      </c>
      <c r="T48" s="602"/>
      <c r="U48" s="604">
        <f>1.903</f>
        <v>1.903</v>
      </c>
      <c r="V48" s="602"/>
      <c r="W48" s="605">
        <f>4.68</f>
        <v>4.68</v>
      </c>
      <c r="X48" s="602"/>
      <c r="Y48" s="605">
        <v>-0.17799999999999999</v>
      </c>
      <c r="Z48" s="605"/>
      <c r="AA48" s="605">
        <v>3.363</v>
      </c>
      <c r="AB48" s="605"/>
      <c r="AC48" s="604">
        <v>-14.79</v>
      </c>
      <c r="AD48" s="605"/>
      <c r="AE48" s="604">
        <v>3.03</v>
      </c>
      <c r="AF48" s="605"/>
      <c r="AG48" s="604">
        <v>1.3939999999999999</v>
      </c>
      <c r="AH48" s="605"/>
      <c r="AI48" s="604">
        <v>0.79800000000000004</v>
      </c>
      <c r="AJ48" s="604"/>
      <c r="AK48" s="604">
        <v>0.504</v>
      </c>
      <c r="AL48" s="604"/>
      <c r="AM48" s="604">
        <v>-8.1509999999999998</v>
      </c>
      <c r="AN48" s="604"/>
      <c r="AO48" s="604">
        <v>-7.5780000000000003</v>
      </c>
      <c r="AP48" s="604"/>
      <c r="AQ48" s="604">
        <v>-3.0760000000000001</v>
      </c>
      <c r="AR48" s="604"/>
      <c r="AS48" s="604">
        <v>1.036</v>
      </c>
      <c r="AT48" s="604"/>
      <c r="AU48" s="604">
        <f>AS48</f>
        <v>1.036</v>
      </c>
      <c r="AV48" s="604"/>
      <c r="AW48" s="604">
        <f>AU48</f>
        <v>1.036</v>
      </c>
      <c r="AX48" s="604"/>
      <c r="AY48" s="604">
        <f>AW48</f>
        <v>1.036</v>
      </c>
      <c r="AZ48" s="604"/>
      <c r="BA48" s="604">
        <f>AY48</f>
        <v>1.036</v>
      </c>
      <c r="BB48" s="604"/>
      <c r="BC48" s="604">
        <f>BA48</f>
        <v>1.036</v>
      </c>
      <c r="BD48" s="604"/>
      <c r="BE48" s="604">
        <f>BC48</f>
        <v>1.036</v>
      </c>
      <c r="BF48" s="604"/>
    </row>
    <row r="49" spans="1:58" ht="12.75">
      <c r="A49" s="1" t="s">
        <v>677</v>
      </c>
      <c r="B49" s="1"/>
      <c r="C49" s="1"/>
      <c r="D49" s="1"/>
      <c r="E49" s="99"/>
      <c r="F49" s="51"/>
      <c r="G49" s="99"/>
      <c r="H49" s="74"/>
      <c r="I49" s="99"/>
      <c r="J49" s="74"/>
      <c r="K49" s="365"/>
      <c r="L49" s="197"/>
      <c r="M49" s="605"/>
      <c r="N49" s="602"/>
      <c r="O49" s="605"/>
      <c r="P49" s="602"/>
      <c r="Q49" s="605"/>
      <c r="R49" s="602"/>
      <c r="S49" s="605">
        <v>-11.618</v>
      </c>
      <c r="T49" s="602"/>
      <c r="U49" s="604">
        <f>3.315+5.371+0.762</f>
        <v>9.4480000000000004</v>
      </c>
      <c r="V49" s="602"/>
      <c r="W49" s="605">
        <f>-15.214+0.436</f>
        <v>-14.778</v>
      </c>
      <c r="X49" s="602"/>
      <c r="Y49" s="605">
        <v>0</v>
      </c>
      <c r="Z49" s="605"/>
      <c r="AA49" s="605">
        <v>0</v>
      </c>
      <c r="AB49" s="605"/>
      <c r="AC49" s="604">
        <v>0</v>
      </c>
      <c r="AD49" s="605"/>
      <c r="AE49" s="604">
        <v>0</v>
      </c>
      <c r="AF49" s="605"/>
      <c r="AG49" s="604">
        <f>41.287-21.434-0.006</f>
        <v>19.846999999999998</v>
      </c>
      <c r="AH49" s="605"/>
      <c r="AI49" s="604">
        <v>0</v>
      </c>
      <c r="AJ49" s="604"/>
      <c r="AK49" s="604">
        <v>-25.396000000000001</v>
      </c>
      <c r="AL49" s="604"/>
      <c r="AM49" s="604">
        <v>0</v>
      </c>
      <c r="AN49" s="604"/>
      <c r="AO49" s="604">
        <v>0.96299999999999997</v>
      </c>
      <c r="AP49" s="604"/>
      <c r="AQ49" s="604">
        <v>-6.8049999999999997</v>
      </c>
      <c r="AR49" s="604"/>
      <c r="AS49" s="604">
        <v>0</v>
      </c>
      <c r="AT49" s="604"/>
      <c r="AU49" s="604">
        <v>0</v>
      </c>
      <c r="AV49" s="604"/>
      <c r="AW49" s="604">
        <v>0</v>
      </c>
      <c r="AX49" s="604"/>
      <c r="AY49" s="604">
        <v>0</v>
      </c>
      <c r="AZ49" s="604"/>
      <c r="BA49" s="604">
        <v>0</v>
      </c>
      <c r="BB49" s="604"/>
      <c r="BC49" s="604">
        <v>0</v>
      </c>
      <c r="BD49" s="604"/>
      <c r="BE49" s="604">
        <v>0</v>
      </c>
      <c r="BF49" s="604"/>
    </row>
    <row r="50" spans="1:58" ht="12.75">
      <c r="A50" s="1" t="s">
        <v>679</v>
      </c>
      <c r="B50" s="1"/>
      <c r="C50" s="1"/>
      <c r="D50" s="1"/>
      <c r="E50" s="198"/>
      <c r="F50" s="51"/>
      <c r="G50" s="198"/>
      <c r="H50" s="74"/>
      <c r="I50" s="198"/>
      <c r="J50" s="74"/>
      <c r="K50" s="378"/>
      <c r="L50" s="197"/>
      <c r="M50" s="607"/>
      <c r="N50" s="602"/>
      <c r="O50" s="607"/>
      <c r="P50" s="602"/>
      <c r="Q50" s="607"/>
      <c r="R50" s="602"/>
      <c r="S50" s="607">
        <v>0</v>
      </c>
      <c r="T50" s="602"/>
      <c r="U50" s="608">
        <v>-8.8409999999999993</v>
      </c>
      <c r="V50" s="609"/>
      <c r="W50" s="607">
        <v>-42.058</v>
      </c>
      <c r="X50" s="609"/>
      <c r="Y50" s="607">
        <v>-61.521000000000001</v>
      </c>
      <c r="Z50" s="607"/>
      <c r="AA50" s="609">
        <v>-80.796000000000006</v>
      </c>
      <c r="AB50" s="607"/>
      <c r="AC50" s="610">
        <f>-82.394</f>
        <v>-82.394000000000005</v>
      </c>
      <c r="AD50" s="607"/>
      <c r="AE50" s="610">
        <v>-82.984999999999999</v>
      </c>
      <c r="AF50" s="607"/>
      <c r="AG50" s="610">
        <v>-183.166</v>
      </c>
      <c r="AH50" s="607"/>
      <c r="AI50" s="610">
        <v>-85.591999999999999</v>
      </c>
      <c r="AJ50" s="610"/>
      <c r="AK50" s="610">
        <v>-403.49</v>
      </c>
      <c r="AL50" s="610"/>
      <c r="AM50" s="610">
        <v>-72.28</v>
      </c>
      <c r="AN50" s="610"/>
      <c r="AO50" s="610">
        <v>-97.224000000000004</v>
      </c>
      <c r="AP50" s="610"/>
      <c r="AQ50" s="610">
        <v>-97.236999999999995</v>
      </c>
      <c r="AR50" s="333"/>
      <c r="AS50" s="610">
        <v>-90.68</v>
      </c>
      <c r="AT50" s="610"/>
      <c r="AU50" s="610">
        <f>-('yrP&amp;L'!X73)*'yrP&amp;L'!X59</f>
        <v>-90.078000000000003</v>
      </c>
      <c r="AV50" s="610"/>
      <c r="AW50" s="610">
        <f>-('yrP&amp;L'!Y73)*'yrP&amp;L'!Y59</f>
        <v>-98.141450000000006</v>
      </c>
      <c r="AX50" s="610"/>
      <c r="AY50" s="610">
        <f>-('yrP&amp;L'!Z73)*'yrP&amp;L'!Z59</f>
        <v>-97.591450000000009</v>
      </c>
      <c r="AZ50" s="610"/>
      <c r="BA50" s="610">
        <f>-('yrP&amp;L'!AA73)*'yrP&amp;L'!AA59</f>
        <v>-97.041449999999998</v>
      </c>
      <c r="BB50" s="606"/>
      <c r="BC50" s="604">
        <f>-('yrP&amp;L'!AB73)*'yrP&amp;L'!AB59</f>
        <v>-96.49145</v>
      </c>
      <c r="BD50" s="606"/>
      <c r="BE50" s="604">
        <f>-('yrP&amp;L'!AC73)*'yrP&amp;L'!AC59</f>
        <v>-95.941450000000003</v>
      </c>
      <c r="BF50" s="606"/>
    </row>
    <row r="51" spans="1:58" ht="12.75">
      <c r="A51" s="1" t="s">
        <v>116</v>
      </c>
      <c r="B51" s="1"/>
      <c r="C51" s="1"/>
      <c r="D51" s="1"/>
      <c r="E51" s="76">
        <f>SUM(E44:E49)</f>
        <v>6.2989999999999995</v>
      </c>
      <c r="F51" s="51"/>
      <c r="G51" s="76">
        <f>SUM(G44:G49)</f>
        <v>0.51100000000000001</v>
      </c>
      <c r="H51" s="1"/>
      <c r="I51" s="292">
        <f>SUM(I44:I49)</f>
        <v>-11.327</v>
      </c>
      <c r="J51" s="292"/>
      <c r="K51" s="292">
        <f>SUM(K44:K49)</f>
        <v>-82.714999999999989</v>
      </c>
      <c r="L51" s="292"/>
      <c r="M51" s="602">
        <f>SUM(M44:M49)</f>
        <v>80.361999999999995</v>
      </c>
      <c r="N51" s="602"/>
      <c r="O51" s="602">
        <f>SUM(O44:O49)</f>
        <v>-7.5910000000000029</v>
      </c>
      <c r="P51" s="600"/>
      <c r="Q51" s="600">
        <f>SUM(Q44:Q50)</f>
        <v>-29.012999999999987</v>
      </c>
      <c r="R51" s="600"/>
      <c r="S51" s="600">
        <f>SUM(S44:S50)</f>
        <v>-168.92599999999999</v>
      </c>
      <c r="T51" s="600"/>
      <c r="U51" s="600">
        <f>SUM(U44:U50)</f>
        <v>-137.91900000000001</v>
      </c>
      <c r="V51" s="600"/>
      <c r="W51" s="600">
        <f>SUM(W44:W50)</f>
        <v>-487.71700000000004</v>
      </c>
      <c r="X51" s="600"/>
      <c r="Y51" s="600">
        <f>SUM(Y44:Y50)</f>
        <v>-626.00699999999995</v>
      </c>
      <c r="Z51" s="602"/>
      <c r="AA51" s="600">
        <f>SUM(AA44:AA50)</f>
        <v>-157.53899999999993</v>
      </c>
      <c r="AB51" s="602"/>
      <c r="AC51" s="652">
        <f>SUM(AC44:AC50)</f>
        <v>320.42299999999994</v>
      </c>
      <c r="AD51" s="602"/>
      <c r="AE51" s="603">
        <f>SUM(AE44:AE50)</f>
        <v>-38.425000000000004</v>
      </c>
      <c r="AF51" s="602"/>
      <c r="AG51" s="603">
        <f>SUM(AG44:AG50)</f>
        <v>-303.41500000000002</v>
      </c>
      <c r="AH51" s="602"/>
      <c r="AI51" s="603">
        <f>SUM(AI44:AI50)</f>
        <v>-87.169000000000011</v>
      </c>
      <c r="AJ51" s="603"/>
      <c r="AK51" s="603">
        <f>SUM(AK44:AK50)</f>
        <v>-616.15800000000002</v>
      </c>
      <c r="AL51" s="603"/>
      <c r="AM51" s="603">
        <f>SUM(AM44:AM50)</f>
        <v>-26.884600000000006</v>
      </c>
      <c r="AN51" s="603"/>
      <c r="AO51" s="603">
        <f>SUM(AO44:AO50)</f>
        <v>-101.661</v>
      </c>
      <c r="AP51" s="603"/>
      <c r="AQ51" s="603">
        <f>SUM(AQ44:AQ50)</f>
        <v>-341.42899999999997</v>
      </c>
      <c r="AR51" s="603"/>
      <c r="AS51" s="603">
        <f>SUM(AS44:AS50)</f>
        <v>-85.556000000000012</v>
      </c>
      <c r="AT51" s="603"/>
      <c r="AU51" s="603">
        <f>SUM(AU44:AU50)</f>
        <v>-160.01900000000001</v>
      </c>
      <c r="AV51" s="603"/>
      <c r="AW51" s="603">
        <f>SUM(AW44:AW50)</f>
        <v>-127.58244999999999</v>
      </c>
      <c r="AX51" s="603"/>
      <c r="AY51" s="603">
        <f>SUM(AY44:AY50)</f>
        <v>-139.53245000000001</v>
      </c>
      <c r="AZ51" s="603"/>
      <c r="BA51" s="603">
        <f>SUM(BA44:BA50)</f>
        <v>-138.98245</v>
      </c>
      <c r="BB51" s="2099"/>
      <c r="BC51" s="2099">
        <f>SUM(BC44:BC50)</f>
        <v>-138.43244999999999</v>
      </c>
      <c r="BD51" s="2099"/>
      <c r="BE51" s="2099">
        <f>SUM(BE44:BE50)</f>
        <v>-137.88245000000001</v>
      </c>
      <c r="BF51" s="603"/>
    </row>
    <row r="52" spans="1:58" ht="6" customHeight="1">
      <c r="A52" s="1"/>
      <c r="B52" s="1"/>
      <c r="C52" s="1"/>
      <c r="D52" s="1"/>
      <c r="E52" s="76"/>
      <c r="F52" s="51"/>
      <c r="G52" s="76"/>
      <c r="H52" s="1"/>
      <c r="I52" s="292"/>
      <c r="J52" s="292"/>
      <c r="K52" s="292"/>
      <c r="L52" s="292"/>
      <c r="M52" s="602"/>
      <c r="N52" s="602"/>
      <c r="O52" s="602"/>
      <c r="P52" s="600"/>
      <c r="Q52" s="600"/>
      <c r="R52" s="600"/>
      <c r="S52" s="600"/>
      <c r="T52" s="600"/>
      <c r="U52" s="600"/>
      <c r="V52" s="600"/>
      <c r="W52" s="600"/>
      <c r="X52" s="600"/>
      <c r="Y52" s="600"/>
      <c r="Z52" s="602"/>
      <c r="AA52" s="600"/>
      <c r="AB52" s="602"/>
      <c r="AC52" s="652"/>
      <c r="AD52" s="602"/>
      <c r="AE52" s="603"/>
      <c r="AF52" s="602"/>
      <c r="AG52" s="603"/>
      <c r="AH52" s="602"/>
      <c r="AI52" s="603"/>
      <c r="AJ52" s="603"/>
      <c r="AK52" s="603"/>
      <c r="AL52" s="603"/>
      <c r="AM52" s="603"/>
      <c r="AN52" s="603"/>
      <c r="AO52" s="603"/>
      <c r="AP52" s="603"/>
      <c r="AQ52" s="603"/>
      <c r="AR52" s="603"/>
      <c r="AS52" s="603"/>
      <c r="AT52" s="603"/>
      <c r="AU52" s="603"/>
      <c r="AV52" s="603"/>
      <c r="AW52" s="603"/>
      <c r="AX52" s="603"/>
      <c r="AY52" s="603"/>
      <c r="AZ52" s="603"/>
      <c r="BA52" s="603"/>
      <c r="BB52" s="603"/>
      <c r="BC52" s="603"/>
      <c r="BD52" s="603"/>
      <c r="BE52" s="603"/>
      <c r="BF52" s="603"/>
    </row>
    <row r="53" spans="1:58" ht="12.75" hidden="1" outlineLevel="1">
      <c r="A53" s="4" t="s">
        <v>127</v>
      </c>
      <c r="B53" s="1"/>
      <c r="C53" s="9"/>
      <c r="D53" s="1"/>
      <c r="E53" s="9"/>
      <c r="F53" s="55"/>
      <c r="G53" s="9"/>
      <c r="H53" s="1"/>
      <c r="I53" s="9">
        <v>0</v>
      </c>
      <c r="J53" s="1"/>
      <c r="K53" s="9">
        <v>0</v>
      </c>
      <c r="L53" s="62"/>
      <c r="M53" s="9">
        <v>0</v>
      </c>
      <c r="N53" s="62"/>
      <c r="O53" s="9">
        <v>0</v>
      </c>
      <c r="P53" s="62"/>
      <c r="Q53" s="9">
        <v>0</v>
      </c>
      <c r="R53" s="62"/>
      <c r="S53" s="9">
        <f>163.257-85.896</f>
        <v>77.361000000000004</v>
      </c>
      <c r="T53" s="62"/>
      <c r="U53" s="9">
        <v>0</v>
      </c>
      <c r="V53" s="62"/>
      <c r="W53" s="9">
        <v>0</v>
      </c>
      <c r="X53" s="62"/>
      <c r="Y53" s="9">
        <v>0</v>
      </c>
      <c r="Z53" s="55"/>
      <c r="AA53" s="9">
        <v>0</v>
      </c>
      <c r="AB53" s="55"/>
      <c r="AC53" s="9">
        <v>0</v>
      </c>
      <c r="AD53" s="55"/>
      <c r="AE53" s="9">
        <v>0</v>
      </c>
      <c r="AF53" s="55"/>
      <c r="AG53" s="9">
        <v>0</v>
      </c>
      <c r="AH53" s="55"/>
      <c r="AI53" s="9">
        <v>0</v>
      </c>
      <c r="AJ53" s="554"/>
      <c r="AK53" s="9">
        <v>0</v>
      </c>
      <c r="AL53" s="554"/>
      <c r="AM53" s="9">
        <v>0</v>
      </c>
      <c r="AN53" s="554"/>
      <c r="AO53" s="9">
        <v>0</v>
      </c>
      <c r="AP53" s="554"/>
      <c r="AQ53" s="9">
        <v>0</v>
      </c>
      <c r="AR53" s="9"/>
      <c r="AS53" s="9">
        <v>0</v>
      </c>
      <c r="AT53" s="9"/>
      <c r="AU53" s="9">
        <v>0</v>
      </c>
      <c r="AV53" s="9"/>
      <c r="AW53" s="9">
        <v>0</v>
      </c>
      <c r="AX53" s="9"/>
      <c r="AY53" s="9">
        <v>0</v>
      </c>
      <c r="AZ53" s="9"/>
      <c r="BA53" s="9">
        <v>0</v>
      </c>
      <c r="BB53" s="9"/>
      <c r="BC53" s="9">
        <v>0</v>
      </c>
      <c r="BD53" s="9"/>
      <c r="BE53" s="9">
        <v>0</v>
      </c>
      <c r="BF53" s="9"/>
    </row>
    <row r="54" spans="1:58" ht="12.75" collapsed="1">
      <c r="A54" s="4" t="s">
        <v>117</v>
      </c>
      <c r="B54" s="1"/>
      <c r="C54" s="9"/>
      <c r="D54" s="1"/>
      <c r="E54" s="9">
        <f>+bal!E8</f>
        <v>19.986000000000001</v>
      </c>
      <c r="F54" s="55"/>
      <c r="G54" s="9">
        <f>+E56</f>
        <v>34.325999999999965</v>
      </c>
      <c r="H54" s="1"/>
      <c r="I54" s="9">
        <f>+G56</f>
        <v>48.358999999999952</v>
      </c>
      <c r="J54" s="1"/>
      <c r="K54" s="9">
        <f>+I56</f>
        <v>71.939999999999941</v>
      </c>
      <c r="L54" s="62"/>
      <c r="M54" s="9">
        <f>+K56</f>
        <v>76.580999999999989</v>
      </c>
      <c r="N54" s="62"/>
      <c r="O54" s="9">
        <f>+M56</f>
        <v>133.44599999999991</v>
      </c>
      <c r="P54" s="62"/>
      <c r="Q54" s="9">
        <f>+O56</f>
        <v>180.39800000000008</v>
      </c>
      <c r="R54" s="62"/>
      <c r="S54" s="554">
        <f>Q56</f>
        <v>194.52600000000012</v>
      </c>
      <c r="T54" s="62"/>
      <c r="U54" s="9">
        <f>+S56</f>
        <v>85.896000000000086</v>
      </c>
      <c r="V54" s="62"/>
      <c r="W54" s="9">
        <f>+U56</f>
        <v>219.37200000000013</v>
      </c>
      <c r="X54" s="62"/>
      <c r="Y54" s="9">
        <f>+W56</f>
        <v>130.52900000000011</v>
      </c>
      <c r="Z54" s="55"/>
      <c r="AA54" s="9">
        <f>+Y56</f>
        <v>59.736999999999853</v>
      </c>
      <c r="AB54" s="55"/>
      <c r="AC54" s="554">
        <f>+AA56</f>
        <v>116.06099999999964</v>
      </c>
      <c r="AD54" s="55"/>
      <c r="AE54" s="554">
        <f>+AC56</f>
        <v>473.34199999999976</v>
      </c>
      <c r="AF54" s="55"/>
      <c r="AG54" s="554">
        <f>+AE56</f>
        <v>693.95999999999981</v>
      </c>
      <c r="AH54" s="55"/>
      <c r="AI54" s="554">
        <f>+AG56</f>
        <v>667.59299999999985</v>
      </c>
      <c r="AJ54" s="554"/>
      <c r="AK54" s="554">
        <f>+AI56</f>
        <v>719.54499999999973</v>
      </c>
      <c r="AL54" s="554"/>
      <c r="AM54" s="554">
        <f>+AK56</f>
        <v>509.11899999999969</v>
      </c>
      <c r="AN54" s="554"/>
      <c r="AO54" s="554">
        <f>+AM56</f>
        <v>418.89439999999968</v>
      </c>
      <c r="AP54" s="554"/>
      <c r="AQ54" s="554">
        <f>+AO56</f>
        <v>410.63939999999968</v>
      </c>
      <c r="AR54" s="554"/>
      <c r="AS54" s="554">
        <f>+AQ56</f>
        <v>260.00939999999957</v>
      </c>
      <c r="AT54" s="554"/>
      <c r="AU54" s="554">
        <f>+AS56</f>
        <v>378.55539999999962</v>
      </c>
      <c r="AV54" s="554"/>
      <c r="AW54" s="554">
        <f>AU56</f>
        <v>413.61299999999937</v>
      </c>
      <c r="AX54" s="554"/>
      <c r="AY54" s="554">
        <f>AW56</f>
        <v>559.03281839838087</v>
      </c>
      <c r="AZ54" s="554"/>
      <c r="BA54" s="554">
        <f>AY56</f>
        <v>687.23692020337614</v>
      </c>
      <c r="BB54" s="554"/>
      <c r="BC54" s="554">
        <f>BA56</f>
        <v>814.07618000601963</v>
      </c>
      <c r="BD54" s="554"/>
      <c r="BE54" s="554">
        <f>BC56</f>
        <v>945.5575590657603</v>
      </c>
      <c r="BF54" s="554"/>
    </row>
    <row r="55" spans="1:58" ht="12.75">
      <c r="A55" s="4" t="s">
        <v>196</v>
      </c>
      <c r="B55" s="1"/>
      <c r="C55" s="9"/>
      <c r="D55" s="1"/>
      <c r="E55" s="54">
        <f>E51+E39</f>
        <v>14.339999999999964</v>
      </c>
      <c r="F55" s="54"/>
      <c r="G55" s="54">
        <f>G51+G39</f>
        <v>14.032999999999987</v>
      </c>
      <c r="H55" s="1"/>
      <c r="I55" s="54">
        <f>I51+I39</f>
        <v>23.580999999999996</v>
      </c>
      <c r="J55" s="1"/>
      <c r="K55" s="364">
        <f>K51+K39</f>
        <v>4.641000000000048</v>
      </c>
      <c r="L55" s="1"/>
      <c r="M55" s="602">
        <f>M51+M39</f>
        <v>56.864999999999924</v>
      </c>
      <c r="N55" s="600"/>
      <c r="O55" s="602">
        <f>O51+O39</f>
        <v>46.952000000000176</v>
      </c>
      <c r="P55" s="600"/>
      <c r="Q55" s="602">
        <f>Q51+Q39</f>
        <v>14.128000000000032</v>
      </c>
      <c r="R55" s="600"/>
      <c r="S55" s="602">
        <f>S51+S39</f>
        <v>-31.269000000000034</v>
      </c>
      <c r="T55" s="600"/>
      <c r="U55" s="602">
        <f>U51+U39</f>
        <v>133.47600000000003</v>
      </c>
      <c r="V55" s="600"/>
      <c r="W55" s="602">
        <f>W51+W39</f>
        <v>-88.843000000000018</v>
      </c>
      <c r="X55" s="600"/>
      <c r="Y55" s="602">
        <f>Y51+Y39</f>
        <v>-70.792000000000257</v>
      </c>
      <c r="Z55" s="602"/>
      <c r="AA55" s="602">
        <f>AA51+AA39</f>
        <v>56.323999999999785</v>
      </c>
      <c r="AB55" s="602"/>
      <c r="AC55" s="606">
        <f>AC51+AC39</f>
        <v>357.28100000000012</v>
      </c>
      <c r="AD55" s="602"/>
      <c r="AE55" s="606">
        <f>AE51+AE39</f>
        <v>220.61799999999999</v>
      </c>
      <c r="AF55" s="602"/>
      <c r="AG55" s="606">
        <f>AG51+AG39</f>
        <v>-26.367000000000019</v>
      </c>
      <c r="AH55" s="602"/>
      <c r="AI55" s="606">
        <f>AI51+AI39</f>
        <v>51.951999999999913</v>
      </c>
      <c r="AJ55" s="606"/>
      <c r="AK55" s="606">
        <f>AK51+AK39</f>
        <v>-210.42600000000004</v>
      </c>
      <c r="AL55" s="606"/>
      <c r="AM55" s="606">
        <f>AM51+AM39</f>
        <v>-90.224600000000038</v>
      </c>
      <c r="AN55" s="606"/>
      <c r="AO55" s="606">
        <f>AO51+AO39</f>
        <v>-8.2550000000000239</v>
      </c>
      <c r="AP55" s="606"/>
      <c r="AQ55" s="606">
        <f>AQ51+AQ39</f>
        <v>-150.63000000000011</v>
      </c>
      <c r="AR55" s="606"/>
      <c r="AS55" s="606">
        <f>AS51+AS39</f>
        <v>118.54600000000002</v>
      </c>
      <c r="AT55" s="606"/>
      <c r="AU55" s="606">
        <f>AU51+AU39</f>
        <v>35.05759999999978</v>
      </c>
      <c r="AV55" s="606"/>
      <c r="AW55" s="606">
        <f>AW51+AW39</f>
        <v>145.41981839838144</v>
      </c>
      <c r="AX55" s="606"/>
      <c r="AY55" s="606">
        <f>AY51+AY39</f>
        <v>128.2041018049953</v>
      </c>
      <c r="AZ55" s="606"/>
      <c r="BA55" s="606">
        <f>BA51+BA39</f>
        <v>126.83925980264351</v>
      </c>
      <c r="BB55" s="606"/>
      <c r="BC55" s="606">
        <f>BC51+BC39</f>
        <v>131.4813790597407</v>
      </c>
      <c r="BD55" s="606"/>
      <c r="BE55" s="606">
        <f>BE51+BE39</f>
        <v>116.92775582527008</v>
      </c>
      <c r="BF55" s="606"/>
    </row>
    <row r="56" spans="1:58" ht="12.75">
      <c r="A56" s="4" t="s">
        <v>118</v>
      </c>
      <c r="B56" s="1"/>
      <c r="C56" s="1"/>
      <c r="D56" s="1"/>
      <c r="E56" s="80">
        <f>E54+E55</f>
        <v>34.325999999999965</v>
      </c>
      <c r="F56" s="81"/>
      <c r="G56" s="80">
        <f>G54+G55</f>
        <v>48.358999999999952</v>
      </c>
      <c r="H56" s="196"/>
      <c r="I56" s="80">
        <f>I54+I55-I53</f>
        <v>71.939999999999941</v>
      </c>
      <c r="J56" s="196"/>
      <c r="K56" s="80">
        <f>K54+K55-K53</f>
        <v>76.580999999999989</v>
      </c>
      <c r="L56" s="1"/>
      <c r="M56" s="80">
        <f>M54+M55-M53</f>
        <v>133.44599999999991</v>
      </c>
      <c r="N56" s="1"/>
      <c r="O56" s="80">
        <f>O54+O55-O53</f>
        <v>180.39800000000008</v>
      </c>
      <c r="P56" s="1"/>
      <c r="Q56" s="80">
        <f>Q54+Q55-Q53</f>
        <v>194.52600000000012</v>
      </c>
      <c r="R56" s="1"/>
      <c r="S56" s="80">
        <f>S54+S55-S53</f>
        <v>85.896000000000086</v>
      </c>
      <c r="T56" s="1"/>
      <c r="U56" s="80">
        <f>U54+U55-U53</f>
        <v>219.37200000000013</v>
      </c>
      <c r="V56" s="1"/>
      <c r="W56" s="80">
        <f>W54+W55-W53</f>
        <v>130.52900000000011</v>
      </c>
      <c r="X56" s="1"/>
      <c r="Y56" s="80">
        <f>Y54+Y55-Y53</f>
        <v>59.736999999999853</v>
      </c>
      <c r="Z56" s="368"/>
      <c r="AA56" s="80">
        <f>AA54+AA55-AA53</f>
        <v>116.06099999999964</v>
      </c>
      <c r="AB56" s="368"/>
      <c r="AC56" s="80">
        <f>AC54+AC55-AC53</f>
        <v>473.34199999999976</v>
      </c>
      <c r="AD56" s="368"/>
      <c r="AE56" s="80">
        <f>AE54+AE55-AE53</f>
        <v>693.95999999999981</v>
      </c>
      <c r="AF56" s="368"/>
      <c r="AG56" s="80">
        <f>AG54+AG55-AG53</f>
        <v>667.59299999999985</v>
      </c>
      <c r="AH56" s="368"/>
      <c r="AI56" s="80">
        <f>AI54+AI55-AI53</f>
        <v>719.54499999999973</v>
      </c>
      <c r="AJ56" s="556"/>
      <c r="AK56" s="80">
        <f>AK54+AK55-AK53</f>
        <v>509.11899999999969</v>
      </c>
      <c r="AL56" s="556"/>
      <c r="AM56" s="80">
        <f>AM54+AM55-AM53</f>
        <v>418.89439999999968</v>
      </c>
      <c r="AN56" s="556"/>
      <c r="AO56" s="80">
        <f>AO54+AO55-AO53</f>
        <v>410.63939999999968</v>
      </c>
      <c r="AP56" s="556"/>
      <c r="AQ56" s="80">
        <f>AQ54+AQ55-AQ53</f>
        <v>260.00939999999957</v>
      </c>
      <c r="AR56" s="80"/>
      <c r="AS56" s="80">
        <f>AS54+AS55-AS53</f>
        <v>378.55539999999962</v>
      </c>
      <c r="AT56" s="80"/>
      <c r="AU56" s="80">
        <f>AU54+AU55-AU53</f>
        <v>413.61299999999937</v>
      </c>
      <c r="AV56" s="80"/>
      <c r="AW56" s="80">
        <f>AW54+AW55-AW53</f>
        <v>559.03281839838087</v>
      </c>
      <c r="AX56" s="80"/>
      <c r="AY56" s="80">
        <f>AY54+AY55-AY53</f>
        <v>687.23692020337614</v>
      </c>
      <c r="AZ56" s="80"/>
      <c r="BA56" s="80">
        <f>BA54+BA55-BA53</f>
        <v>814.07618000601963</v>
      </c>
      <c r="BB56" s="80"/>
      <c r="BC56" s="80">
        <f>BC54+BC55-BC53</f>
        <v>945.5575590657603</v>
      </c>
      <c r="BD56" s="80"/>
      <c r="BE56" s="80">
        <f>BE54+BE55-BE53</f>
        <v>1062.4853148910304</v>
      </c>
      <c r="BF56" s="80"/>
    </row>
    <row r="57" spans="1:58" ht="12.75" hidden="1" outlineLevel="1">
      <c r="A57" s="631" t="s">
        <v>157</v>
      </c>
      <c r="B57" s="631"/>
      <c r="C57" s="632"/>
      <c r="D57" s="633"/>
      <c r="E57" s="632"/>
      <c r="F57" s="634"/>
      <c r="G57" s="632"/>
      <c r="H57" s="633"/>
      <c r="I57" s="635"/>
      <c r="J57" s="633"/>
      <c r="K57" s="636"/>
      <c r="L57" s="633"/>
      <c r="M57" s="637">
        <f>M56+bal!O9</f>
        <v>161.37299999999991</v>
      </c>
      <c r="N57" s="637"/>
      <c r="O57" s="637">
        <f>O56+bal!Q9</f>
        <v>225.48300000000009</v>
      </c>
      <c r="P57" s="633"/>
      <c r="Q57" s="637">
        <f>Q56+bal!S9</f>
        <v>241.57300000000012</v>
      </c>
      <c r="R57" s="633"/>
      <c r="S57" s="637">
        <f>S56+bal!U9</f>
        <v>337.81200000000007</v>
      </c>
      <c r="T57" s="633"/>
      <c r="U57" s="637">
        <f>U56+bal!W9</f>
        <v>589.6070000000002</v>
      </c>
      <c r="V57" s="633"/>
      <c r="W57" s="637">
        <f>W56+bal!Y9</f>
        <v>751.51800000000014</v>
      </c>
      <c r="X57" s="633"/>
      <c r="Y57" s="637">
        <f>Y56+bal!AA9</f>
        <v>827.11299999999983</v>
      </c>
      <c r="Z57" s="638"/>
      <c r="AA57" s="637">
        <f>AA56+bal!AC9</f>
        <v>619.93899999999962</v>
      </c>
      <c r="AB57" s="638"/>
      <c r="AC57" s="637">
        <f>AC56+bal!AE9</f>
        <v>483.85299999999978</v>
      </c>
      <c r="AD57" s="638"/>
      <c r="AE57" s="637">
        <f>AE56+bal!AG9</f>
        <v>698.63499999999976</v>
      </c>
      <c r="AF57" s="70"/>
      <c r="AG57" s="637"/>
      <c r="AH57" s="70"/>
      <c r="AI57" s="549"/>
      <c r="AJ57" s="549"/>
      <c r="AK57" s="549"/>
      <c r="AL57" s="549"/>
      <c r="AM57" s="899"/>
      <c r="AN57" s="549"/>
      <c r="AO57" s="549"/>
      <c r="AP57" s="549"/>
      <c r="AQ57" s="549"/>
      <c r="AR57" s="549"/>
      <c r="AS57" s="549"/>
      <c r="AT57" s="549"/>
      <c r="AU57" s="549"/>
      <c r="AV57" s="549"/>
      <c r="AW57" s="549"/>
      <c r="AX57" s="549"/>
      <c r="AY57" s="549"/>
      <c r="AZ57" s="549"/>
      <c r="BA57" s="549"/>
      <c r="BB57" s="549"/>
      <c r="BC57" s="549"/>
      <c r="BD57" s="549"/>
      <c r="BE57" s="549"/>
      <c r="BF57" s="549"/>
    </row>
    <row r="58" spans="1:58" ht="12.75" collapsed="1">
      <c r="A58" s="4" t="s">
        <v>68</v>
      </c>
      <c r="B58" s="1"/>
      <c r="C58" s="1"/>
      <c r="D58" s="1"/>
      <c r="E58" s="5">
        <f>E55-E51</f>
        <v>8.0409999999999648</v>
      </c>
      <c r="F58" s="52"/>
      <c r="G58" s="5">
        <f>G55-G51</f>
        <v>13.521999999999988</v>
      </c>
      <c r="H58" s="1"/>
      <c r="I58" s="5">
        <f>I55-I51</f>
        <v>34.907999999999994</v>
      </c>
      <c r="J58" s="1"/>
      <c r="K58" s="5">
        <f>K55-K51</f>
        <v>87.356000000000037</v>
      </c>
      <c r="L58" s="1"/>
      <c r="M58" s="294">
        <f>M55-M51</f>
        <v>-23.497000000000071</v>
      </c>
      <c r="N58" s="1"/>
      <c r="O58" s="5">
        <f>O55-O51</f>
        <v>54.543000000000177</v>
      </c>
      <c r="P58" s="1"/>
      <c r="Q58" s="5">
        <f>Q55-Q51</f>
        <v>43.14100000000002</v>
      </c>
      <c r="R58" s="1"/>
      <c r="S58" s="5">
        <f>S55-S51</f>
        <v>137.65699999999995</v>
      </c>
      <c r="T58" s="1"/>
      <c r="U58" s="5">
        <f>U55-U51</f>
        <v>271.39500000000004</v>
      </c>
      <c r="V58" s="1"/>
      <c r="W58" s="5">
        <f>W55-W51</f>
        <v>398.87400000000002</v>
      </c>
      <c r="X58" s="1"/>
      <c r="Y58" s="5">
        <f>Y55-Y51</f>
        <v>555.21499999999969</v>
      </c>
      <c r="Z58" s="52"/>
      <c r="AA58" s="5">
        <f>AA55-AA51</f>
        <v>213.86299999999972</v>
      </c>
      <c r="AB58" s="52"/>
      <c r="AC58" s="545">
        <f>AC55-AC51</f>
        <v>36.858000000000175</v>
      </c>
      <c r="AD58" s="52"/>
      <c r="AE58" s="545">
        <f>AE55-AE51</f>
        <v>259.04300000000001</v>
      </c>
      <c r="AF58" s="52"/>
      <c r="AG58" s="545">
        <f>AG55-AG51</f>
        <v>277.048</v>
      </c>
      <c r="AH58" s="52"/>
      <c r="AI58" s="545">
        <f>AI55-AI51</f>
        <v>139.12099999999992</v>
      </c>
      <c r="AJ58" s="545"/>
      <c r="AK58" s="545">
        <f>AK55-AK51</f>
        <v>405.73199999999997</v>
      </c>
      <c r="AL58" s="545"/>
      <c r="AM58" s="545">
        <f>AM55-AM51</f>
        <v>-63.340000000000032</v>
      </c>
      <c r="AN58" s="545"/>
      <c r="AO58" s="545">
        <f>AO55-AO51</f>
        <v>93.405999999999977</v>
      </c>
      <c r="AP58" s="545"/>
      <c r="AQ58" s="545">
        <f>AQ55-AQ51</f>
        <v>190.79899999999986</v>
      </c>
      <c r="AR58" s="545"/>
      <c r="AS58" s="545">
        <f>AS55-AS51</f>
        <v>204.10200000000003</v>
      </c>
      <c r="AT58" s="545"/>
      <c r="AU58" s="545">
        <f>AU55-AU51</f>
        <v>195.07659999999979</v>
      </c>
      <c r="AV58" s="545"/>
      <c r="AW58" s="545">
        <f>AW55-AW51</f>
        <v>273.00226839838143</v>
      </c>
      <c r="AX58" s="545"/>
      <c r="AY58" s="545">
        <f>AY55-AY51</f>
        <v>267.73655180499532</v>
      </c>
      <c r="AZ58" s="545"/>
      <c r="BA58" s="545">
        <f>BA55-BA51</f>
        <v>265.82170980264351</v>
      </c>
      <c r="BB58" s="545"/>
      <c r="BC58" s="545">
        <f>BC55-BC51</f>
        <v>269.91382905974069</v>
      </c>
      <c r="BD58" s="545"/>
      <c r="BE58" s="545">
        <f>BE55-BE51</f>
        <v>254.81020582527009</v>
      </c>
      <c r="BF58" s="545"/>
    </row>
    <row r="59" spans="1:58" ht="6" customHeight="1">
      <c r="A59" s="4"/>
      <c r="B59" s="1"/>
      <c r="C59" s="68"/>
      <c r="D59" s="1"/>
      <c r="E59" s="68"/>
      <c r="F59" s="51"/>
      <c r="G59" s="68"/>
      <c r="H59" s="1"/>
      <c r="I59" s="86"/>
      <c r="J59" s="51"/>
      <c r="K59" s="1"/>
      <c r="L59" s="1"/>
      <c r="M59" s="68"/>
      <c r="N59" s="1"/>
      <c r="O59" s="68"/>
      <c r="P59" s="1"/>
      <c r="Q59" s="68"/>
      <c r="R59" s="1"/>
      <c r="S59" s="1"/>
      <c r="T59" s="1"/>
      <c r="U59" s="1"/>
      <c r="V59" s="1"/>
      <c r="W59" s="68"/>
      <c r="X59" s="1"/>
      <c r="Y59" s="68"/>
      <c r="Z59" s="70"/>
      <c r="AA59" s="68"/>
      <c r="AB59" s="70"/>
      <c r="AC59" s="549"/>
      <c r="AD59" s="70"/>
      <c r="AE59" s="549"/>
      <c r="AF59" s="70"/>
      <c r="AG59" s="549"/>
      <c r="AH59" s="70"/>
      <c r="AI59" s="549"/>
      <c r="AJ59" s="549"/>
      <c r="AK59" s="549"/>
      <c r="AL59" s="549"/>
      <c r="AM59" s="549"/>
      <c r="AN59" s="549"/>
      <c r="AO59" s="549"/>
      <c r="AP59" s="549"/>
      <c r="AQ59" s="549"/>
      <c r="AR59" s="549"/>
      <c r="AS59" s="549"/>
      <c r="AT59" s="549"/>
      <c r="AU59" s="549"/>
      <c r="AV59" s="549"/>
      <c r="AW59" s="549"/>
      <c r="AX59" s="549"/>
      <c r="AY59" s="549"/>
      <c r="AZ59" s="549"/>
      <c r="BA59" s="549"/>
      <c r="BB59" s="549"/>
      <c r="BC59" s="549"/>
      <c r="BD59" s="549"/>
      <c r="BE59" s="549"/>
      <c r="BF59" s="549"/>
    </row>
    <row r="60" spans="1:58" ht="12.75">
      <c r="A60" s="112" t="s">
        <v>572</v>
      </c>
      <c r="B60" s="1"/>
      <c r="C60" s="9"/>
      <c r="D60" s="1"/>
      <c r="E60" s="85"/>
      <c r="F60" s="55"/>
      <c r="G60" s="9"/>
      <c r="H60" s="1"/>
      <c r="I60" s="9"/>
      <c r="J60" s="1"/>
      <c r="K60" s="87"/>
      <c r="L60" s="1"/>
      <c r="M60" s="9"/>
      <c r="N60" s="1"/>
      <c r="O60" s="9"/>
      <c r="P60" s="1"/>
      <c r="Q60" s="9"/>
      <c r="R60" s="1"/>
      <c r="S60" s="9"/>
      <c r="T60" s="1"/>
      <c r="U60" s="612"/>
      <c r="V60" s="1"/>
      <c r="W60" s="612"/>
      <c r="X60" s="1"/>
      <c r="Y60" s="9"/>
      <c r="Z60" s="55"/>
      <c r="AA60" s="9"/>
      <c r="AB60" s="55"/>
      <c r="AC60" s="554"/>
      <c r="AD60" s="55"/>
      <c r="AE60" s="554"/>
      <c r="AF60" s="55"/>
      <c r="AG60" s="554"/>
      <c r="AH60" s="55"/>
      <c r="AI60" s="554"/>
      <c r="AJ60" s="554"/>
      <c r="AK60" s="554"/>
      <c r="AL60" s="554"/>
      <c r="AM60" s="554"/>
      <c r="AN60" s="554"/>
      <c r="AO60" s="554"/>
      <c r="AP60" s="554"/>
      <c r="AQ60" s="554"/>
      <c r="AR60" s="554"/>
      <c r="AS60" s="554"/>
      <c r="AT60" s="554"/>
      <c r="AU60" s="554"/>
      <c r="AV60" s="554"/>
      <c r="AW60" s="554"/>
      <c r="AX60" s="554"/>
      <c r="AY60" s="554"/>
      <c r="AZ60" s="554"/>
      <c r="BA60" s="554"/>
      <c r="BB60" s="554"/>
      <c r="BC60" s="554"/>
      <c r="BD60" s="554"/>
      <c r="BE60" s="554"/>
      <c r="BF60" s="554"/>
    </row>
    <row r="61" spans="1:58" ht="12.75">
      <c r="A61" s="4"/>
      <c r="B61" s="1"/>
      <c r="C61" s="5"/>
      <c r="D61" s="1"/>
      <c r="E61" s="5"/>
      <c r="F61" s="52"/>
      <c r="G61" s="5"/>
      <c r="H61" s="1"/>
      <c r="I61" s="5"/>
      <c r="J61" s="1"/>
      <c r="K61" s="87"/>
      <c r="L61" s="1"/>
      <c r="M61" s="5"/>
      <c r="N61" s="1"/>
      <c r="O61" s="5"/>
      <c r="P61" s="1"/>
      <c r="Q61" s="5"/>
      <c r="R61" s="1"/>
      <c r="S61" s="5"/>
      <c r="T61" s="1"/>
      <c r="U61" s="5"/>
      <c r="V61" s="1"/>
      <c r="W61" s="5"/>
      <c r="X61" s="1"/>
      <c r="Y61" s="5"/>
      <c r="Z61" s="52"/>
      <c r="AA61" s="5"/>
      <c r="AB61" s="52"/>
      <c r="AC61" s="545"/>
      <c r="AD61" s="52"/>
      <c r="AE61" s="545"/>
      <c r="AF61" s="52"/>
      <c r="AG61" s="545"/>
      <c r="AH61" s="52"/>
      <c r="AI61" s="741"/>
      <c r="AJ61" s="545"/>
      <c r="AK61" s="545"/>
      <c r="AL61" s="545"/>
      <c r="AM61" s="545"/>
      <c r="AN61" s="545"/>
      <c r="AO61" s="545"/>
      <c r="AP61" s="545"/>
      <c r="AQ61" s="545"/>
      <c r="AR61" s="545"/>
      <c r="AS61" s="545"/>
      <c r="AT61" s="545"/>
      <c r="AU61" s="545"/>
      <c r="AV61" s="545"/>
      <c r="AW61" s="545"/>
      <c r="AX61" s="545"/>
      <c r="AY61" s="545"/>
      <c r="AZ61" s="545"/>
      <c r="BA61" s="545"/>
      <c r="BB61" s="545"/>
      <c r="BC61" s="545"/>
      <c r="BD61" s="545"/>
      <c r="BE61" s="545"/>
      <c r="BF61" s="545"/>
    </row>
    <row r="62" spans="1:58" ht="12.75">
      <c r="A62" s="112"/>
      <c r="B62" s="1"/>
      <c r="C62" s="1"/>
      <c r="D62" s="1"/>
      <c r="E62" s="1"/>
      <c r="F62" s="51"/>
      <c r="G62" s="1"/>
      <c r="H62" s="1"/>
      <c r="I62" s="1"/>
      <c r="J62" s="1"/>
      <c r="K62" s="1"/>
      <c r="L62" s="1"/>
      <c r="M62" s="1"/>
      <c r="N62" s="1"/>
      <c r="O62" s="1"/>
      <c r="P62" s="1"/>
      <c r="Q62" s="1"/>
      <c r="R62" s="1"/>
      <c r="S62" s="1"/>
      <c r="T62" s="1"/>
      <c r="U62" s="1"/>
      <c r="V62" s="1"/>
      <c r="W62" s="1"/>
      <c r="X62" s="1"/>
      <c r="Y62" s="1"/>
      <c r="Z62" s="51"/>
      <c r="AA62" s="1"/>
      <c r="AB62" s="51"/>
      <c r="AC62" s="538"/>
      <c r="AD62" s="51"/>
      <c r="AE62" s="538"/>
      <c r="AF62" s="51"/>
      <c r="AG62" s="538"/>
      <c r="AH62" s="51"/>
      <c r="AI62" s="538"/>
      <c r="AJ62" s="538"/>
      <c r="AK62" s="538"/>
      <c r="AL62" s="538"/>
      <c r="AM62" s="538"/>
      <c r="AN62" s="538"/>
      <c r="AO62" s="538"/>
      <c r="AP62" s="538"/>
      <c r="AQ62" s="538"/>
      <c r="AR62" s="538"/>
      <c r="AS62" s="538"/>
      <c r="AT62" s="538"/>
      <c r="AU62" s="538"/>
      <c r="AV62" s="538"/>
      <c r="AW62" s="538"/>
      <c r="AX62" s="538"/>
      <c r="AY62" s="538"/>
      <c r="AZ62" s="538"/>
      <c r="BA62" s="538"/>
      <c r="BB62" s="538"/>
      <c r="BC62" s="538"/>
      <c r="BD62" s="538"/>
      <c r="BE62" s="538"/>
      <c r="BF62" s="538"/>
    </row>
    <row r="64" spans="1:58" ht="12.75">
      <c r="A64" s="1"/>
      <c r="B64" s="1"/>
      <c r="C64" s="1"/>
      <c r="D64" s="1"/>
      <c r="E64" s="1"/>
      <c r="F64" s="51"/>
      <c r="G64" s="1"/>
      <c r="H64" s="1"/>
      <c r="I64" s="1"/>
      <c r="J64" s="1"/>
      <c r="K64" s="1"/>
      <c r="L64" s="1"/>
      <c r="M64" s="1"/>
      <c r="N64" s="1"/>
      <c r="O64" s="1"/>
      <c r="P64" s="1"/>
      <c r="Q64" s="1"/>
      <c r="R64" s="1"/>
      <c r="S64" s="1"/>
      <c r="T64" s="1"/>
      <c r="U64" s="1"/>
      <c r="V64" s="1"/>
      <c r="W64" s="1"/>
      <c r="X64" s="1"/>
      <c r="Y64" s="1"/>
      <c r="Z64" s="51"/>
      <c r="AA64" s="1"/>
      <c r="AB64" s="51"/>
      <c r="AC64" s="538"/>
      <c r="AD64" s="51"/>
      <c r="AE64" s="538"/>
      <c r="AF64" s="51"/>
      <c r="AG64" s="538"/>
      <c r="AH64" s="51"/>
      <c r="AI64" s="538"/>
      <c r="AJ64" s="538"/>
      <c r="AK64" s="538"/>
      <c r="AL64" s="538"/>
      <c r="AM64" s="538"/>
      <c r="AN64" s="538"/>
      <c r="AO64" s="538"/>
      <c r="AP64" s="538"/>
      <c r="AQ64" s="538"/>
      <c r="AR64" s="538"/>
      <c r="AS64" s="538"/>
      <c r="AT64" s="538"/>
      <c r="AU64" s="538"/>
      <c r="AV64" s="538"/>
      <c r="AW64" s="538"/>
      <c r="AX64" s="538"/>
      <c r="AY64" s="538"/>
      <c r="AZ64" s="538"/>
      <c r="BA64" s="538"/>
      <c r="BB64" s="538"/>
      <c r="BC64" s="538"/>
      <c r="BD64" s="538"/>
      <c r="BE64" s="538"/>
      <c r="BF64" s="538"/>
    </row>
    <row r="65" spans="1:58" ht="12.75" hidden="1" outlineLevel="1">
      <c r="A65" s="1" t="s">
        <v>527</v>
      </c>
      <c r="B65" s="232"/>
      <c r="C65" s="232"/>
      <c r="D65" s="232"/>
      <c r="E65" s="234"/>
      <c r="F65" s="233"/>
      <c r="G65" s="9">
        <f>+G33</f>
        <v>3.697000000000001</v>
      </c>
      <c r="H65" s="234"/>
      <c r="I65" s="9">
        <f>+I33</f>
        <v>3.8580000000000059</v>
      </c>
      <c r="J65" s="234"/>
      <c r="K65" s="9">
        <f>+K33</f>
        <v>-24.997000000000003</v>
      </c>
      <c r="L65" s="234"/>
      <c r="M65" s="9">
        <f>+M33</f>
        <v>-30.350999999999999</v>
      </c>
      <c r="N65" s="234"/>
      <c r="O65" s="9">
        <f>+O33</f>
        <v>-15.145</v>
      </c>
      <c r="P65" s="234"/>
      <c r="Q65" s="9">
        <f>+Q33</f>
        <v>41.035999999999994</v>
      </c>
      <c r="R65" s="234"/>
      <c r="S65" s="9">
        <f>+S33</f>
        <v>-51.255000000000003</v>
      </c>
      <c r="T65" s="234"/>
      <c r="U65" s="9">
        <f>+U33</f>
        <v>-36.730000000000004</v>
      </c>
      <c r="V65" s="234"/>
      <c r="W65" s="9">
        <f>+W33</f>
        <v>-47.051999999999992</v>
      </c>
      <c r="X65" s="234"/>
      <c r="Y65" s="9">
        <f>+Y33</f>
        <v>-75.042999999999992</v>
      </c>
      <c r="Z65" s="55"/>
      <c r="AA65" s="9">
        <f>+AA33</f>
        <v>73.391999999999996</v>
      </c>
      <c r="AB65" s="55"/>
      <c r="AC65" s="554">
        <f>+AC33</f>
        <v>83.662999999999982</v>
      </c>
      <c r="AD65" s="55"/>
      <c r="AE65" s="554">
        <f>+AE33</f>
        <v>-35.742999999999995</v>
      </c>
      <c r="AF65" s="55"/>
      <c r="AG65" s="554">
        <f>+AG33</f>
        <v>-8.8300000000000054</v>
      </c>
      <c r="AH65" s="55"/>
      <c r="AI65" s="554">
        <f>+AI33</f>
        <v>92.541000000000025</v>
      </c>
      <c r="AJ65" s="554"/>
      <c r="AK65" s="554">
        <f>+AK33</f>
        <v>-36.504999999999995</v>
      </c>
      <c r="AL65" s="554"/>
      <c r="AM65" s="554">
        <f>+AM33</f>
        <v>61.272999999999996</v>
      </c>
      <c r="AN65" s="554"/>
      <c r="AO65" s="554">
        <f>+AO33</f>
        <v>-60.506</v>
      </c>
      <c r="AP65" s="554"/>
      <c r="AQ65" s="554">
        <f>+AQ33</f>
        <v>51.305999999999997</v>
      </c>
      <c r="AR65" s="554"/>
      <c r="AS65" s="554">
        <f>+AS33</f>
        <v>68.743000000000009</v>
      </c>
      <c r="AT65" s="554"/>
      <c r="AU65" s="554">
        <f>+AU33</f>
        <v>51.601300000000009</v>
      </c>
      <c r="AV65" s="554"/>
      <c r="AW65" s="554">
        <f>+AW33</f>
        <v>1.5239655166159238</v>
      </c>
      <c r="AX65" s="554"/>
      <c r="AY65" s="554">
        <f>+AY33</f>
        <v>6.5154310208855364</v>
      </c>
      <c r="AZ65" s="554"/>
      <c r="BA65" s="554">
        <f>+BA33</f>
        <v>6.1929912358226176</v>
      </c>
      <c r="BB65" s="554"/>
      <c r="BC65" s="554">
        <f>+BC33</f>
        <v>-4.6316081418131958</v>
      </c>
      <c r="BD65" s="554"/>
      <c r="BE65" s="554">
        <f>+BE33</f>
        <v>-6.2701098297290585</v>
      </c>
      <c r="BF65" s="554"/>
    </row>
    <row r="66" spans="1:58" ht="12.75" hidden="1" outlineLevel="1">
      <c r="A66" s="1" t="s">
        <v>531</v>
      </c>
      <c r="B66" s="1"/>
      <c r="C66" s="1"/>
      <c r="D66" s="1"/>
      <c r="E66" s="1"/>
      <c r="F66" s="51"/>
      <c r="G66" s="54">
        <f>+'yrP&amp;L'!D7-'yrP&amp;L'!C7</f>
        <v>79.308999999999969</v>
      </c>
      <c r="H66" s="1"/>
      <c r="I66" s="54">
        <f>+'yrP&amp;L'!E7-'yrP&amp;L'!D7</f>
        <v>181.88700000000006</v>
      </c>
      <c r="J66" s="1"/>
      <c r="K66" s="54">
        <f>+'yrP&amp;L'!F7-'yrP&amp;L'!E7</f>
        <v>244.50400000000002</v>
      </c>
      <c r="L66" s="1"/>
      <c r="M66" s="54">
        <f>+'yrP&amp;L'!G7-'yrP&amp;L'!F7</f>
        <v>261.37299999999982</v>
      </c>
      <c r="N66" s="1"/>
      <c r="O66" s="54">
        <f>+'yrP&amp;L'!H7-'yrP&amp;L'!G7</f>
        <v>278.42200000000025</v>
      </c>
      <c r="P66" s="1"/>
      <c r="Q66" s="54">
        <f>+'yrP&amp;L'!I7-'yrP&amp;L'!H7</f>
        <v>91.241999999999962</v>
      </c>
      <c r="R66" s="1"/>
      <c r="S66" s="54">
        <f>+'yrP&amp;L'!J7-'yrP&amp;L'!I7</f>
        <v>-27.705000000000155</v>
      </c>
      <c r="T66" s="1"/>
      <c r="U66" s="54">
        <f>+'yrP&amp;L'!K7-'yrP&amp;L'!J7</f>
        <v>454.21100000000001</v>
      </c>
      <c r="V66" s="1"/>
      <c r="W66" s="54">
        <f>+'yrP&amp;L'!L7-'yrP&amp;L'!K7</f>
        <v>432.31500000000005</v>
      </c>
      <c r="X66" s="1"/>
      <c r="Y66" s="54">
        <f>+'yrP&amp;L'!M7-'yrP&amp;L'!L7</f>
        <v>472.44699999999966</v>
      </c>
      <c r="Z66" s="54"/>
      <c r="AA66" s="54">
        <f>+'yrP&amp;L'!N7-'yrP&amp;L'!M7</f>
        <v>261.01000000000022</v>
      </c>
      <c r="AB66" s="54"/>
      <c r="AC66" s="54">
        <f>+'yrP&amp;L'!O7-'yrP&amp;L'!N7</f>
        <v>-66.552999999999884</v>
      </c>
      <c r="AD66" s="54"/>
      <c r="AE66" s="54">
        <f>+'yrP&amp;L'!P7-'yrP&amp;L'!O7</f>
        <v>-48.597000000000207</v>
      </c>
      <c r="AF66" s="54"/>
      <c r="AG66" s="54">
        <f>+'yrP&amp;L'!Q7-'yrP&amp;L'!P7</f>
        <v>5.0250000000000909</v>
      </c>
      <c r="AH66" s="54"/>
      <c r="AI66" s="54">
        <f>+'yrP&amp;L'!R7-'yrP&amp;L'!Q7</f>
        <v>174.77100000000019</v>
      </c>
      <c r="AJ66" s="555"/>
      <c r="AK66" s="54">
        <f>+'yrP&amp;L'!S7-'yrP&amp;L'!R7</f>
        <v>355.73699999999963</v>
      </c>
      <c r="AL66" s="555"/>
      <c r="AM66" s="54">
        <f>+'yrP&amp;L'!T7-'yrP&amp;L'!S7</f>
        <v>-170</v>
      </c>
      <c r="AN66" s="555"/>
      <c r="AO66" s="54">
        <f>+'yrP&amp;L'!U7-'yrP&amp;L'!T7</f>
        <v>-22.934999999999491</v>
      </c>
      <c r="AP66" s="555"/>
      <c r="AQ66" s="54">
        <f>+'yrP&amp;L'!V7-'yrP&amp;L'!U7</f>
        <v>238.98099999999977</v>
      </c>
      <c r="AS66" s="54">
        <f>+'yrP&amp;L'!W7-'yrP&amp;L'!V7</f>
        <v>88.01700000000028</v>
      </c>
      <c r="AT66" s="54"/>
      <c r="AU66" s="54">
        <f>+'yrP&amp;L'!X7-'yrP&amp;L'!W7</f>
        <v>185.68399999999974</v>
      </c>
      <c r="AV66" s="54"/>
      <c r="AW66" s="54">
        <f>+'yrP&amp;L'!Y7-'yrP&amp;L'!X7</f>
        <v>50.782354230476813</v>
      </c>
      <c r="AX66" s="54"/>
      <c r="AY66" s="54">
        <f>+'yrP&amp;L'!Z7-'yrP&amp;L'!Y7</f>
        <v>66.892384661462529</v>
      </c>
      <c r="AZ66" s="54"/>
      <c r="BA66" s="54">
        <f>+'yrP&amp;L'!AA7-'yrP&amp;L'!Z7</f>
        <v>61.667172092198143</v>
      </c>
      <c r="BB66" s="54"/>
      <c r="BC66" s="54">
        <f>+'yrP&amp;L'!AB7-'yrP&amp;L'!AA7</f>
        <v>0.2406151501986642</v>
      </c>
      <c r="BD66" s="54"/>
      <c r="BE66" s="54">
        <f>+'yrP&amp;L'!AC7-'yrP&amp;L'!AB7</f>
        <v>-0.47037127522116862</v>
      </c>
      <c r="BF66" s="54"/>
    </row>
    <row r="67" spans="1:58" ht="12.75" hidden="1" outlineLevel="1">
      <c r="A67" s="1" t="s">
        <v>532</v>
      </c>
      <c r="B67" s="1"/>
      <c r="C67" s="1"/>
      <c r="D67" s="1"/>
      <c r="E67" s="1"/>
      <c r="F67" s="51"/>
      <c r="G67" s="109">
        <f>+G65/G66</f>
        <v>4.661513825669221E-2</v>
      </c>
      <c r="H67" s="1"/>
      <c r="I67" s="109">
        <f>+I65/I66</f>
        <v>2.1210971647231548E-2</v>
      </c>
      <c r="J67" s="1"/>
      <c r="K67" s="285">
        <f>+K65/K66</f>
        <v>-0.10223554624873213</v>
      </c>
      <c r="L67" s="1"/>
      <c r="M67" s="285">
        <f>+M65/M66</f>
        <v>-0.11612140504183684</v>
      </c>
      <c r="N67" s="285"/>
      <c r="O67" s="285">
        <f>+O65/O66</f>
        <v>-5.4395845155914349E-2</v>
      </c>
      <c r="P67" s="1"/>
      <c r="Q67" s="285">
        <f>+Q65/Q66</f>
        <v>0.44974901909208492</v>
      </c>
      <c r="R67" s="1"/>
      <c r="S67" s="285">
        <f>+S65/S66</f>
        <v>1.8500270709258155</v>
      </c>
      <c r="T67" s="1"/>
      <c r="U67" s="285">
        <f>+U65/U66</f>
        <v>-8.0865500835514775E-2</v>
      </c>
      <c r="V67" s="1"/>
      <c r="W67" s="285">
        <f>+W65/W66</f>
        <v>-0.10883730613094615</v>
      </c>
      <c r="X67" s="1"/>
      <c r="Y67" s="285">
        <f>+Y65/Y66</f>
        <v>-0.15883898088039514</v>
      </c>
      <c r="Z67" s="369"/>
      <c r="AA67" s="285">
        <f>+AA65/AA66</f>
        <v>0.2811846289414196</v>
      </c>
      <c r="AB67" s="369"/>
      <c r="AC67" s="285">
        <f>+AC65/AC66</f>
        <v>-1.2570883356122207</v>
      </c>
      <c r="AD67" s="369"/>
      <c r="AE67" s="285">
        <f>+AE65/AE66</f>
        <v>0.73549807601291939</v>
      </c>
      <c r="AF67" s="369"/>
      <c r="AG67" s="285">
        <f>+AG65/AG66</f>
        <v>-1.7572139303482279</v>
      </c>
      <c r="AH67" s="369"/>
      <c r="AI67" s="285">
        <f>+AI65/AI66</f>
        <v>0.52949860102648572</v>
      </c>
      <c r="AJ67" s="557"/>
      <c r="AK67" s="285">
        <f>+AK65/AK66</f>
        <v>-0.10261794527979949</v>
      </c>
      <c r="AL67" s="557"/>
      <c r="AM67" s="285">
        <f>+AM65/AM66</f>
        <v>-0.36042941176470589</v>
      </c>
      <c r="AN67" s="557"/>
      <c r="AO67" s="285">
        <f>+AO65/AO66</f>
        <v>2.6381512971441614</v>
      </c>
      <c r="AP67" s="557"/>
      <c r="AQ67" s="285">
        <f>+AQ65/AQ66</f>
        <v>0.21468652319640494</v>
      </c>
      <c r="AR67" s="285"/>
      <c r="AS67" s="285">
        <f>+AS65/AS66</f>
        <v>0.78101957576377057</v>
      </c>
      <c r="AT67" s="285"/>
      <c r="AU67" s="285">
        <f>+AU65/AU66</f>
        <v>0.27789847267400575</v>
      </c>
      <c r="AV67" s="285"/>
      <c r="AW67" s="285">
        <f>+AW65/AW66</f>
        <v>3.0009745308367811E-2</v>
      </c>
      <c r="AX67" s="285"/>
      <c r="AY67" s="285">
        <f>+AY65/AY66</f>
        <v>9.7401685615779082E-2</v>
      </c>
      <c r="AZ67" s="285"/>
      <c r="BA67" s="285">
        <f>+BA65/BA66</f>
        <v>0.10042606180422091</v>
      </c>
      <c r="BB67" s="285"/>
      <c r="BC67" s="285">
        <f>+BC65/BC66</f>
        <v>-19.24902957269774</v>
      </c>
      <c r="BD67" s="285"/>
      <c r="BE67" s="285">
        <f>+BE65/BE66</f>
        <v>13.330129112966883</v>
      </c>
      <c r="BF67" s="285"/>
    </row>
    <row r="68" spans="1:58" ht="12.75" hidden="1" outlineLevel="1">
      <c r="A68" s="1"/>
      <c r="B68" s="1"/>
      <c r="C68" s="1"/>
      <c r="D68" s="1"/>
      <c r="E68" s="1"/>
      <c r="F68" s="51"/>
      <c r="G68" s="1"/>
      <c r="H68" s="1"/>
      <c r="I68" s="1"/>
      <c r="J68" s="1"/>
      <c r="K68" s="1"/>
      <c r="L68" s="1"/>
      <c r="M68" s="1"/>
      <c r="N68" s="1"/>
      <c r="O68" s="1"/>
      <c r="P68" s="1"/>
      <c r="Q68" s="1"/>
      <c r="R68" s="1"/>
      <c r="S68" s="1"/>
      <c r="T68" s="1"/>
      <c r="U68" s="1"/>
      <c r="V68" s="1"/>
      <c r="W68" s="1"/>
      <c r="X68" s="1"/>
      <c r="Y68" s="1"/>
      <c r="Z68" s="51"/>
      <c r="AA68" s="1"/>
      <c r="AB68" s="51"/>
      <c r="AC68" s="538"/>
      <c r="AD68" s="51"/>
      <c r="AE68" s="538"/>
      <c r="AF68" s="51"/>
      <c r="AG68" s="538"/>
      <c r="AH68" s="51"/>
      <c r="AI68" s="538"/>
      <c r="AJ68" s="538"/>
      <c r="AK68" s="538"/>
      <c r="AL68" s="538"/>
      <c r="AM68" s="538"/>
      <c r="AN68" s="538"/>
      <c r="AO68" s="538"/>
      <c r="AP68" s="538"/>
      <c r="AQ68" s="538"/>
      <c r="AR68" s="538"/>
      <c r="AS68" s="538"/>
      <c r="AT68" s="538"/>
      <c r="AU68" s="538"/>
      <c r="AV68" s="538"/>
      <c r="AW68" s="538"/>
      <c r="AX68" s="538"/>
      <c r="AY68" s="538"/>
      <c r="AZ68" s="538"/>
      <c r="BA68" s="538"/>
      <c r="BB68" s="538"/>
      <c r="BC68" s="538"/>
      <c r="BD68" s="538"/>
      <c r="BE68" s="538"/>
      <c r="BF68" s="538"/>
    </row>
    <row r="69" spans="1:58" ht="12.75" hidden="1" outlineLevel="1">
      <c r="A69" s="1" t="s">
        <v>533</v>
      </c>
      <c r="B69" s="1"/>
      <c r="C69" s="1"/>
      <c r="D69" s="1"/>
      <c r="E69" s="1"/>
      <c r="F69" s="51"/>
      <c r="G69" s="1">
        <f>+yrSales!E118+yrSales!E122+yrSales!E123</f>
        <v>29</v>
      </c>
      <c r="H69" s="1"/>
      <c r="I69" s="1">
        <f>+yrSales!F118+yrSales!F122+yrSales!F123</f>
        <v>54</v>
      </c>
      <c r="J69" s="1"/>
      <c r="K69" s="1">
        <f>+yrSales!G118+yrSales!G122+yrSales!G123</f>
        <v>80</v>
      </c>
      <c r="L69" s="1"/>
      <c r="M69" s="1">
        <f>yrSales!H19-yrSales!G19</f>
        <v>88</v>
      </c>
      <c r="N69" s="1"/>
      <c r="O69" s="1">
        <f>yrSales!I19-yrSales!H19</f>
        <v>124</v>
      </c>
      <c r="P69" s="1"/>
      <c r="Q69" s="1">
        <f>yrSales!J19-yrSales!I19</f>
        <v>75</v>
      </c>
      <c r="R69" s="1"/>
      <c r="S69" s="1">
        <f>yrSales!K19-yrSales!J19</f>
        <v>52</v>
      </c>
      <c r="T69" s="1"/>
      <c r="U69" s="1">
        <f>yrSales!L19-yrSales!K19</f>
        <v>41</v>
      </c>
      <c r="V69" s="1"/>
      <c r="W69" s="1">
        <f>yrSales!M19-yrSales!L19</f>
        <v>23</v>
      </c>
      <c r="X69" s="1"/>
      <c r="Y69" s="1">
        <f>yrSales!N19-yrSales!M19</f>
        <v>42</v>
      </c>
      <c r="Z69" s="51"/>
      <c r="AA69" s="1">
        <f>yrSales!O19-yrSales!N19</f>
        <v>76</v>
      </c>
      <c r="AB69" s="51"/>
      <c r="AC69" s="1">
        <f>yrSales!P19-yrSales!O19</f>
        <v>111</v>
      </c>
      <c r="AD69" s="51"/>
      <c r="AE69" s="1">
        <f>yrSales!Q19-yrSales!P19</f>
        <v>5</v>
      </c>
      <c r="AF69" s="51"/>
      <c r="AG69" s="1">
        <f>yrSales!R19-yrSales!Q19</f>
        <v>-26</v>
      </c>
      <c r="AH69" s="51"/>
      <c r="AI69" s="1">
        <f>yrSales!S19-yrSales!R19</f>
        <v>-8</v>
      </c>
      <c r="AJ69" s="538"/>
      <c r="AK69" s="1">
        <f>yrSales!T19-yrSales!S19</f>
        <v>-25</v>
      </c>
      <c r="AL69" s="538"/>
      <c r="AM69" s="1">
        <f>yrSales!U19-yrSales!T19</f>
        <v>22</v>
      </c>
      <c r="AN69" s="538"/>
      <c r="AO69" s="1">
        <f>yrSales!V19-yrSales!U19</f>
        <v>-10</v>
      </c>
      <c r="AP69" s="538"/>
      <c r="AQ69" s="1">
        <f>yrSales!W19-yrSales!V19</f>
        <v>-9</v>
      </c>
      <c r="AS69" s="1">
        <f>yrSales!X19-yrSales!W19</f>
        <v>3</v>
      </c>
      <c r="AT69" s="1"/>
      <c r="AU69" s="1">
        <f>yrSales!Y19-yrSales!X19</f>
        <v>-3</v>
      </c>
      <c r="AV69" s="1"/>
      <c r="AW69" s="1">
        <f>yrSales!Z19-yrSales!Y19</f>
        <v>8</v>
      </c>
      <c r="AX69" s="1"/>
      <c r="AY69" s="1">
        <f>yrSales!AA19-yrSales!Z19</f>
        <v>5</v>
      </c>
      <c r="AZ69" s="1"/>
      <c r="BA69" s="1">
        <f>yrSales!AB19-yrSales!AA19</f>
        <v>-5</v>
      </c>
      <c r="BB69" s="1"/>
      <c r="BC69" s="1">
        <f>yrSales!AC19-yrSales!AB19</f>
        <v>-10</v>
      </c>
      <c r="BD69" s="1"/>
      <c r="BE69" s="1">
        <f>yrSales!AD19-yrSales!AC19</f>
        <v>-10</v>
      </c>
      <c r="BF69" s="1"/>
    </row>
    <row r="70" spans="1:58" ht="12.75" hidden="1" outlineLevel="1">
      <c r="A70" s="1" t="s">
        <v>534</v>
      </c>
      <c r="B70" s="1"/>
      <c r="C70" s="1"/>
      <c r="D70" s="1"/>
      <c r="E70" s="1"/>
      <c r="F70" s="51"/>
      <c r="G70" s="286">
        <v>0.23</v>
      </c>
      <c r="H70" s="276"/>
      <c r="I70" s="286">
        <v>0.23</v>
      </c>
      <c r="J70" s="276"/>
      <c r="K70" s="286">
        <v>0.23</v>
      </c>
      <c r="L70" s="276"/>
      <c r="M70" s="286">
        <v>0.23</v>
      </c>
      <c r="N70" s="276"/>
      <c r="O70" s="286">
        <v>0.23</v>
      </c>
      <c r="P70" s="276"/>
      <c r="Q70" s="286">
        <v>0.23</v>
      </c>
      <c r="R70" s="276"/>
      <c r="S70" s="286">
        <v>0.23</v>
      </c>
      <c r="T70" s="276"/>
      <c r="U70" s="286">
        <v>0.23</v>
      </c>
      <c r="V70" s="276"/>
      <c r="W70" s="286">
        <v>0.23</v>
      </c>
      <c r="X70" s="276"/>
      <c r="Y70" s="286">
        <v>0.23</v>
      </c>
      <c r="Z70" s="370"/>
      <c r="AA70" s="286">
        <f>Y70</f>
        <v>0.23</v>
      </c>
      <c r="AB70" s="370"/>
      <c r="AC70" s="558">
        <f>AA70</f>
        <v>0.23</v>
      </c>
      <c r="AD70" s="370"/>
      <c r="AE70" s="558">
        <f>AC70</f>
        <v>0.23</v>
      </c>
      <c r="AF70" s="370"/>
      <c r="AG70" s="558">
        <f>AE70</f>
        <v>0.23</v>
      </c>
      <c r="AH70" s="370"/>
      <c r="AI70" s="558">
        <f>AG70</f>
        <v>0.23</v>
      </c>
      <c r="AJ70" s="558"/>
      <c r="AK70" s="558">
        <f>AI70</f>
        <v>0.23</v>
      </c>
      <c r="AL70" s="558"/>
      <c r="AM70" s="558">
        <f>AK70</f>
        <v>0.23</v>
      </c>
      <c r="AN70" s="558"/>
      <c r="AO70" s="558">
        <f>AM70</f>
        <v>0.23</v>
      </c>
      <c r="AP70" s="558"/>
      <c r="AQ70" s="558">
        <f>AO70</f>
        <v>0.23</v>
      </c>
      <c r="AR70" s="558"/>
      <c r="AS70" s="558">
        <f>AQ70</f>
        <v>0.23</v>
      </c>
      <c r="AT70" s="558"/>
      <c r="AU70" s="558">
        <f>AS70</f>
        <v>0.23</v>
      </c>
      <c r="AV70" s="558"/>
      <c r="AW70" s="558">
        <f>AU70</f>
        <v>0.23</v>
      </c>
      <c r="AX70" s="558"/>
      <c r="AY70" s="558">
        <f>AU70</f>
        <v>0.23</v>
      </c>
      <c r="AZ70" s="558"/>
      <c r="BA70" s="558">
        <f>AW70</f>
        <v>0.23</v>
      </c>
      <c r="BB70" s="558"/>
      <c r="BC70" s="558">
        <f>AY70</f>
        <v>0.23</v>
      </c>
      <c r="BD70" s="558"/>
      <c r="BE70" s="558">
        <f>BA70</f>
        <v>0.23</v>
      </c>
      <c r="BF70" s="558"/>
    </row>
    <row r="71" spans="1:58" ht="12.75" hidden="1" outlineLevel="1">
      <c r="A71" s="1"/>
      <c r="B71" s="1"/>
      <c r="C71" s="1"/>
      <c r="D71" s="1"/>
      <c r="E71" s="1"/>
      <c r="F71" s="51"/>
      <c r="G71" s="1"/>
      <c r="H71" s="1"/>
      <c r="I71" s="1"/>
      <c r="J71" s="1"/>
      <c r="K71" s="1"/>
      <c r="L71" s="1"/>
      <c r="M71" s="1"/>
      <c r="N71" s="1"/>
      <c r="O71" s="1"/>
      <c r="P71" s="1"/>
      <c r="Q71" s="1"/>
      <c r="R71" s="1"/>
      <c r="S71" s="1"/>
      <c r="T71" s="1"/>
      <c r="U71" s="1"/>
      <c r="V71" s="1"/>
      <c r="W71" s="1"/>
      <c r="X71" s="1"/>
      <c r="Y71" s="1"/>
      <c r="Z71" s="51"/>
      <c r="AA71" s="1"/>
      <c r="AB71" s="51"/>
      <c r="AC71" s="538"/>
      <c r="AD71" s="51"/>
      <c r="AE71" s="538"/>
      <c r="AF71" s="51"/>
      <c r="AG71" s="538"/>
      <c r="AH71" s="51"/>
      <c r="AI71" s="538"/>
      <c r="AJ71" s="538"/>
      <c r="AK71" s="538"/>
      <c r="AL71" s="538"/>
      <c r="AM71" s="538"/>
      <c r="AN71" s="538"/>
      <c r="AO71" s="538"/>
      <c r="AP71" s="538"/>
      <c r="AQ71" s="538"/>
      <c r="AR71" s="538"/>
      <c r="AS71" s="538"/>
      <c r="AT71" s="538"/>
      <c r="AU71" s="538"/>
      <c r="AV71" s="538"/>
      <c r="AW71" s="538"/>
      <c r="AX71" s="538"/>
      <c r="AY71" s="538"/>
      <c r="AZ71" s="538"/>
      <c r="BA71" s="538"/>
      <c r="BB71" s="538"/>
      <c r="BC71" s="538"/>
      <c r="BD71" s="538"/>
      <c r="BE71" s="538"/>
      <c r="BF71" s="538"/>
    </row>
    <row r="72" spans="1:58" ht="12.75" hidden="1" outlineLevel="1">
      <c r="A72" s="1" t="s">
        <v>535</v>
      </c>
      <c r="B72" s="1"/>
      <c r="C72" s="1"/>
      <c r="D72" s="1"/>
      <c r="E72" s="1"/>
      <c r="F72" s="51"/>
      <c r="G72" s="9">
        <f>+G22</f>
        <v>12.646000000000001</v>
      </c>
      <c r="H72" s="1"/>
      <c r="I72" s="9">
        <f>+I22</f>
        <v>24.913</v>
      </c>
      <c r="J72" s="1"/>
      <c r="K72" s="9">
        <f>+K22</f>
        <v>45.556000000000004</v>
      </c>
      <c r="L72" s="1"/>
      <c r="M72" s="9">
        <f>+M22</f>
        <v>174.50900000000001</v>
      </c>
      <c r="N72" s="1"/>
      <c r="O72" s="9">
        <f>+O22</f>
        <v>119.34699999999999</v>
      </c>
      <c r="P72" s="1"/>
      <c r="Q72" s="9">
        <f>+Q22</f>
        <v>61.406999999999996</v>
      </c>
      <c r="R72" s="1"/>
      <c r="S72" s="9">
        <f>+S22</f>
        <v>77.543999999999997</v>
      </c>
      <c r="T72" s="1"/>
      <c r="U72" s="9">
        <f>+U22</f>
        <v>97.287999999999997</v>
      </c>
      <c r="V72" s="1"/>
      <c r="W72" s="9">
        <f>+W22</f>
        <v>81.545000000000002</v>
      </c>
      <c r="X72" s="1"/>
      <c r="Y72" s="9">
        <f>+Y22</f>
        <v>225.93899999999999</v>
      </c>
      <c r="Z72" s="55"/>
      <c r="AA72" s="9">
        <f>+AA22</f>
        <v>250.40700000000001</v>
      </c>
      <c r="AB72" s="55"/>
      <c r="AC72" s="554">
        <f>+AC22</f>
        <v>265.33499999999998</v>
      </c>
      <c r="AD72" s="55"/>
      <c r="AE72" s="554">
        <f>+AE22</f>
        <v>127.419</v>
      </c>
      <c r="AF72" s="55"/>
      <c r="AG72" s="554">
        <f>+AG22</f>
        <v>84.259</v>
      </c>
      <c r="AH72" s="55"/>
      <c r="AI72" s="554">
        <f>+AI22</f>
        <v>100.13500000000001</v>
      </c>
      <c r="AJ72" s="554"/>
      <c r="AK72" s="554">
        <f>+AK22</f>
        <v>93.938999999999993</v>
      </c>
      <c r="AL72" s="554"/>
      <c r="AM72" s="554">
        <f>+AM22</f>
        <v>278.49900000000002</v>
      </c>
      <c r="AN72" s="554"/>
      <c r="AO72" s="554">
        <f>+AO22</f>
        <v>245.00200000000001</v>
      </c>
      <c r="AP72" s="554"/>
      <c r="AQ72" s="554">
        <f>+AQ22</f>
        <v>153.256</v>
      </c>
      <c r="AR72" s="554"/>
      <c r="AS72" s="554">
        <f>+AS22</f>
        <v>161.494</v>
      </c>
      <c r="AT72" s="554"/>
      <c r="AU72" s="554">
        <f>+AU22</f>
        <v>169</v>
      </c>
      <c r="AV72" s="554"/>
      <c r="AW72" s="554">
        <f>+AW22</f>
        <v>185</v>
      </c>
      <c r="AX72" s="554"/>
      <c r="AY72" s="554">
        <f>+AY22</f>
        <v>185</v>
      </c>
      <c r="AZ72" s="554"/>
      <c r="BA72" s="554">
        <f>+BA22</f>
        <v>185</v>
      </c>
      <c r="BB72" s="554"/>
      <c r="BC72" s="554">
        <f>+BC22</f>
        <v>185</v>
      </c>
      <c r="BD72" s="554"/>
      <c r="BE72" s="554">
        <f>+BE22</f>
        <v>185</v>
      </c>
      <c r="BF72" s="554"/>
    </row>
    <row r="73" spans="1:58" ht="12.75" hidden="1" outlineLevel="1">
      <c r="A73" s="287" t="s">
        <v>536</v>
      </c>
      <c r="B73" s="1"/>
      <c r="C73" s="1"/>
      <c r="D73" s="1"/>
      <c r="E73" s="1"/>
      <c r="F73" s="51"/>
      <c r="G73" s="54">
        <f>+G69*G70</f>
        <v>6.67</v>
      </c>
      <c r="H73" s="54"/>
      <c r="I73" s="54">
        <f>+I69*I70</f>
        <v>12.42</v>
      </c>
      <c r="J73" s="54"/>
      <c r="K73" s="54">
        <f>+K69*K70</f>
        <v>18.400000000000002</v>
      </c>
      <c r="L73" s="54"/>
      <c r="M73" s="54">
        <f>+M69*M70</f>
        <v>20.240000000000002</v>
      </c>
      <c r="N73" s="54"/>
      <c r="O73" s="54">
        <f>+O69*O70</f>
        <v>28.52</v>
      </c>
      <c r="P73" s="54"/>
      <c r="Q73" s="54">
        <f>+Q69*Q70</f>
        <v>17.25</v>
      </c>
      <c r="R73" s="54"/>
      <c r="S73" s="54">
        <f>+S69*S70</f>
        <v>11.96</v>
      </c>
      <c r="T73" s="54"/>
      <c r="U73" s="54">
        <f>+U69*U70</f>
        <v>9.43</v>
      </c>
      <c r="V73" s="54"/>
      <c r="W73" s="54">
        <f>+W69*W70</f>
        <v>5.29</v>
      </c>
      <c r="X73" s="54"/>
      <c r="Y73" s="54">
        <f>+Y69*Y70</f>
        <v>9.66</v>
      </c>
      <c r="Z73" s="54"/>
      <c r="AA73" s="54">
        <f>+AA69*AA70</f>
        <v>17.48</v>
      </c>
      <c r="AB73" s="54"/>
      <c r="AC73" s="54">
        <f>+AC69*AC70</f>
        <v>25.53</v>
      </c>
      <c r="AD73" s="54"/>
      <c r="AE73" s="54">
        <f>+AE69*AE70</f>
        <v>1.1500000000000001</v>
      </c>
      <c r="AF73" s="54"/>
      <c r="AG73" s="54">
        <f>+AG69*AG70</f>
        <v>-5.98</v>
      </c>
      <c r="AH73" s="54"/>
      <c r="AI73" s="54">
        <f>+AI69*AI70</f>
        <v>-1.84</v>
      </c>
      <c r="AJ73" s="555"/>
      <c r="AK73" s="54">
        <f>+AK69*AK70</f>
        <v>-5.75</v>
      </c>
      <c r="AL73" s="555"/>
      <c r="AM73" s="54">
        <f>+AM69*AM70</f>
        <v>5.0600000000000005</v>
      </c>
      <c r="AN73" s="555"/>
      <c r="AO73" s="54">
        <f>+AO69*AO70</f>
        <v>-2.3000000000000003</v>
      </c>
      <c r="AP73" s="555"/>
      <c r="AQ73" s="54">
        <f>+AQ69*AQ70</f>
        <v>-2.0700000000000003</v>
      </c>
      <c r="AR73" s="54"/>
      <c r="AS73" s="54">
        <f>+AS69*AS70</f>
        <v>0.69000000000000006</v>
      </c>
      <c r="AT73" s="54"/>
      <c r="AU73" s="54">
        <f>+AU69*AU70</f>
        <v>-0.69000000000000006</v>
      </c>
      <c r="AV73" s="54"/>
      <c r="AW73" s="54">
        <f>+AW69*AW70</f>
        <v>1.84</v>
      </c>
      <c r="AX73" s="54"/>
      <c r="AY73" s="54">
        <f>+AY69*AY70</f>
        <v>1.1500000000000001</v>
      </c>
      <c r="AZ73" s="54"/>
      <c r="BA73" s="54">
        <f>+BA69*BA70</f>
        <v>-1.1500000000000001</v>
      </c>
      <c r="BB73" s="54"/>
      <c r="BC73" s="54">
        <f>+BC69*BC70</f>
        <v>-2.3000000000000003</v>
      </c>
      <c r="BD73" s="54"/>
      <c r="BE73" s="54">
        <f>+BE69*BE70</f>
        <v>-2.3000000000000003</v>
      </c>
      <c r="BF73" s="54"/>
    </row>
    <row r="74" spans="1:58" ht="12.75" hidden="1" outlineLevel="1">
      <c r="A74" s="287" t="s">
        <v>539</v>
      </c>
      <c r="B74" s="1"/>
      <c r="C74" s="1"/>
      <c r="D74" s="1"/>
      <c r="E74" s="1"/>
      <c r="F74" s="51"/>
      <c r="G74" s="99">
        <f>+G70*G71</f>
        <v>0</v>
      </c>
      <c r="H74" s="1"/>
      <c r="I74" s="99">
        <f>+I70*I71</f>
        <v>0</v>
      </c>
      <c r="J74" s="1"/>
      <c r="K74" s="99">
        <f>+K70*K71</f>
        <v>0</v>
      </c>
      <c r="L74" s="1"/>
      <c r="M74" s="99">
        <f>78.2+8.5</f>
        <v>86.7</v>
      </c>
      <c r="N74" s="1"/>
      <c r="O74" s="99">
        <f>+O70*O71</f>
        <v>0</v>
      </c>
      <c r="P74" s="1"/>
      <c r="Q74" s="99">
        <f>+Q70*Q71</f>
        <v>0</v>
      </c>
      <c r="R74" s="1"/>
      <c r="S74" s="99">
        <f>+S70*S71</f>
        <v>0</v>
      </c>
      <c r="T74" s="1"/>
      <c r="U74" s="99">
        <f>+U70*U71</f>
        <v>0</v>
      </c>
      <c r="V74" s="1"/>
      <c r="W74" s="99">
        <f>+W70*W71</f>
        <v>0</v>
      </c>
      <c r="X74" s="1"/>
      <c r="Y74" s="99">
        <f>+Y70*Y71</f>
        <v>0</v>
      </c>
      <c r="Z74" s="198"/>
      <c r="AA74" s="99">
        <f>Y74</f>
        <v>0</v>
      </c>
      <c r="AB74" s="198"/>
      <c r="AC74" s="543">
        <f>AA74</f>
        <v>0</v>
      </c>
      <c r="AD74" s="198"/>
      <c r="AE74" s="543">
        <f>AC74</f>
        <v>0</v>
      </c>
      <c r="AF74" s="198"/>
      <c r="AG74" s="543">
        <f>AE74</f>
        <v>0</v>
      </c>
      <c r="AH74" s="198"/>
      <c r="AI74" s="543">
        <f>AG74</f>
        <v>0</v>
      </c>
      <c r="AJ74" s="543"/>
      <c r="AK74" s="543">
        <f>AI74</f>
        <v>0</v>
      </c>
      <c r="AL74" s="543"/>
      <c r="AM74" s="543">
        <f>AK74</f>
        <v>0</v>
      </c>
      <c r="AN74" s="543"/>
      <c r="AO74" s="543">
        <f>AM74</f>
        <v>0</v>
      </c>
      <c r="AP74" s="543"/>
      <c r="AQ74" s="543">
        <f>AO74</f>
        <v>0</v>
      </c>
      <c r="AR74" s="543"/>
      <c r="AS74" s="543">
        <f>AQ74</f>
        <v>0</v>
      </c>
      <c r="AT74" s="543"/>
      <c r="AU74" s="543">
        <f>AS74</f>
        <v>0</v>
      </c>
      <c r="AV74" s="543"/>
      <c r="AW74" s="543">
        <f>AT74</f>
        <v>0</v>
      </c>
      <c r="AX74" s="543"/>
      <c r="AY74" s="543">
        <f>AU74</f>
        <v>0</v>
      </c>
      <c r="AZ74" s="543"/>
      <c r="BA74" s="543">
        <f>AW74</f>
        <v>0</v>
      </c>
      <c r="BB74" s="543"/>
      <c r="BC74" s="543">
        <f>AY74</f>
        <v>0</v>
      </c>
      <c r="BD74" s="544"/>
      <c r="BE74" s="543">
        <f>BA74</f>
        <v>0</v>
      </c>
      <c r="BF74" s="544"/>
    </row>
    <row r="75" spans="1:58" ht="12.75" hidden="1" outlineLevel="1">
      <c r="A75" s="1" t="s">
        <v>540</v>
      </c>
      <c r="B75" s="1"/>
      <c r="C75" s="1"/>
      <c r="D75" s="1"/>
      <c r="E75" s="1"/>
      <c r="F75" s="51"/>
      <c r="G75" s="54">
        <f>+G72-G73-G74</f>
        <v>5.9760000000000009</v>
      </c>
      <c r="H75" s="1"/>
      <c r="I75" s="54">
        <f>+I72-I73-I74</f>
        <v>12.493</v>
      </c>
      <c r="J75" s="54"/>
      <c r="K75" s="54">
        <f>+K72-K73-K74</f>
        <v>27.156000000000002</v>
      </c>
      <c r="L75" s="54"/>
      <c r="M75" s="54">
        <f>+M72-M73-M74</f>
        <v>67.569000000000003</v>
      </c>
      <c r="N75" s="54"/>
      <c r="O75" s="54">
        <f>+O72-O73-O74</f>
        <v>90.826999999999998</v>
      </c>
      <c r="P75" s="54"/>
      <c r="Q75" s="54">
        <f>+Q72-Q73-Q74</f>
        <v>44.156999999999996</v>
      </c>
      <c r="R75" s="54"/>
      <c r="S75" s="54">
        <f>+S72-S73-S74</f>
        <v>65.584000000000003</v>
      </c>
      <c r="T75" s="54"/>
      <c r="U75" s="54">
        <f>+U72-U73-U74</f>
        <v>87.858000000000004</v>
      </c>
      <c r="V75" s="54"/>
      <c r="W75" s="54">
        <f>+W72-W73-W74</f>
        <v>76.254999999999995</v>
      </c>
      <c r="X75" s="54"/>
      <c r="Y75" s="54">
        <f>+Y72-Y73-Y74</f>
        <v>216.279</v>
      </c>
      <c r="Z75" s="54"/>
      <c r="AA75" s="54">
        <f>+AA72-AA73-AA74</f>
        <v>232.92700000000002</v>
      </c>
      <c r="AB75" s="54"/>
      <c r="AC75" s="555">
        <f>+AC72-AC73-AC74</f>
        <v>239.80499999999998</v>
      </c>
      <c r="AD75" s="54"/>
      <c r="AE75" s="555">
        <f>+AE72-AE73-AE74</f>
        <v>126.26899999999999</v>
      </c>
      <c r="AF75" s="54"/>
      <c r="AG75" s="555">
        <f>+AG72-AG73-AG74</f>
        <v>90.239000000000004</v>
      </c>
      <c r="AH75" s="54"/>
      <c r="AI75" s="555">
        <f>+AI72-AI73-AI74</f>
        <v>101.97500000000001</v>
      </c>
      <c r="AJ75" s="555"/>
      <c r="AK75" s="555">
        <f>+AK72-AK73-AK74</f>
        <v>99.688999999999993</v>
      </c>
      <c r="AL75" s="555"/>
      <c r="AM75" s="555">
        <f>+AM72-AM73-AM74</f>
        <v>273.43900000000002</v>
      </c>
      <c r="AN75" s="555"/>
      <c r="AO75" s="555">
        <f>+AO72-AO73-AO74</f>
        <v>247.30200000000002</v>
      </c>
      <c r="AP75" s="555"/>
      <c r="AQ75" s="555">
        <f>+AQ72-AQ73-AQ74</f>
        <v>155.32599999999999</v>
      </c>
      <c r="AR75" s="555"/>
      <c r="AS75" s="555">
        <f>+AS72-AS73-AS74</f>
        <v>160.804</v>
      </c>
      <c r="AT75" s="555"/>
      <c r="AU75" s="555">
        <f>+AU72-AU73-AU74</f>
        <v>169.69</v>
      </c>
      <c r="AV75" s="555"/>
      <c r="AW75" s="555">
        <f>+AW72-AW73-AW74</f>
        <v>183.16</v>
      </c>
      <c r="AX75" s="555"/>
      <c r="AY75" s="555">
        <f>+AY72-AY73-AY74</f>
        <v>183.85</v>
      </c>
      <c r="AZ75" s="555"/>
      <c r="BA75" s="555">
        <f>+BA72-BA73-BA74</f>
        <v>186.15</v>
      </c>
      <c r="BB75" s="555"/>
      <c r="BC75" s="555">
        <f>+BC72-BC73-BC74</f>
        <v>187.3</v>
      </c>
      <c r="BD75" s="555"/>
      <c r="BE75" s="555">
        <f>+BE72-BE73-BE74</f>
        <v>187.3</v>
      </c>
      <c r="BF75" s="555"/>
    </row>
    <row r="76" spans="1:58" ht="12.75" hidden="1" outlineLevel="1">
      <c r="A76" s="1" t="s">
        <v>541</v>
      </c>
      <c r="B76" s="1"/>
      <c r="C76" s="1"/>
      <c r="D76" s="1"/>
      <c r="E76" s="1"/>
      <c r="F76" s="51"/>
      <c r="G76" s="109">
        <f>+G75/G72</f>
        <v>0.47256049343665985</v>
      </c>
      <c r="H76" s="1"/>
      <c r="I76" s="109">
        <f>+I75/I72</f>
        <v>0.50146509854292942</v>
      </c>
      <c r="J76" s="1"/>
      <c r="K76" s="109">
        <f>+K75/K72</f>
        <v>0.59610150144876639</v>
      </c>
      <c r="L76" s="1"/>
      <c r="M76" s="109">
        <f>+M75/M72</f>
        <v>0.38719492977439557</v>
      </c>
      <c r="N76" s="1"/>
      <c r="O76" s="109">
        <f>+O75/O72</f>
        <v>0.76103295432645979</v>
      </c>
      <c r="P76" s="1"/>
      <c r="Q76" s="109">
        <f>+Q75/Q72</f>
        <v>0.71908740045923103</v>
      </c>
      <c r="R76" s="1"/>
      <c r="S76" s="109">
        <f>+S75/S72</f>
        <v>0.84576498504075115</v>
      </c>
      <c r="T76" s="1"/>
      <c r="U76" s="109">
        <f>+U75/U72</f>
        <v>0.90307129347915471</v>
      </c>
      <c r="V76" s="1"/>
      <c r="W76" s="109">
        <f>+W75/W72</f>
        <v>0.93512784352198164</v>
      </c>
      <c r="X76" s="1"/>
      <c r="Y76" s="109">
        <f>+Y75/Y72</f>
        <v>0.95724509712798589</v>
      </c>
      <c r="Z76" s="91"/>
      <c r="AA76" s="109">
        <f>+AA75/AA72</f>
        <v>0.93019364474635302</v>
      </c>
      <c r="AB76" s="91"/>
      <c r="AC76" s="559">
        <f>+AC75/AC72</f>
        <v>0.9037820114195263</v>
      </c>
      <c r="AD76" s="91"/>
      <c r="AE76" s="559">
        <f>+AE75/AE72</f>
        <v>0.99097465841044108</v>
      </c>
      <c r="AF76" s="91"/>
      <c r="AG76" s="559">
        <f>+AG75/AG72</f>
        <v>1.0709716469457269</v>
      </c>
      <c r="AH76" s="91"/>
      <c r="AI76" s="559">
        <f>+AI75/AI72</f>
        <v>1.0183751934887901</v>
      </c>
      <c r="AJ76" s="559"/>
      <c r="AK76" s="559">
        <f>+AK75/AK72</f>
        <v>1.0612099341061754</v>
      </c>
      <c r="AL76" s="559"/>
      <c r="AM76" s="559">
        <f>+AM75/AM72</f>
        <v>0.98183117354101812</v>
      </c>
      <c r="AN76" s="559"/>
      <c r="AO76" s="559">
        <f>+AO75/AO72</f>
        <v>1.009387678467931</v>
      </c>
      <c r="AP76" s="559"/>
      <c r="AQ76" s="559">
        <f>+AQ75/AQ72</f>
        <v>1.0135068121313358</v>
      </c>
      <c r="AR76" s="559"/>
      <c r="AS76" s="559">
        <f>+AS75/AS72</f>
        <v>0.99572739544503208</v>
      </c>
      <c r="AT76" s="559"/>
      <c r="AU76" s="559">
        <f>+AU75/AU72</f>
        <v>1.0040828402366864</v>
      </c>
      <c r="AV76" s="559"/>
      <c r="AW76" s="559">
        <f>+AW75/AW72</f>
        <v>0.990054054054054</v>
      </c>
      <c r="AX76" s="559"/>
      <c r="AY76" s="559">
        <f>+AY75/AY72</f>
        <v>0.99378378378378374</v>
      </c>
      <c r="AZ76" s="559"/>
      <c r="BA76" s="559">
        <f>+BA75/BA72</f>
        <v>1.0062162162162163</v>
      </c>
      <c r="BB76" s="559"/>
      <c r="BC76" s="559">
        <f>+BC75/BC72</f>
        <v>1.0124324324324325</v>
      </c>
      <c r="BD76" s="559"/>
      <c r="BE76" s="559">
        <f>+BE75/BE72</f>
        <v>1.0124324324324325</v>
      </c>
      <c r="BF76" s="559"/>
    </row>
    <row r="77" spans="1:58" ht="12.75" hidden="1" outlineLevel="1">
      <c r="A77" s="1"/>
      <c r="B77" s="1"/>
      <c r="C77" s="1"/>
      <c r="D77" s="1"/>
      <c r="E77" s="1"/>
      <c r="F77" s="51"/>
      <c r="G77" s="1"/>
      <c r="H77" s="1"/>
      <c r="I77" s="1"/>
      <c r="J77" s="1"/>
      <c r="K77" s="1"/>
      <c r="L77" s="1"/>
      <c r="M77" s="1"/>
      <c r="N77" s="1"/>
      <c r="O77" s="1"/>
      <c r="P77" s="1"/>
      <c r="Q77" s="1"/>
      <c r="R77" s="1"/>
      <c r="S77" s="1"/>
      <c r="T77" s="1"/>
      <c r="U77" s="1"/>
      <c r="V77" s="1"/>
      <c r="W77" s="1"/>
      <c r="X77" s="1"/>
      <c r="Y77" s="1"/>
      <c r="Z77" s="51"/>
      <c r="AA77" s="1"/>
      <c r="AB77" s="51"/>
      <c r="AC77" s="538"/>
      <c r="AD77" s="51"/>
      <c r="AE77" s="538"/>
      <c r="AF77" s="51"/>
      <c r="AG77" s="538"/>
      <c r="AH77" s="51"/>
      <c r="AI77" s="538"/>
      <c r="AJ77" s="538"/>
      <c r="AK77" s="538"/>
      <c r="AL77" s="538"/>
      <c r="AM77" s="538"/>
      <c r="AN77" s="538"/>
      <c r="AO77" s="538"/>
      <c r="AP77" s="538"/>
      <c r="AQ77" s="538"/>
      <c r="AR77" s="538"/>
      <c r="AS77" s="538"/>
      <c r="AT77" s="538"/>
      <c r="AU77" s="538"/>
      <c r="AV77" s="538"/>
      <c r="AW77" s="538"/>
      <c r="AX77" s="538"/>
      <c r="AY77" s="538"/>
      <c r="AZ77" s="538"/>
      <c r="BA77" s="538"/>
      <c r="BB77" s="538"/>
      <c r="BC77" s="538"/>
      <c r="BD77" s="538"/>
      <c r="BE77" s="538"/>
      <c r="BF77" s="538"/>
    </row>
    <row r="78" spans="1:58" ht="12.75" hidden="1" outlineLevel="1">
      <c r="A78" s="1" t="s">
        <v>542</v>
      </c>
      <c r="B78" s="1"/>
      <c r="C78" s="1"/>
      <c r="D78" s="1"/>
      <c r="E78" s="1"/>
      <c r="F78" s="51"/>
      <c r="G78" s="1"/>
      <c r="H78" s="1"/>
      <c r="I78" s="1"/>
      <c r="J78" s="1"/>
      <c r="K78" s="1"/>
      <c r="L78" s="1"/>
      <c r="M78" s="1"/>
      <c r="N78" s="1"/>
      <c r="O78" s="1"/>
      <c r="P78" s="1"/>
      <c r="Q78" s="1"/>
      <c r="R78" s="1"/>
      <c r="S78" s="1"/>
      <c r="T78" s="1"/>
      <c r="U78" s="1"/>
      <c r="V78" s="1"/>
      <c r="W78" s="1"/>
      <c r="X78" s="1"/>
      <c r="Y78" s="1"/>
      <c r="Z78" s="51"/>
      <c r="AA78" s="1"/>
      <c r="AB78" s="51"/>
      <c r="AC78" s="538"/>
      <c r="AD78" s="51"/>
      <c r="AE78" s="538"/>
      <c r="AF78" s="51"/>
      <c r="AG78" s="538"/>
      <c r="AH78" s="51"/>
      <c r="AI78" s="538"/>
      <c r="AJ78" s="538"/>
      <c r="AK78" s="538"/>
      <c r="AL78" s="538"/>
      <c r="AM78" s="538"/>
      <c r="AN78" s="538"/>
      <c r="AO78" s="538"/>
      <c r="AP78" s="538"/>
      <c r="AQ78" s="538"/>
      <c r="AR78" s="538"/>
      <c r="AS78" s="538"/>
      <c r="AT78" s="538"/>
      <c r="AU78" s="538"/>
      <c r="AV78" s="538"/>
      <c r="AW78" s="538"/>
      <c r="AX78" s="538"/>
      <c r="AY78" s="538"/>
      <c r="AZ78" s="538"/>
      <c r="BA78" s="538"/>
      <c r="BB78" s="538"/>
      <c r="BC78" s="538"/>
      <c r="BD78" s="538"/>
      <c r="BE78" s="538"/>
      <c r="BF78" s="538"/>
    </row>
    <row r="79" spans="1:58" ht="12.75" hidden="1" outlineLevel="1">
      <c r="A79" s="1" t="s">
        <v>543</v>
      </c>
      <c r="B79" s="1"/>
      <c r="C79" s="1"/>
      <c r="D79" s="1"/>
      <c r="E79" s="1"/>
      <c r="F79" s="51"/>
      <c r="G79" s="1">
        <f>+G11-E11</f>
        <v>1.2309999999999999</v>
      </c>
      <c r="H79" s="1"/>
      <c r="I79" s="1">
        <f>+I11-G11</f>
        <v>1.293000000000001</v>
      </c>
      <c r="J79" s="1"/>
      <c r="K79" s="1">
        <f>+K11-I11</f>
        <v>3.5879999999999974</v>
      </c>
      <c r="L79" s="1"/>
      <c r="M79" s="1">
        <f>+M11-K11</f>
        <v>11.001000000000001</v>
      </c>
      <c r="N79" s="1"/>
      <c r="O79" s="1">
        <f>+O11-M11</f>
        <v>18.675000000000001</v>
      </c>
      <c r="P79" s="1"/>
      <c r="Q79" s="1">
        <f>+Q11-O11</f>
        <v>8.7860000000000014</v>
      </c>
      <c r="R79" s="1"/>
      <c r="S79" s="1">
        <f>+S11-Q11</f>
        <v>9.304000000000002</v>
      </c>
      <c r="T79" s="1"/>
      <c r="U79" s="1">
        <f>+U11-S11</f>
        <v>9.4779999999999944</v>
      </c>
      <c r="V79" s="1"/>
      <c r="W79" s="1">
        <f>+W11-U11</f>
        <v>9.2849999999999966</v>
      </c>
      <c r="X79" s="1"/>
      <c r="Y79" s="1">
        <f>+Y11-W11</f>
        <v>9.3050000000000068</v>
      </c>
      <c r="Z79" s="51"/>
      <c r="AA79" s="1">
        <f>+AA11-Y11</f>
        <v>21.17</v>
      </c>
      <c r="AB79" s="51"/>
      <c r="AC79" s="538">
        <f>+AC11-AA11</f>
        <v>23.937999999999988</v>
      </c>
      <c r="AD79" s="51"/>
      <c r="AE79" s="538">
        <f>+AE11-AC11</f>
        <v>14.342000000000013</v>
      </c>
      <c r="AF79" s="51"/>
      <c r="AG79" s="538">
        <f>+AG11-AE11</f>
        <v>-1.9350000000000023</v>
      </c>
      <c r="AH79" s="51"/>
      <c r="AI79" s="538">
        <f>+AI11-AG11</f>
        <v>-2.3919999999999959</v>
      </c>
      <c r="AJ79" s="538"/>
      <c r="AK79" s="538">
        <f>+AK11-AI11</f>
        <v>-14.759000000000015</v>
      </c>
      <c r="AL79" s="538"/>
      <c r="AM79" s="538">
        <f>+AM11-AK11</f>
        <v>5.6500000000000057</v>
      </c>
      <c r="AN79" s="538"/>
      <c r="AO79" s="538">
        <f>+AO11-AM11</f>
        <v>8.304000000000002</v>
      </c>
      <c r="AP79" s="538"/>
      <c r="AQ79" s="538">
        <f>+AQ11-AO11</f>
        <v>6.507000000000005</v>
      </c>
      <c r="AR79" s="538"/>
      <c r="AS79" s="538">
        <f>+AS11-AQ11</f>
        <v>9.3160000000000025</v>
      </c>
      <c r="AT79" s="538"/>
      <c r="AU79" s="538">
        <f>+AU11-AS11</f>
        <v>9.2469999999999857</v>
      </c>
      <c r="AV79" s="538"/>
      <c r="AW79" s="538">
        <f>+AW11-AT11</f>
        <v>178.04414514290619</v>
      </c>
      <c r="AX79" s="538"/>
      <c r="AY79" s="538">
        <f>+AY11-AU11</f>
        <v>11.413324867361638</v>
      </c>
      <c r="AZ79" s="538"/>
      <c r="BA79" s="538">
        <f>+BA11-AW11</f>
        <v>8.7757276733482854</v>
      </c>
      <c r="BB79" s="538"/>
      <c r="BC79" s="538">
        <f>+BC11-AY11</f>
        <v>11.971988387086498</v>
      </c>
      <c r="BD79" s="538"/>
      <c r="BE79" s="538">
        <f>+BE11-BA11</f>
        <v>3.9638626169830502</v>
      </c>
      <c r="BF79" s="538"/>
    </row>
    <row r="80" spans="1:58" ht="12.75" collapsed="1">
      <c r="A80" s="1"/>
      <c r="B80" s="1"/>
      <c r="C80" s="1"/>
      <c r="D80" s="1"/>
      <c r="E80" s="1"/>
      <c r="F80" s="51"/>
      <c r="G80" s="1"/>
      <c r="H80" s="1"/>
      <c r="I80" s="1"/>
      <c r="J80" s="1"/>
      <c r="K80" s="1"/>
      <c r="L80" s="1"/>
      <c r="M80" s="1"/>
      <c r="N80" s="1"/>
      <c r="O80" s="1"/>
      <c r="P80" s="1"/>
      <c r="Q80" s="1"/>
      <c r="R80" s="1"/>
      <c r="S80" s="1"/>
      <c r="T80" s="1"/>
      <c r="U80" s="1"/>
      <c r="V80" s="1"/>
      <c r="W80" s="1"/>
      <c r="X80" s="1"/>
      <c r="Y80" s="1"/>
      <c r="Z80" s="51"/>
      <c r="AA80" s="1"/>
      <c r="AB80" s="51"/>
      <c r="AC80" s="538"/>
      <c r="AD80" s="51"/>
      <c r="AE80" s="538"/>
      <c r="AF80" s="51"/>
      <c r="AG80" s="538"/>
      <c r="AH80" s="51"/>
      <c r="AI80" s="538"/>
      <c r="AJ80" s="538"/>
      <c r="AK80" s="538"/>
      <c r="AL80" s="538"/>
      <c r="AM80" s="538"/>
      <c r="AN80" s="538"/>
      <c r="AO80" s="538"/>
      <c r="AP80" s="538"/>
      <c r="AQ80" s="538"/>
      <c r="AR80" s="538"/>
      <c r="AS80" s="538"/>
      <c r="AT80" s="538"/>
      <c r="AU80" s="538"/>
      <c r="AV80" s="538"/>
      <c r="AW80" s="538"/>
      <c r="AX80" s="538"/>
      <c r="AY80" s="538"/>
      <c r="AZ80" s="538"/>
      <c r="BA80" s="538"/>
      <c r="BB80" s="538"/>
      <c r="BC80" s="538"/>
      <c r="BD80" s="538"/>
      <c r="BE80" s="538"/>
      <c r="BF80" s="538"/>
    </row>
    <row r="81" spans="1:58" ht="12.75">
      <c r="A81" s="1"/>
      <c r="B81" s="1"/>
      <c r="C81" s="1"/>
      <c r="D81" s="1"/>
      <c r="E81" s="1"/>
      <c r="F81" s="51"/>
      <c r="G81" s="1"/>
      <c r="H81" s="1"/>
      <c r="I81" s="1"/>
      <c r="J81" s="1"/>
      <c r="K81" s="1"/>
      <c r="L81" s="1"/>
      <c r="M81" s="1"/>
      <c r="N81" s="1"/>
      <c r="O81" s="1"/>
      <c r="P81" s="1"/>
      <c r="Q81" s="1"/>
      <c r="R81" s="1"/>
      <c r="S81" s="1"/>
      <c r="T81" s="1"/>
      <c r="U81" s="1"/>
      <c r="V81" s="1"/>
      <c r="W81" s="1"/>
      <c r="X81" s="1"/>
      <c r="Y81" s="1"/>
      <c r="Z81" s="51"/>
      <c r="AA81" s="1"/>
      <c r="AB81" s="51"/>
      <c r="AC81" s="538"/>
      <c r="AD81" s="51"/>
      <c r="AE81" s="538"/>
      <c r="AF81" s="51"/>
      <c r="AG81" s="538"/>
      <c r="AH81" s="51"/>
      <c r="AI81" s="538"/>
      <c r="AJ81" s="538"/>
      <c r="AK81" s="538"/>
      <c r="AL81" s="538"/>
      <c r="AM81" s="538"/>
      <c r="AN81" s="538"/>
      <c r="AO81" s="538"/>
      <c r="AP81" s="538"/>
      <c r="AQ81" s="538"/>
      <c r="AR81" s="538"/>
      <c r="AS81" s="538"/>
      <c r="AT81" s="538"/>
      <c r="AU81" s="538"/>
      <c r="AV81" s="538"/>
      <c r="AW81" s="538"/>
      <c r="AX81" s="538"/>
      <c r="AY81" s="538"/>
      <c r="AZ81" s="538"/>
      <c r="BA81" s="538"/>
      <c r="BB81" s="538"/>
      <c r="BC81" s="538"/>
      <c r="BD81" s="538"/>
      <c r="BE81" s="538"/>
      <c r="BF81" s="538"/>
    </row>
    <row r="82" spans="1:58" ht="12.75" hidden="1" outlineLevel="1">
      <c r="A82" s="515" t="s">
        <v>574</v>
      </c>
      <c r="B82" s="515"/>
      <c r="C82" s="515"/>
      <c r="D82" s="515"/>
      <c r="E82" s="515"/>
      <c r="F82" s="515"/>
      <c r="G82" s="515"/>
      <c r="H82" s="515"/>
      <c r="I82" s="515"/>
      <c r="J82" s="515"/>
      <c r="K82" s="515"/>
      <c r="L82" s="515"/>
      <c r="M82" s="524" t="s">
        <v>436</v>
      </c>
      <c r="N82" s="515"/>
      <c r="O82" s="524" t="s">
        <v>520</v>
      </c>
      <c r="P82" s="515"/>
      <c r="Q82" s="524" t="s">
        <v>568</v>
      </c>
      <c r="R82" s="515"/>
      <c r="S82" s="524" t="s">
        <v>585</v>
      </c>
      <c r="T82" s="515"/>
      <c r="U82" s="524" t="s">
        <v>691</v>
      </c>
      <c r="V82" s="515"/>
      <c r="W82" s="524" t="s">
        <v>260</v>
      </c>
      <c r="X82" s="515"/>
      <c r="Y82" s="524" t="s">
        <v>259</v>
      </c>
      <c r="Z82" s="515"/>
      <c r="AA82" s="524" t="s">
        <v>258</v>
      </c>
      <c r="AB82" s="515"/>
      <c r="AC82" s="560" t="s">
        <v>257</v>
      </c>
      <c r="AD82" s="515"/>
      <c r="AE82" s="560" t="s">
        <v>747</v>
      </c>
      <c r="AF82" s="515"/>
      <c r="AG82" s="560" t="s">
        <v>748</v>
      </c>
      <c r="AH82" s="515"/>
      <c r="AI82" s="560" t="s">
        <v>141</v>
      </c>
      <c r="AJ82" s="560"/>
      <c r="AK82" s="560" t="s">
        <v>137</v>
      </c>
      <c r="AL82" s="560"/>
      <c r="AM82" s="560" t="s">
        <v>381</v>
      </c>
      <c r="AN82" s="560"/>
      <c r="AO82" s="560" t="s">
        <v>433</v>
      </c>
      <c r="AP82" s="560"/>
      <c r="AQ82" s="560" t="s">
        <v>139</v>
      </c>
      <c r="AR82" s="560"/>
      <c r="AS82" s="560" t="s">
        <v>377</v>
      </c>
      <c r="AT82" s="560"/>
      <c r="AU82" s="560" t="s">
        <v>378</v>
      </c>
      <c r="AV82" s="560"/>
      <c r="AW82" s="560" t="s">
        <v>378</v>
      </c>
      <c r="AX82" s="560"/>
      <c r="AY82" s="560" t="s">
        <v>378</v>
      </c>
      <c r="AZ82" s="560"/>
      <c r="BA82" s="560" t="s">
        <v>378</v>
      </c>
      <c r="BB82" s="560"/>
      <c r="BC82" s="560" t="s">
        <v>378</v>
      </c>
      <c r="BD82" s="957"/>
      <c r="BE82" s="560" t="s">
        <v>378</v>
      </c>
      <c r="BF82" s="957"/>
    </row>
    <row r="83" spans="1:58" ht="12.75" hidden="1" outlineLevel="1">
      <c r="A83" s="521" t="s">
        <v>684</v>
      </c>
      <c r="B83" s="520"/>
      <c r="C83" s="520"/>
      <c r="D83" s="520"/>
      <c r="E83" s="520"/>
      <c r="F83" s="520"/>
      <c r="G83" s="520"/>
      <c r="H83" s="520"/>
      <c r="I83" s="520"/>
      <c r="J83" s="520"/>
      <c r="K83" s="520"/>
      <c r="L83" s="520"/>
      <c r="M83" s="528">
        <v>21.472000000000001</v>
      </c>
      <c r="N83" s="528"/>
      <c r="O83" s="528">
        <v>38.86</v>
      </c>
      <c r="P83" s="528"/>
      <c r="Q83" s="528">
        <v>49.429000000000002</v>
      </c>
      <c r="R83" s="529"/>
      <c r="S83" s="259">
        <v>59.082999999999998</v>
      </c>
      <c r="T83" s="179"/>
      <c r="U83" s="259">
        <v>66.325999999999993</v>
      </c>
      <c r="V83" s="179"/>
      <c r="W83" s="259">
        <f>W85*0.97</f>
        <v>76.366159999999994</v>
      </c>
      <c r="X83" s="259"/>
      <c r="Y83" s="259">
        <f>Y85*0.97</f>
        <v>85.392009999999999</v>
      </c>
      <c r="Z83" s="259"/>
      <c r="AA83" s="259">
        <f>AA85*0.97</f>
        <v>105.92691000000001</v>
      </c>
      <c r="AB83" s="259"/>
      <c r="AC83" s="528">
        <f>AC85*0.97</f>
        <v>129.14676999999998</v>
      </c>
      <c r="AD83" s="259"/>
      <c r="AE83" s="528">
        <f>AE85*0.97</f>
        <v>143.05851000000001</v>
      </c>
      <c r="AF83" s="259"/>
      <c r="AG83" s="528">
        <f>AG85*0.97</f>
        <v>141.18155999999999</v>
      </c>
      <c r="AH83" s="259"/>
      <c r="AI83" s="528">
        <f>AI85*0.97</f>
        <v>138.86132000000001</v>
      </c>
      <c r="AJ83" s="528"/>
      <c r="AK83" s="528">
        <f>AK85*0.97</f>
        <v>124.54508999999999</v>
      </c>
      <c r="AL83" s="528"/>
      <c r="AM83" s="528">
        <f>AM85*0.97</f>
        <v>130.02558999999999</v>
      </c>
      <c r="AN83" s="528"/>
      <c r="AO83" s="528">
        <f>AO85*0.97</f>
        <v>138.08046999999999</v>
      </c>
      <c r="AP83" s="528"/>
      <c r="AQ83" s="528">
        <f>AQ85*0.97</f>
        <v>144.39225999999999</v>
      </c>
      <c r="AR83" s="528"/>
      <c r="AS83" s="528">
        <f>AS85*0.97</f>
        <v>153.42877999999999</v>
      </c>
      <c r="AT83" s="528"/>
      <c r="AU83" s="528">
        <f>AU85*0.97</f>
        <v>162.39837</v>
      </c>
      <c r="AV83" s="528"/>
      <c r="AW83" s="528">
        <f>AW85*0.97</f>
        <v>172.70282078861899</v>
      </c>
      <c r="AX83" s="528"/>
      <c r="AY83" s="528">
        <f>AY85*0.97</f>
        <v>173.46929512134076</v>
      </c>
      <c r="AZ83" s="528"/>
      <c r="BA83" s="528">
        <f>BA85*0.97</f>
        <v>181.21527663176684</v>
      </c>
      <c r="BB83" s="528"/>
      <c r="BC83" s="528">
        <f>BC85*0.97</f>
        <v>185.08212385681469</v>
      </c>
      <c r="BD83" s="528"/>
      <c r="BE83" s="528">
        <f>BE85*0.97</f>
        <v>185.06022337024038</v>
      </c>
      <c r="BF83" s="528"/>
    </row>
    <row r="84" spans="1:58" ht="12.75" hidden="1" outlineLevel="1">
      <c r="A84" s="521" t="s">
        <v>255</v>
      </c>
      <c r="B84" s="520"/>
      <c r="C84" s="520"/>
      <c r="D84" s="520"/>
      <c r="E84" s="520"/>
      <c r="F84" s="520"/>
      <c r="G84" s="520"/>
      <c r="H84" s="520"/>
      <c r="I84" s="520"/>
      <c r="J84" s="520"/>
      <c r="K84" s="520"/>
      <c r="L84" s="520"/>
      <c r="M84" s="530">
        <f>M85-M83</f>
        <v>1.727999999999998</v>
      </c>
      <c r="N84" s="531"/>
      <c r="O84" s="530">
        <f>O85-O83</f>
        <v>3.0150000000000006</v>
      </c>
      <c r="P84" s="531"/>
      <c r="Q84" s="530">
        <f>Q85-Q83</f>
        <v>1.2319999999999993</v>
      </c>
      <c r="R84" s="531"/>
      <c r="S84" s="525">
        <f>S85-S83</f>
        <v>0.882000000000005</v>
      </c>
      <c r="T84" s="526"/>
      <c r="U84" s="525">
        <f>U85-U83</f>
        <v>3.1170000000000044</v>
      </c>
      <c r="V84" s="526"/>
      <c r="W84" s="525">
        <f>W85-W83</f>
        <v>2.3618400000000008</v>
      </c>
      <c r="X84" s="526"/>
      <c r="Y84" s="525">
        <f>Y85-Y83</f>
        <v>2.6409900000000022</v>
      </c>
      <c r="Z84" s="526"/>
      <c r="AA84" s="525">
        <f>AA85-AA83</f>
        <v>3.2760899999999964</v>
      </c>
      <c r="AB84" s="526"/>
      <c r="AC84" s="530">
        <f>AC85-AC83</f>
        <v>3.9942300000000159</v>
      </c>
      <c r="AD84" s="526"/>
      <c r="AE84" s="530">
        <f>AE85-AE83</f>
        <v>4.4244899999999916</v>
      </c>
      <c r="AF84" s="526"/>
      <c r="AG84" s="530">
        <f>AG85-AG83</f>
        <v>4.3664400000000114</v>
      </c>
      <c r="AH84" s="526"/>
      <c r="AI84" s="530">
        <f>AI85-AI83</f>
        <v>4.2946799999999996</v>
      </c>
      <c r="AJ84" s="530"/>
      <c r="AK84" s="530">
        <f>AK85-AK83</f>
        <v>3.8519100000000037</v>
      </c>
      <c r="AL84" s="530"/>
      <c r="AM84" s="530">
        <f>AM85-AM83</f>
        <v>4.021410000000003</v>
      </c>
      <c r="AN84" s="530"/>
      <c r="AO84" s="530">
        <f>AO85-AO83</f>
        <v>4.2705300000000079</v>
      </c>
      <c r="AP84" s="530"/>
      <c r="AQ84" s="530">
        <f>AQ85-AQ83</f>
        <v>4.4657400000000109</v>
      </c>
      <c r="AR84" s="530"/>
      <c r="AS84" s="530">
        <f>AS85-AS83</f>
        <v>4.7452200000000175</v>
      </c>
      <c r="AT84" s="530"/>
      <c r="AU84" s="530">
        <f>AU85-AU83</f>
        <v>5.0226299999999924</v>
      </c>
      <c r="AV84" s="530"/>
      <c r="AW84" s="530">
        <f>AW85-AW83</f>
        <v>5.3413243542871953</v>
      </c>
      <c r="AX84" s="530"/>
      <c r="AY84" s="530">
        <f>AY85-AY83</f>
        <v>5.3650297460208662</v>
      </c>
      <c r="AZ84" s="530"/>
      <c r="BA84" s="530">
        <f>BA85-BA83</f>
        <v>5.6045961844876331</v>
      </c>
      <c r="BB84" s="530"/>
      <c r="BC84" s="530">
        <f>BC85-BC83</f>
        <v>5.7241893976334381</v>
      </c>
      <c r="BD84" s="530"/>
      <c r="BE84" s="530">
        <f>BE85-BE83</f>
        <v>5.7235120629971448</v>
      </c>
      <c r="BF84" s="530"/>
    </row>
    <row r="85" spans="1:58" ht="12.75" hidden="1" outlineLevel="1">
      <c r="A85" s="521" t="s">
        <v>256</v>
      </c>
      <c r="B85" s="520"/>
      <c r="C85" s="520"/>
      <c r="D85" s="520"/>
      <c r="E85" s="520"/>
      <c r="F85" s="520"/>
      <c r="G85" s="520"/>
      <c r="H85" s="520"/>
      <c r="I85" s="520"/>
      <c r="J85" s="520"/>
      <c r="K85" s="520"/>
      <c r="L85" s="520"/>
      <c r="M85" s="528">
        <f>M11</f>
        <v>23.2</v>
      </c>
      <c r="N85" s="532"/>
      <c r="O85" s="528">
        <f>O11</f>
        <v>41.875</v>
      </c>
      <c r="P85" s="532"/>
      <c r="Q85" s="528">
        <f>Q11</f>
        <v>50.661000000000001</v>
      </c>
      <c r="R85" s="532"/>
      <c r="S85" s="528">
        <f>S11</f>
        <v>59.965000000000003</v>
      </c>
      <c r="T85" s="179"/>
      <c r="U85" s="528">
        <f>U11</f>
        <v>69.442999999999998</v>
      </c>
      <c r="V85" s="179"/>
      <c r="W85" s="528">
        <f>W11</f>
        <v>78.727999999999994</v>
      </c>
      <c r="X85" s="179"/>
      <c r="Y85" s="528">
        <f>Y11</f>
        <v>88.033000000000001</v>
      </c>
      <c r="Z85" s="179"/>
      <c r="AA85" s="528">
        <f>AA11</f>
        <v>109.203</v>
      </c>
      <c r="AB85" s="179"/>
      <c r="AC85" s="528">
        <f>AC11</f>
        <v>133.14099999999999</v>
      </c>
      <c r="AD85" s="179"/>
      <c r="AE85" s="528">
        <f>AE11</f>
        <v>147.483</v>
      </c>
      <c r="AF85" s="179"/>
      <c r="AG85" s="528">
        <f>AG11</f>
        <v>145.548</v>
      </c>
      <c r="AH85" s="179"/>
      <c r="AI85" s="528">
        <f>AI11</f>
        <v>143.15600000000001</v>
      </c>
      <c r="AJ85" s="528"/>
      <c r="AK85" s="528">
        <f>AK11</f>
        <v>128.39699999999999</v>
      </c>
      <c r="AL85" s="528"/>
      <c r="AM85" s="528">
        <f>AM11</f>
        <v>134.047</v>
      </c>
      <c r="AN85" s="528"/>
      <c r="AO85" s="528">
        <f>AO11</f>
        <v>142.351</v>
      </c>
      <c r="AP85" s="528"/>
      <c r="AQ85" s="528">
        <f>AQ11</f>
        <v>148.858</v>
      </c>
      <c r="AR85" s="528"/>
      <c r="AS85" s="528">
        <f>AS11</f>
        <v>158.17400000000001</v>
      </c>
      <c r="AT85" s="528"/>
      <c r="AU85" s="528">
        <f>AU11</f>
        <v>167.42099999999999</v>
      </c>
      <c r="AV85" s="528"/>
      <c r="AW85" s="528">
        <f>AW11</f>
        <v>178.04414514290619</v>
      </c>
      <c r="AX85" s="528"/>
      <c r="AY85" s="528">
        <f>AY11</f>
        <v>178.83432486736163</v>
      </c>
      <c r="AZ85" s="528"/>
      <c r="BA85" s="528">
        <f>BA11</f>
        <v>186.81987281625447</v>
      </c>
      <c r="BB85" s="528"/>
      <c r="BC85" s="528">
        <f>BC11</f>
        <v>190.80631325444813</v>
      </c>
      <c r="BD85" s="528"/>
      <c r="BE85" s="528">
        <f>BE11</f>
        <v>190.78373543323752</v>
      </c>
      <c r="BF85" s="528"/>
    </row>
    <row r="86" spans="1:58" ht="12.75" hidden="1" outlineLevel="1">
      <c r="A86" s="521" t="s">
        <v>391</v>
      </c>
      <c r="B86" s="520"/>
      <c r="C86" s="520"/>
      <c r="D86" s="520"/>
      <c r="E86" s="520"/>
      <c r="F86" s="520"/>
      <c r="G86" s="520"/>
      <c r="H86" s="520"/>
      <c r="I86" s="520"/>
      <c r="J86" s="520"/>
      <c r="K86" s="520"/>
      <c r="L86" s="520"/>
      <c r="M86" s="90">
        <f>M83/M85</f>
        <v>0.92551724137931046</v>
      </c>
      <c r="N86" s="179"/>
      <c r="O86" s="90">
        <f>O83/O85</f>
        <v>0.92799999999999994</v>
      </c>
      <c r="P86" s="179"/>
      <c r="Q86" s="90">
        <f>Q83/Q85</f>
        <v>0.975681490693038</v>
      </c>
      <c r="R86" s="179"/>
      <c r="S86" s="90">
        <f>S83/S85</f>
        <v>0.98529141999499703</v>
      </c>
      <c r="T86" s="179"/>
      <c r="U86" s="90">
        <f>U83/U85</f>
        <v>0.95511426637674057</v>
      </c>
      <c r="V86" s="179"/>
      <c r="W86" s="527">
        <f>U86</f>
        <v>0.95511426637674057</v>
      </c>
      <c r="X86" s="520"/>
      <c r="Y86" s="527">
        <f>W86</f>
        <v>0.95511426637674057</v>
      </c>
      <c r="Z86" s="520"/>
      <c r="AA86" s="527">
        <f>Y86</f>
        <v>0.95511426637674057</v>
      </c>
      <c r="AB86" s="520"/>
      <c r="AC86" s="561">
        <f>AA86</f>
        <v>0.95511426637674057</v>
      </c>
      <c r="AD86" s="520"/>
      <c r="AE86" s="561">
        <f>AC86</f>
        <v>0.95511426637674057</v>
      </c>
      <c r="AF86" s="520"/>
      <c r="AG86" s="561">
        <f>AE86</f>
        <v>0.95511426637674057</v>
      </c>
      <c r="AH86" s="520"/>
      <c r="AI86" s="561">
        <f>AG86</f>
        <v>0.95511426637674057</v>
      </c>
      <c r="AJ86" s="561"/>
      <c r="AK86" s="561">
        <f>AI86</f>
        <v>0.95511426637674057</v>
      </c>
      <c r="AL86" s="561"/>
      <c r="AM86" s="561">
        <f>AK86</f>
        <v>0.95511426637674057</v>
      </c>
      <c r="AN86" s="561"/>
      <c r="AO86" s="561">
        <f>AM86</f>
        <v>0.95511426637674057</v>
      </c>
      <c r="AP86" s="561"/>
      <c r="AQ86" s="561">
        <f>AO86</f>
        <v>0.95511426637674057</v>
      </c>
      <c r="AR86" s="561"/>
      <c r="AS86" s="561">
        <f>AQ86</f>
        <v>0.95511426637674057</v>
      </c>
      <c r="AT86" s="561"/>
      <c r="AU86" s="561">
        <f>AS86</f>
        <v>0.95511426637674057</v>
      </c>
      <c r="AV86" s="561"/>
      <c r="AW86" s="561">
        <f>AT86</f>
        <v>0</v>
      </c>
      <c r="AX86" s="561"/>
      <c r="AY86" s="561">
        <f>AU86</f>
        <v>0.95511426637674057</v>
      </c>
      <c r="AZ86" s="561"/>
      <c r="BA86" s="561">
        <f>AW86</f>
        <v>0</v>
      </c>
      <c r="BB86" s="561"/>
      <c r="BC86" s="561">
        <f>AY86</f>
        <v>0.95511426637674057</v>
      </c>
      <c r="BD86" s="561"/>
      <c r="BE86" s="561">
        <f>BA86</f>
        <v>0</v>
      </c>
      <c r="BF86" s="561"/>
    </row>
    <row r="87" spans="1:58" ht="12.75" hidden="1" outlineLevel="1">
      <c r="A87" s="521"/>
      <c r="B87" s="520"/>
      <c r="C87" s="520"/>
      <c r="D87" s="520"/>
      <c r="E87" s="520"/>
      <c r="F87" s="520"/>
      <c r="G87" s="520"/>
      <c r="H87" s="520"/>
      <c r="I87" s="520"/>
      <c r="J87" s="520"/>
      <c r="K87" s="520"/>
      <c r="L87" s="520"/>
      <c r="M87" s="259"/>
      <c r="N87" s="179"/>
      <c r="O87" s="259"/>
      <c r="P87" s="179"/>
      <c r="Q87" s="259"/>
      <c r="R87" s="179"/>
      <c r="S87" s="259"/>
      <c r="T87" s="179"/>
      <c r="U87" s="259"/>
      <c r="V87" s="179"/>
      <c r="W87" s="259"/>
      <c r="X87" s="179"/>
      <c r="Y87" s="259"/>
      <c r="Z87" s="179"/>
      <c r="AA87" s="259"/>
      <c r="AB87" s="179"/>
      <c r="AC87" s="528"/>
      <c r="AD87" s="179"/>
      <c r="AE87" s="528"/>
      <c r="AF87" s="179"/>
      <c r="AG87" s="528"/>
      <c r="AH87" s="179"/>
      <c r="AI87" s="528"/>
      <c r="AJ87" s="528"/>
      <c r="AK87" s="528"/>
      <c r="AL87" s="528"/>
      <c r="AM87" s="528"/>
      <c r="AN87" s="528"/>
      <c r="AO87" s="528"/>
      <c r="AP87" s="528"/>
      <c r="AQ87" s="528"/>
      <c r="AR87" s="528"/>
      <c r="AS87" s="528"/>
      <c r="AT87" s="528"/>
      <c r="AU87" s="528"/>
      <c r="AV87" s="528"/>
      <c r="AW87" s="528"/>
      <c r="AX87" s="528"/>
      <c r="AY87" s="528"/>
      <c r="AZ87" s="528"/>
      <c r="BA87" s="528"/>
      <c r="BB87" s="528"/>
      <c r="BC87" s="528"/>
      <c r="BD87" s="528"/>
      <c r="BE87" s="528"/>
      <c r="BF87" s="528"/>
    </row>
    <row r="88" spans="1:58" ht="14.25" hidden="1" customHeight="1" outlineLevel="1">
      <c r="A88" s="522" t="s">
        <v>390</v>
      </c>
      <c r="B88" s="1"/>
      <c r="C88" s="1"/>
      <c r="D88" s="1"/>
      <c r="E88" s="1"/>
      <c r="F88" s="51"/>
      <c r="G88" s="1"/>
      <c r="H88" s="1"/>
      <c r="I88" s="523">
        <f>I22*0.9</f>
        <v>22.421700000000001</v>
      </c>
      <c r="J88" s="1"/>
      <c r="K88" s="523">
        <f>K22*0.9</f>
        <v>41.000400000000006</v>
      </c>
      <c r="L88" s="1"/>
      <c r="M88" s="275">
        <f>M22*0.9</f>
        <v>157.05810000000002</v>
      </c>
      <c r="N88" s="1"/>
      <c r="O88" s="275">
        <f>O22*0.9</f>
        <v>107.4123</v>
      </c>
      <c r="P88" s="1"/>
      <c r="Q88" s="275">
        <f>Q22*0.9</f>
        <v>55.266300000000001</v>
      </c>
      <c r="R88" s="1"/>
      <c r="S88" s="275">
        <f>S22*0.9</f>
        <v>69.789599999999993</v>
      </c>
      <c r="T88" s="1"/>
      <c r="U88" s="275">
        <f>U22*0.9</f>
        <v>87.559200000000004</v>
      </c>
      <c r="V88" s="1"/>
      <c r="W88" s="275">
        <f>W22*0.9</f>
        <v>73.390500000000003</v>
      </c>
      <c r="X88" s="1"/>
      <c r="Y88" s="275">
        <f>Y22*0.9</f>
        <v>203.3451</v>
      </c>
      <c r="Z88" s="51"/>
      <c r="AA88" s="275">
        <f>AA22*0.9</f>
        <v>225.36630000000002</v>
      </c>
      <c r="AB88" s="51"/>
      <c r="AC88" s="562">
        <f>AC22*0.9</f>
        <v>238.80149999999998</v>
      </c>
      <c r="AD88" s="51"/>
      <c r="AE88" s="562">
        <f>AE22*0.9</f>
        <v>114.6771</v>
      </c>
      <c r="AF88" s="51"/>
      <c r="AG88" s="562">
        <f>AG22*0.9</f>
        <v>75.833100000000002</v>
      </c>
      <c r="AH88" s="51"/>
      <c r="AI88" s="562">
        <f>AI22*0.9</f>
        <v>90.121500000000012</v>
      </c>
      <c r="AJ88" s="562"/>
      <c r="AK88" s="562">
        <f>AK22*0.9</f>
        <v>84.545099999999991</v>
      </c>
      <c r="AL88" s="562"/>
      <c r="AM88" s="562">
        <f>AM22*0.9</f>
        <v>250.64910000000003</v>
      </c>
      <c r="AN88" s="562"/>
      <c r="AO88" s="562">
        <f>AO22*0.9</f>
        <v>220.5018</v>
      </c>
      <c r="AP88" s="562"/>
      <c r="AQ88" s="562">
        <f>AQ22*0.9</f>
        <v>137.93039999999999</v>
      </c>
      <c r="AR88" s="562"/>
      <c r="AS88" s="562">
        <f>AS22*0.9</f>
        <v>145.34460000000001</v>
      </c>
      <c r="AT88" s="562"/>
      <c r="AU88" s="562">
        <f>AU22*0.9</f>
        <v>152.1</v>
      </c>
      <c r="AV88" s="562"/>
      <c r="AW88" s="562">
        <f>AW22*0.9</f>
        <v>166.5</v>
      </c>
      <c r="AX88" s="562"/>
      <c r="AY88" s="562">
        <f>AY22*0.9</f>
        <v>166.5</v>
      </c>
      <c r="AZ88" s="562"/>
      <c r="BA88" s="562">
        <f>BA22*0.9</f>
        <v>166.5</v>
      </c>
      <c r="BB88" s="562"/>
      <c r="BC88" s="562">
        <f>BC22*0.9</f>
        <v>166.5</v>
      </c>
      <c r="BD88" s="562"/>
      <c r="BE88" s="562">
        <f>BE22*0.9</f>
        <v>166.5</v>
      </c>
      <c r="BF88" s="562"/>
    </row>
    <row r="89" spans="1:58" ht="12.75" hidden="1" outlineLevel="1">
      <c r="A89" s="522" t="s">
        <v>389</v>
      </c>
      <c r="B89" s="1"/>
      <c r="C89" s="1"/>
      <c r="D89" s="1"/>
      <c r="E89" s="1"/>
      <c r="F89" s="51"/>
      <c r="G89" s="1"/>
      <c r="H89" s="1"/>
      <c r="I89" s="523">
        <f>I22*0.1</f>
        <v>2.4913000000000003</v>
      </c>
      <c r="J89" s="1"/>
      <c r="K89" s="523">
        <f>K22*0.1</f>
        <v>4.555600000000001</v>
      </c>
      <c r="L89" s="1"/>
      <c r="M89" s="275">
        <f>M22*0.1</f>
        <v>17.450900000000001</v>
      </c>
      <c r="N89" s="1"/>
      <c r="O89" s="275">
        <f>O22*0.1</f>
        <v>11.934699999999999</v>
      </c>
      <c r="P89" s="1"/>
      <c r="Q89" s="275">
        <f>Q22*0.1</f>
        <v>6.1406999999999998</v>
      </c>
      <c r="R89" s="1"/>
      <c r="S89" s="275">
        <f>S22*0.1</f>
        <v>7.7544000000000004</v>
      </c>
      <c r="T89" s="1"/>
      <c r="U89" s="275">
        <f>U22*0.1</f>
        <v>9.7287999999999997</v>
      </c>
      <c r="V89" s="1"/>
      <c r="W89" s="275">
        <f>W22*0.1</f>
        <v>8.1545000000000005</v>
      </c>
      <c r="X89" s="1"/>
      <c r="Y89" s="275">
        <f>Y22*0.1</f>
        <v>22.593900000000001</v>
      </c>
      <c r="Z89" s="51"/>
      <c r="AA89" s="275">
        <f>AA22*0.1</f>
        <v>25.040700000000001</v>
      </c>
      <c r="AB89" s="51"/>
      <c r="AC89" s="562">
        <f>AC22*0.1</f>
        <v>26.5335</v>
      </c>
      <c r="AD89" s="51"/>
      <c r="AE89" s="562">
        <f>AE22*0.1</f>
        <v>12.741900000000001</v>
      </c>
      <c r="AF89" s="51"/>
      <c r="AG89" s="562">
        <f>AG22*0.1</f>
        <v>8.4259000000000004</v>
      </c>
      <c r="AH89" s="51"/>
      <c r="AI89" s="562">
        <f>AI22*0.1</f>
        <v>10.013500000000001</v>
      </c>
      <c r="AJ89" s="562"/>
      <c r="AK89" s="562">
        <f>AK22*0.1</f>
        <v>9.3939000000000004</v>
      </c>
      <c r="AL89" s="562"/>
      <c r="AM89" s="562">
        <f>AM22*0.1</f>
        <v>27.849900000000005</v>
      </c>
      <c r="AN89" s="562"/>
      <c r="AO89" s="562">
        <f>AO22*0.1</f>
        <v>24.500200000000003</v>
      </c>
      <c r="AP89" s="562"/>
      <c r="AQ89" s="562">
        <f>AQ22*0.1</f>
        <v>15.325600000000001</v>
      </c>
      <c r="AR89" s="562"/>
      <c r="AS89" s="562">
        <f>AS22*0.1</f>
        <v>16.1494</v>
      </c>
      <c r="AT89" s="562"/>
      <c r="AU89" s="562">
        <f>AU22*0.1</f>
        <v>16.900000000000002</v>
      </c>
      <c r="AV89" s="562"/>
      <c r="AW89" s="562">
        <f>AW22*0.1</f>
        <v>18.5</v>
      </c>
      <c r="AX89" s="562"/>
      <c r="AY89" s="562">
        <f>AY22*0.1</f>
        <v>18.5</v>
      </c>
      <c r="AZ89" s="562"/>
      <c r="BA89" s="562">
        <f>BA22*0.1</f>
        <v>18.5</v>
      </c>
      <c r="BB89" s="562"/>
      <c r="BC89" s="562">
        <f>BC22*0.1</f>
        <v>18.5</v>
      </c>
      <c r="BD89" s="562"/>
      <c r="BE89" s="562">
        <f>BE22*0.1</f>
        <v>18.5</v>
      </c>
      <c r="BF89" s="562"/>
    </row>
    <row r="90" spans="1:58" ht="12.75" hidden="1" outlineLevel="1">
      <c r="A90" s="1"/>
      <c r="B90" s="1"/>
      <c r="C90" s="1"/>
      <c r="D90" s="1"/>
      <c r="E90" s="1"/>
      <c r="F90" s="51"/>
      <c r="G90" s="1"/>
      <c r="H90" s="1"/>
      <c r="I90" s="1"/>
      <c r="J90" s="1"/>
      <c r="K90" s="1"/>
      <c r="L90" s="1"/>
      <c r="M90" s="1"/>
      <c r="N90" s="1"/>
      <c r="O90" s="1"/>
      <c r="P90" s="1"/>
      <c r="Q90" s="1"/>
      <c r="R90" s="1"/>
      <c r="S90" s="1"/>
      <c r="T90" s="1"/>
      <c r="U90" s="1"/>
      <c r="V90" s="1"/>
      <c r="W90" s="1"/>
      <c r="X90" s="1"/>
      <c r="Y90" s="1"/>
      <c r="Z90" s="51"/>
      <c r="AA90" s="1"/>
      <c r="AB90" s="51"/>
      <c r="AC90" s="538"/>
      <c r="AD90" s="51"/>
      <c r="AE90" s="538"/>
      <c r="AF90" s="51"/>
      <c r="AG90" s="538"/>
      <c r="AH90" s="51"/>
      <c r="AI90" s="538"/>
      <c r="AJ90" s="538"/>
      <c r="AK90" s="538"/>
      <c r="AL90" s="538"/>
      <c r="AM90" s="538"/>
      <c r="AN90" s="538"/>
      <c r="AO90" s="538"/>
      <c r="AP90" s="538"/>
      <c r="AQ90" s="538"/>
      <c r="AR90" s="538"/>
      <c r="AS90" s="538"/>
      <c r="AT90" s="538"/>
      <c r="AU90" s="538"/>
      <c r="AV90" s="538"/>
      <c r="AW90" s="538"/>
      <c r="AX90" s="538"/>
      <c r="AY90" s="538"/>
      <c r="AZ90" s="538"/>
      <c r="BA90" s="538"/>
      <c r="BB90" s="538"/>
      <c r="BC90" s="538"/>
      <c r="BD90" s="538"/>
      <c r="BE90" s="538"/>
      <c r="BF90" s="538"/>
    </row>
    <row r="91" spans="1:58" ht="12.75" collapsed="1">
      <c r="A91" s="346" t="s">
        <v>603</v>
      </c>
      <c r="B91" s="347"/>
      <c r="C91" s="348"/>
      <c r="D91" s="347"/>
      <c r="E91" s="349"/>
      <c r="F91" s="350"/>
      <c r="G91" s="348"/>
      <c r="H91" s="347"/>
      <c r="I91" s="351"/>
      <c r="J91" s="347"/>
      <c r="K91" s="352"/>
      <c r="L91" s="347"/>
      <c r="M91" s="353"/>
      <c r="N91" s="347"/>
      <c r="O91" s="354">
        <f>O55/'yrP&amp;L'!H59</f>
        <v>0.21207727504731527</v>
      </c>
      <c r="P91" s="354"/>
      <c r="Q91" s="354">
        <f>Q55/'yrP&amp;L'!I59</f>
        <v>6.470375408176833E-2</v>
      </c>
      <c r="R91" s="354"/>
      <c r="S91" s="354">
        <f>S55/'yrP&amp;L'!J59</f>
        <v>-0.14434888584209304</v>
      </c>
      <c r="T91" s="354"/>
      <c r="U91" s="354">
        <f>U55/'yrP&amp;L'!K59</f>
        <v>0.59226325177710937</v>
      </c>
      <c r="V91" s="354"/>
      <c r="W91" s="354">
        <f>W55/'yrP&amp;L'!L59</f>
        <v>-0.38124970497487465</v>
      </c>
      <c r="X91" s="354"/>
      <c r="Y91" s="354">
        <f>Y55/'yrP&amp;L'!M59</f>
        <v>-0.30996917472327423</v>
      </c>
      <c r="Z91" s="371"/>
      <c r="AA91" s="354">
        <f>AA55/'yrP&amp;L'!N59</f>
        <v>0.25569275467586611</v>
      </c>
      <c r="AB91" s="371"/>
      <c r="AC91" s="354">
        <f>AC55/'yrP&amp;L'!O59</f>
        <v>1.7211559769151474</v>
      </c>
      <c r="AD91" s="371"/>
      <c r="AE91" s="354">
        <f>AE55/'yrP&amp;L'!P59</f>
        <v>1.0530088968650959</v>
      </c>
      <c r="AF91" s="371"/>
      <c r="AG91" s="354">
        <f>AG55/'yrP&amp;L'!Q59</f>
        <v>-0.13064741499767124</v>
      </c>
      <c r="AH91" s="371"/>
      <c r="AI91" s="354">
        <f>AI55/'yrP&amp;L'!R59</f>
        <v>0.26468681418758366</v>
      </c>
      <c r="AJ91" s="354"/>
      <c r="AK91" s="354">
        <f>AK55/'yrP&amp;L'!S59</f>
        <v>-1.0486432611566543</v>
      </c>
      <c r="AL91" s="354"/>
      <c r="AM91" s="354">
        <f>AM55/'yrP&amp;L'!T59</f>
        <v>-0.4639393238205427</v>
      </c>
      <c r="AN91" s="354"/>
      <c r="AO91" s="354">
        <f>AO55/'yrP&amp;L'!U59</f>
        <v>-4.2304045916929427E-2</v>
      </c>
      <c r="AP91" s="354"/>
      <c r="AQ91" s="354">
        <f>AQ55/'yrP&amp;L'!V59</f>
        <v>-0.76759224814892257</v>
      </c>
      <c r="AR91" s="354"/>
      <c r="AS91" s="354">
        <f>AS55/'yrP&amp;L'!W59</f>
        <v>0.64485000135991521</v>
      </c>
      <c r="AT91" s="354">
        <f>AT55/'yrP&amp;L'!X59</f>
        <v>0</v>
      </c>
      <c r="AU91" s="354">
        <f>AU55/'yrP&amp;L'!X59</f>
        <v>0.19459579475565497</v>
      </c>
      <c r="AV91" s="354"/>
      <c r="AW91" s="354">
        <f>AW55/'yrP&amp;L'!Y59</f>
        <v>0.81495535392140417</v>
      </c>
      <c r="AX91" s="354"/>
      <c r="AY91" s="354">
        <f>AY55/'yrP&amp;L'!Z59</f>
        <v>0.72252493423089237</v>
      </c>
      <c r="AZ91" s="354"/>
      <c r="BA91" s="354">
        <f>BA55/'yrP&amp;L'!AA59</f>
        <v>0.71888448587128417</v>
      </c>
      <c r="BB91" s="354"/>
      <c r="BC91" s="354">
        <f>BC55/'yrP&amp;L'!AB59</f>
        <v>0.74944213692360706</v>
      </c>
      <c r="BD91" s="354"/>
      <c r="BE91" s="354">
        <f>BE55/'yrP&amp;L'!AC59</f>
        <v>0.67030741878404532</v>
      </c>
      <c r="BF91" s="354"/>
    </row>
    <row r="92" spans="1:58" ht="12.75">
      <c r="A92" s="347" t="s">
        <v>604</v>
      </c>
      <c r="B92" s="347"/>
      <c r="C92" s="347"/>
      <c r="D92" s="347"/>
      <c r="E92" s="347"/>
      <c r="F92" s="355"/>
      <c r="G92" s="347"/>
      <c r="H92" s="347"/>
      <c r="I92" s="347"/>
      <c r="J92" s="347"/>
      <c r="K92" s="347"/>
      <c r="L92" s="347"/>
      <c r="M92" s="347"/>
      <c r="N92" s="347"/>
      <c r="O92" s="1"/>
      <c r="P92" s="1"/>
      <c r="Q92" s="1"/>
      <c r="R92" s="1"/>
      <c r="S92" s="1"/>
      <c r="T92" s="1"/>
      <c r="U92" s="357">
        <f>U91/U96</f>
        <v>3.4839014810418199E-2</v>
      </c>
      <c r="V92" s="347"/>
      <c r="W92" s="357">
        <f>W91/U96</f>
        <v>-2.2426453233816156E-2</v>
      </c>
      <c r="X92" s="347"/>
      <c r="Y92" s="357">
        <f>Y91/U96</f>
        <v>-1.8233480866074955E-2</v>
      </c>
      <c r="Z92" s="372"/>
      <c r="AA92" s="357">
        <f>AA91/U96</f>
        <v>1.5040750275050948E-2</v>
      </c>
      <c r="AB92" s="372"/>
      <c r="AC92" s="357">
        <f>AC91/U96</f>
        <v>0.10124446923030279</v>
      </c>
      <c r="AD92" s="372"/>
      <c r="AE92" s="357">
        <f>AE91/U96</f>
        <v>6.194169981559388E-2</v>
      </c>
      <c r="AF92" s="372"/>
      <c r="AG92" s="357">
        <f>AG91/U96</f>
        <v>-7.6851420586865433E-3</v>
      </c>
      <c r="AH92" s="357"/>
      <c r="AI92" s="357">
        <f>AI91/U96</f>
        <v>1.5569812599269628E-2</v>
      </c>
      <c r="AJ92" s="357"/>
      <c r="AK92" s="357">
        <f>AK91/U96</f>
        <v>-6.168489771509731E-2</v>
      </c>
      <c r="AL92" s="357"/>
      <c r="AM92" s="357">
        <f>AM91/U96</f>
        <v>-2.7290548460031924E-2</v>
      </c>
      <c r="AN92" s="357"/>
      <c r="AO92" s="357">
        <f>AO91/U96</f>
        <v>-2.4884732892311427E-3</v>
      </c>
      <c r="AP92" s="357"/>
      <c r="AQ92" s="357">
        <f>AQ91/$U$96</f>
        <v>-4.515248518523074E-2</v>
      </c>
      <c r="AR92" s="357"/>
      <c r="AS92" s="357">
        <f>AS91/$U$96</f>
        <v>3.7932353021171483E-2</v>
      </c>
      <c r="AT92" s="357"/>
      <c r="AU92" s="357">
        <f>AU91/$U$96</f>
        <v>1.1446811456214998E-2</v>
      </c>
      <c r="AV92" s="357"/>
      <c r="AW92" s="357">
        <f>AW91/$U$96</f>
        <v>4.7938550230670833E-2</v>
      </c>
      <c r="AX92" s="357"/>
      <c r="AY92" s="357">
        <f>AY91/$U$96</f>
        <v>4.2501466719464254E-2</v>
      </c>
      <c r="AZ92" s="357"/>
      <c r="BA92" s="357">
        <f>BA91/$U$96</f>
        <v>4.2287322698310835E-2</v>
      </c>
      <c r="BB92" s="357"/>
      <c r="BC92" s="357">
        <f>BC91/$U$96</f>
        <v>4.4084831583741595E-2</v>
      </c>
      <c r="BD92" s="357"/>
      <c r="BE92" s="357">
        <f>BE91/$U$96</f>
        <v>3.9429848163767371E-2</v>
      </c>
      <c r="BF92" s="357"/>
    </row>
    <row r="93" spans="1:58" ht="24.75" customHeight="1">
      <c r="A93" s="347" t="s">
        <v>605</v>
      </c>
      <c r="B93" s="347"/>
      <c r="C93" s="347"/>
      <c r="D93" s="347"/>
      <c r="E93" s="347"/>
      <c r="F93" s="355"/>
      <c r="G93" s="347"/>
      <c r="H93" s="347"/>
      <c r="I93" s="347"/>
      <c r="J93" s="347"/>
      <c r="K93" s="347"/>
      <c r="L93" s="347"/>
      <c r="M93" s="347"/>
      <c r="N93" s="347"/>
      <c r="O93" s="354">
        <f>O39/'yrP&amp;L'!H59</f>
        <v>0.24636502838868871</v>
      </c>
      <c r="P93" s="354"/>
      <c r="Q93" s="354">
        <f>Q58/'yrP&amp;L'!I59</f>
        <v>0.19757818904597696</v>
      </c>
      <c r="R93" s="354"/>
      <c r="S93" s="354">
        <f>S39/'yrP&amp;L'!J59</f>
        <v>0.63547393835316046</v>
      </c>
      <c r="T93" s="354"/>
      <c r="U93" s="354">
        <f>U39/'yrP&amp;L'!K59</f>
        <v>1.2042411011421423</v>
      </c>
      <c r="V93" s="354"/>
      <c r="W93" s="354">
        <f>W39/'yrP&amp;L'!L59</f>
        <v>1.7116778454368733</v>
      </c>
      <c r="X93" s="354"/>
      <c r="Y93" s="354">
        <f>Y39/'yrP&amp;L'!M59</f>
        <v>2.4310590934566334</v>
      </c>
      <c r="Z93" s="371"/>
      <c r="AA93" s="354">
        <f>AA39/'yrP&amp;L'!N59</f>
        <v>0.97086889413473632</v>
      </c>
      <c r="AB93" s="371"/>
      <c r="AC93" s="354">
        <f>AC39/'yrP&amp;L'!O59</f>
        <v>0.17755874786831313</v>
      </c>
      <c r="AD93" s="371"/>
      <c r="AE93" s="354">
        <f>AE39/'yrP&amp;L'!P59</f>
        <v>1.2364112795448472</v>
      </c>
      <c r="AF93" s="371"/>
      <c r="AG93" s="354">
        <f>AG39/'yrP&amp;L'!Q59</f>
        <v>1.3727615970825198</v>
      </c>
      <c r="AH93" s="371"/>
      <c r="AI93" s="354">
        <f>AI39/'yrP&amp;L'!R59</f>
        <v>0.70879839614626716</v>
      </c>
      <c r="AJ93" s="354"/>
      <c r="AK93" s="354">
        <f>AK39/'yrP&amp;L'!S59</f>
        <v>2.0219370592779011</v>
      </c>
      <c r="AL93" s="354"/>
      <c r="AM93" s="354">
        <f>AM39/'yrP&amp;L'!T59</f>
        <v>-0.32569739041007861</v>
      </c>
      <c r="AN93" s="354"/>
      <c r="AO93" s="354">
        <f>AO39/'yrP&amp;L'!U59</f>
        <v>0.47867373869372476</v>
      </c>
      <c r="AP93" s="354"/>
      <c r="AQ93" s="354">
        <f>AQ39/'yrP&amp;L'!V59</f>
        <v>0.97228861020092983</v>
      </c>
      <c r="AR93" s="354"/>
      <c r="AS93" s="354">
        <f>AS39/'yrP&amp;L'!W59</f>
        <v>1.1102456006745181</v>
      </c>
      <c r="AT93" s="354">
        <f>AT39/'yrP&amp;L'!X59</f>
        <v>0</v>
      </c>
      <c r="AU93" s="354">
        <f>AU39/'yrP&amp;L'!X59</f>
        <v>1.0828204445036511</v>
      </c>
      <c r="AV93" s="354"/>
      <c r="AW93" s="354">
        <f>AW39/'yrP&amp;L'!Y59</f>
        <v>1.5299473119574838</v>
      </c>
      <c r="AX93" s="354"/>
      <c r="AY93" s="354">
        <f>AY39/'yrP&amp;L'!Z59</f>
        <v>1.5088934890581853</v>
      </c>
      <c r="AZ93" s="354"/>
      <c r="BA93" s="354">
        <f>BA39/'yrP&amp;L'!AA59</f>
        <v>1.5065927023086931</v>
      </c>
      <c r="BB93" s="354"/>
      <c r="BC93" s="354">
        <f>BC39/'yrP&amp;L'!AB59</f>
        <v>1.5385052870783618</v>
      </c>
      <c r="BD93" s="354"/>
      <c r="BE93" s="354">
        <f>BE39/'yrP&amp;L'!AC59</f>
        <v>1.4607410374129071</v>
      </c>
      <c r="BF93" s="354"/>
    </row>
    <row r="94" spans="1:58" ht="12.75">
      <c r="A94" s="347" t="s">
        <v>606</v>
      </c>
      <c r="B94" s="347"/>
      <c r="C94" s="347"/>
      <c r="D94" s="347"/>
      <c r="E94" s="347"/>
      <c r="F94" s="355"/>
      <c r="G94" s="347"/>
      <c r="H94" s="347"/>
      <c r="I94" s="347"/>
      <c r="J94" s="347"/>
      <c r="K94" s="347"/>
      <c r="L94" s="347"/>
      <c r="M94" s="347"/>
      <c r="N94" s="347"/>
      <c r="O94" s="347"/>
      <c r="P94" s="347"/>
      <c r="Q94" s="347"/>
      <c r="R94" s="347"/>
      <c r="S94" s="357"/>
      <c r="T94" s="347"/>
      <c r="U94" s="357">
        <f>U93/U96</f>
        <v>7.0837711831890721E-2</v>
      </c>
      <c r="V94" s="347"/>
      <c r="W94" s="357">
        <f>W93/U96</f>
        <v>0.10068693208452195</v>
      </c>
      <c r="X94" s="347"/>
      <c r="Y94" s="357">
        <f>Y93/U96</f>
        <v>0.14300347608568431</v>
      </c>
      <c r="Z94" s="372"/>
      <c r="AA94" s="357">
        <f>AA93/U96</f>
        <v>5.7109934949102138E-2</v>
      </c>
      <c r="AB94" s="372"/>
      <c r="AC94" s="357">
        <f>AC93/U96</f>
        <v>1.0444632227547832E-2</v>
      </c>
      <c r="AD94" s="372"/>
      <c r="AE94" s="357">
        <f>AE93/U96</f>
        <v>7.2730075267343958E-2</v>
      </c>
      <c r="AF94" s="357"/>
      <c r="AG94" s="357">
        <f>AG93/U96</f>
        <v>8.0750682181324696E-2</v>
      </c>
      <c r="AH94" s="372"/>
      <c r="AI94" s="357">
        <f>AI93/U96</f>
        <v>4.1694023302721595E-2</v>
      </c>
      <c r="AJ94" s="357"/>
      <c r="AK94" s="357">
        <f>AK93/U96</f>
        <v>0.11893747407517065</v>
      </c>
      <c r="AL94" s="357"/>
      <c r="AM94" s="357">
        <f>AM93/U96</f>
        <v>-1.9158670024122273E-2</v>
      </c>
      <c r="AN94" s="357"/>
      <c r="AO94" s="357">
        <f>AO93/U96</f>
        <v>2.815727874668969E-2</v>
      </c>
      <c r="AP94" s="357"/>
      <c r="AQ94" s="357">
        <f>AQ93/$U$96</f>
        <v>5.7193447658878224E-2</v>
      </c>
      <c r="AR94" s="357"/>
      <c r="AS94" s="357">
        <f>AS93/$U$96</f>
        <v>6.5308564745559891E-2</v>
      </c>
      <c r="AT94" s="357"/>
      <c r="AU94" s="357">
        <f>AU93/$U$96</f>
        <v>6.3695320264920655E-2</v>
      </c>
      <c r="AV94" s="357"/>
      <c r="AW94" s="357">
        <f>AW93/$U$96</f>
        <v>8.9996900703381399E-2</v>
      </c>
      <c r="AX94" s="357"/>
      <c r="AY94" s="357">
        <f>AY93/$U$96</f>
        <v>8.8758440532834437E-2</v>
      </c>
      <c r="AZ94" s="357"/>
      <c r="BA94" s="357">
        <f>BA93/$U$96</f>
        <v>8.8623100135805474E-2</v>
      </c>
      <c r="BB94" s="357"/>
      <c r="BC94" s="357">
        <f>BC93/$U$96</f>
        <v>9.0500311004609521E-2</v>
      </c>
      <c r="BD94" s="357"/>
      <c r="BE94" s="357">
        <f>BE93/$U$96</f>
        <v>8.5925943377229821E-2</v>
      </c>
      <c r="BF94" s="357"/>
    </row>
    <row r="95" spans="1:58" ht="12.75">
      <c r="A95" s="1"/>
      <c r="B95" s="1"/>
      <c r="C95" s="1"/>
      <c r="D95" s="1"/>
      <c r="E95" s="1"/>
      <c r="F95" s="51"/>
      <c r="G95" s="1"/>
      <c r="H95" s="1"/>
      <c r="I95" s="1"/>
      <c r="J95" s="1"/>
      <c r="K95" s="1"/>
      <c r="L95" s="1"/>
      <c r="M95" s="1"/>
      <c r="N95" s="1"/>
      <c r="O95" s="1"/>
      <c r="P95" s="1"/>
      <c r="Q95" s="1"/>
      <c r="R95" s="1"/>
      <c r="S95" s="1"/>
      <c r="T95" s="1"/>
      <c r="U95" s="1"/>
      <c r="V95" s="1"/>
      <c r="W95" s="1"/>
      <c r="X95" s="1"/>
      <c r="Y95" s="1"/>
      <c r="Z95" s="51"/>
      <c r="AA95" s="1"/>
      <c r="AB95" s="51"/>
      <c r="AC95" s="538"/>
      <c r="AD95" s="51"/>
      <c r="AE95" s="538"/>
      <c r="AF95" s="51"/>
      <c r="AG95" s="538"/>
      <c r="AH95" s="51"/>
      <c r="AI95" s="538"/>
      <c r="AJ95" s="538"/>
      <c r="AK95" s="538"/>
      <c r="AL95" s="538"/>
      <c r="AM95" s="538"/>
      <c r="AN95" s="538"/>
      <c r="AO95" s="538"/>
      <c r="AP95" s="538"/>
      <c r="AQ95" s="538"/>
      <c r="AR95" s="538"/>
      <c r="AS95" s="538"/>
      <c r="AT95" s="538"/>
      <c r="AU95" s="538"/>
      <c r="AV95" s="538"/>
      <c r="AW95" s="538"/>
      <c r="AX95" s="538"/>
      <c r="AY95" s="538"/>
      <c r="AZ95" s="538"/>
      <c r="BA95" s="538"/>
      <c r="BB95" s="538"/>
      <c r="BC95" s="538"/>
      <c r="BD95" s="538"/>
      <c r="BE95" s="538"/>
      <c r="BF95" s="538"/>
    </row>
    <row r="96" spans="1:58" ht="12.75">
      <c r="A96" s="358" t="s">
        <v>607</v>
      </c>
      <c r="B96" s="1"/>
      <c r="C96" s="1"/>
      <c r="D96" s="1"/>
      <c r="E96" s="1"/>
      <c r="F96" s="51"/>
      <c r="G96" s="1"/>
      <c r="H96" s="1"/>
      <c r="I96" s="1"/>
      <c r="J96" s="1"/>
      <c r="K96" s="1"/>
      <c r="L96" s="1"/>
      <c r="M96" s="1"/>
      <c r="N96" s="1"/>
      <c r="O96" s="1"/>
      <c r="P96" s="1"/>
      <c r="Q96" s="1"/>
      <c r="R96" s="1"/>
      <c r="S96" s="1"/>
      <c r="T96" s="1"/>
      <c r="U96" s="356">
        <v>17</v>
      </c>
      <c r="V96" s="1"/>
      <c r="W96" s="1"/>
      <c r="X96" s="1"/>
      <c r="Y96" s="1"/>
      <c r="Z96" s="51"/>
      <c r="AA96" s="1"/>
      <c r="AB96" s="51"/>
      <c r="AC96" s="538"/>
      <c r="AD96" s="51"/>
      <c r="AE96" s="538"/>
      <c r="AF96" s="51"/>
      <c r="AG96" s="538"/>
      <c r="AH96" s="51"/>
      <c r="AI96" s="538"/>
      <c r="AJ96" s="538"/>
      <c r="AK96" s="538"/>
      <c r="AL96" s="538"/>
      <c r="AM96" s="538"/>
      <c r="AN96" s="538"/>
      <c r="AO96" s="538"/>
      <c r="AP96" s="538"/>
      <c r="AQ96" s="538"/>
      <c r="AR96" s="538"/>
      <c r="AS96" s="538"/>
      <c r="AT96" s="538"/>
      <c r="AU96" s="538"/>
      <c r="AV96" s="538"/>
      <c r="AW96" s="538"/>
      <c r="AX96" s="538"/>
      <c r="AY96" s="538"/>
      <c r="AZ96" s="538"/>
      <c r="BA96" s="538"/>
      <c r="BB96" s="538"/>
      <c r="BC96" s="538"/>
      <c r="BD96" s="538"/>
      <c r="BE96" s="538"/>
      <c r="BF96" s="538"/>
    </row>
  </sheetData>
  <phoneticPr fontId="0" type="noConversion"/>
  <dataValidations count="1">
    <dataValidation type="custom" allowBlank="1" showInputMessage="1" showErrorMessage="1" sqref="O93:O99 AS69:AS70 AR68:AS68 AS66:AS67 AR67 AT11:AT12 G64:M99 O64:O91 D64:D99 A101:M65536 A64:B99 F64:F99 BM64:IX99 E64:E99 C64:C99 AR51:AR62 AS10:AS62 AR11:AR49 AR64:AS65 P64:AQ99 AR70 AR71:AS71 A1:AQ62 BM1:IX62 O101:BF65536 AU10:BF12 AR1:BF9 AT13:BF62 AT64:BD71 AR72:BD99 N64:N99 BE64:BF99 N101:N65536 BM101:IX65536">
      <formula1>-1</formula1>
    </dataValidation>
  </dataValidations>
  <printOptions horizontalCentered="1"/>
  <pageMargins left="0" right="0" top="0" bottom="0" header="0" footer="0"/>
  <pageSetup paperSize="5" orientation="landscape" horizontalDpi="300" verticalDpi="4294967292" r:id="rId1"/>
  <headerFooter alignWithMargins="0">
    <oddFooter>&amp;R&amp;"Arial,Regular"&amp;8&amp;D
&amp;F/&amp;A</oddFooter>
  </headerFooter>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dimension ref="A1:AS61"/>
  <sheetViews>
    <sheetView showGridLines="0" zoomScaleNormal="100" zoomScaleSheetLayoutView="100" workbookViewId="0">
      <selection activeCell="AU25" sqref="AU25"/>
    </sheetView>
  </sheetViews>
  <sheetFormatPr defaultRowHeight="12" outlineLevelCol="1"/>
  <cols>
    <col min="1" max="1" width="2.625" customWidth="1"/>
    <col min="2" max="2" width="4.375" customWidth="1"/>
    <col min="3" max="3" width="3.75" customWidth="1"/>
    <col min="4" max="4" width="9" hidden="1" customWidth="1" outlineLevel="1"/>
    <col min="5" max="5" width="1.875" hidden="1" customWidth="1" outlineLevel="1"/>
    <col min="6" max="6" width="9" hidden="1" customWidth="1" outlineLevel="1"/>
    <col min="7" max="7" width="1.875" hidden="1" customWidth="1" outlineLevel="1"/>
    <col min="8" max="8" width="9" hidden="1" customWidth="1" outlineLevel="1"/>
    <col min="9" max="9" width="1.875" hidden="1" customWidth="1" outlineLevel="1"/>
    <col min="10" max="10" width="9" hidden="1" customWidth="1" outlineLevel="1"/>
    <col min="11" max="11" width="1.875" hidden="1" customWidth="1" outlineLevel="1"/>
    <col min="12" max="12" width="9" hidden="1" customWidth="1" outlineLevel="1"/>
    <col min="13" max="13" width="1.875" hidden="1" customWidth="1" outlineLevel="1"/>
    <col min="14" max="14" width="9" hidden="1" customWidth="1" outlineLevel="1"/>
    <col min="15" max="15" width="1.625" hidden="1" customWidth="1" outlineLevel="1"/>
    <col min="16" max="16" width="9" hidden="1" customWidth="1" outlineLevel="1"/>
    <col min="17" max="17" width="1.625" hidden="1" customWidth="1" outlineLevel="1"/>
    <col min="18" max="18" width="9" hidden="1" customWidth="1" outlineLevel="1"/>
    <col min="19" max="19" width="1.625" hidden="1" customWidth="1" outlineLevel="1"/>
    <col min="20" max="20" width="9" hidden="1" customWidth="1" outlineLevel="1"/>
    <col min="21" max="21" width="1.625" hidden="1" customWidth="1" outlineLevel="1"/>
    <col min="22" max="22" width="9" collapsed="1"/>
    <col min="23" max="23" width="1.625" customWidth="1"/>
    <col min="25" max="25" width="1.625" customWidth="1"/>
    <col min="27" max="27" width="1.625" customWidth="1"/>
    <col min="29" max="29" width="1.625" customWidth="1"/>
    <col min="31" max="31" width="1.625" customWidth="1"/>
    <col min="33" max="33" width="1.625" customWidth="1"/>
    <col min="34" max="34" width="9.125" customWidth="1"/>
    <col min="35" max="35" width="1.625" customWidth="1"/>
    <col min="37" max="37" width="1.5" customWidth="1"/>
    <col min="39" max="39" width="1.5" customWidth="1"/>
    <col min="41" max="41" width="1.5" hidden="1" customWidth="1"/>
    <col min="42" max="42" width="9" hidden="1" customWidth="1"/>
    <col min="43" max="43" width="0" hidden="1" customWidth="1"/>
    <col min="44" max="44" width="1.5" style="1787" customWidth="1"/>
    <col min="45" max="45" width="9" style="1787"/>
  </cols>
  <sheetData>
    <row r="1" spans="1:45" ht="12.75">
      <c r="A1" s="767" t="s">
        <v>85</v>
      </c>
      <c r="B1" s="30"/>
      <c r="C1" s="30"/>
      <c r="D1" s="30"/>
      <c r="E1" s="30"/>
      <c r="F1" s="30"/>
      <c r="G1" s="11"/>
      <c r="H1" s="11"/>
      <c r="I1" s="11"/>
      <c r="J1" s="11"/>
      <c r="K1" s="11"/>
      <c r="L1" s="11"/>
      <c r="M1" s="11"/>
      <c r="N1" s="11"/>
      <c r="O1" s="11"/>
      <c r="P1" s="11"/>
      <c r="Q1" s="11"/>
      <c r="R1" s="11"/>
      <c r="S1" s="11"/>
      <c r="T1" s="11"/>
      <c r="U1" s="11"/>
      <c r="V1" s="11"/>
      <c r="W1" s="11"/>
      <c r="X1" s="11"/>
      <c r="Y1" s="11"/>
      <c r="Z1" s="11"/>
      <c r="AA1" s="11"/>
      <c r="AB1" s="11"/>
      <c r="AC1" s="11"/>
      <c r="AD1" s="11"/>
    </row>
    <row r="2" spans="1:45" ht="12.75">
      <c r="A2" s="13" t="s">
        <v>197</v>
      </c>
      <c r="B2" s="14"/>
      <c r="C2" s="14"/>
      <c r="D2" s="14"/>
      <c r="E2" s="14"/>
      <c r="F2" s="14"/>
      <c r="G2" s="14"/>
      <c r="H2" s="14"/>
      <c r="I2" s="14"/>
      <c r="J2" s="14"/>
      <c r="K2" s="14"/>
      <c r="L2" s="14"/>
      <c r="M2" s="14"/>
      <c r="N2" s="14"/>
      <c r="O2" s="14"/>
      <c r="P2" s="14"/>
      <c r="Q2" s="14"/>
      <c r="R2" s="14"/>
      <c r="S2" s="14"/>
      <c r="T2" s="14"/>
      <c r="U2" s="14"/>
      <c r="V2" s="14"/>
      <c r="W2" s="14"/>
      <c r="X2" s="14"/>
      <c r="Y2" s="14"/>
      <c r="Z2" s="14"/>
      <c r="AA2" s="14"/>
      <c r="AB2" s="14"/>
      <c r="AC2" s="14"/>
      <c r="AD2" s="14"/>
      <c r="AE2" s="14"/>
      <c r="AF2" s="14"/>
      <c r="AG2" s="14"/>
      <c r="AH2" s="14"/>
      <c r="AI2" s="14"/>
      <c r="AJ2" s="14"/>
      <c r="AK2" s="333"/>
      <c r="AL2" s="14"/>
      <c r="AM2" s="333"/>
      <c r="AN2" s="14"/>
      <c r="AO2" s="88"/>
      <c r="AR2" s="333"/>
      <c r="AS2" s="14"/>
    </row>
    <row r="3" spans="1:45" ht="12.75">
      <c r="A3" s="94" t="s">
        <v>156</v>
      </c>
      <c r="B3" s="17"/>
      <c r="C3" s="17"/>
      <c r="D3" s="17"/>
      <c r="E3" s="17"/>
      <c r="F3" s="17"/>
      <c r="G3" s="94"/>
      <c r="H3" s="94"/>
      <c r="I3" s="94"/>
      <c r="J3" s="94"/>
      <c r="K3" s="94"/>
      <c r="L3" s="94"/>
      <c r="M3" s="94"/>
      <c r="N3" s="94"/>
      <c r="O3" s="94"/>
      <c r="P3" s="94"/>
      <c r="Q3" s="94"/>
      <c r="R3" s="94"/>
      <c r="S3" s="94"/>
      <c r="T3" s="94"/>
      <c r="U3" s="94"/>
      <c r="V3" s="94"/>
      <c r="W3" s="94"/>
      <c r="X3" s="94"/>
      <c r="Y3" s="94"/>
      <c r="Z3" s="94"/>
      <c r="AA3" s="94"/>
      <c r="AB3" s="94"/>
      <c r="AC3" s="94"/>
      <c r="AD3" s="94"/>
    </row>
    <row r="4" spans="1:45" ht="12.75">
      <c r="A4" s="213" t="s">
        <v>195</v>
      </c>
      <c r="B4" s="17"/>
      <c r="C4" s="17"/>
      <c r="D4" s="17"/>
      <c r="E4" s="17"/>
      <c r="F4" s="17"/>
      <c r="G4" s="17"/>
      <c r="H4" s="17"/>
      <c r="I4" s="17"/>
      <c r="J4" s="17"/>
      <c r="K4" s="17"/>
      <c r="L4" s="17"/>
      <c r="M4" s="17"/>
      <c r="N4" s="17"/>
      <c r="O4" s="17"/>
      <c r="P4" s="17"/>
      <c r="Q4" s="17"/>
      <c r="R4" s="17"/>
      <c r="S4" s="17"/>
      <c r="T4" s="17"/>
      <c r="U4" s="17"/>
      <c r="V4" s="17"/>
      <c r="W4" s="17"/>
      <c r="X4" s="17"/>
      <c r="Y4" s="17"/>
      <c r="Z4" s="17"/>
      <c r="AA4" s="17"/>
      <c r="AB4" s="17"/>
      <c r="AC4" s="17"/>
      <c r="AD4" s="17"/>
    </row>
    <row r="5" spans="1:45" ht="12.75">
      <c r="A5" s="17"/>
      <c r="B5" s="17"/>
      <c r="C5" s="17"/>
      <c r="D5" s="219" t="s">
        <v>73</v>
      </c>
      <c r="E5" s="58"/>
      <c r="F5" s="278">
        <f>+D5+1</f>
        <v>2000</v>
      </c>
      <c r="G5" s="17"/>
      <c r="H5" s="278">
        <f>+F5+1</f>
        <v>2001</v>
      </c>
      <c r="I5" s="17"/>
      <c r="J5" s="278">
        <f>+H5+1</f>
        <v>2002</v>
      </c>
      <c r="K5" s="17"/>
      <c r="L5" s="278">
        <f>+J5+1</f>
        <v>2003</v>
      </c>
      <c r="M5" s="17"/>
      <c r="N5" s="278">
        <f>+L5+1</f>
        <v>2004</v>
      </c>
      <c r="O5" s="17"/>
      <c r="P5" s="278">
        <f>+N5+1</f>
        <v>2005</v>
      </c>
      <c r="Q5" s="17"/>
      <c r="R5" s="278">
        <f>+P5+1</f>
        <v>2006</v>
      </c>
      <c r="S5" s="17"/>
      <c r="T5" s="278">
        <f>+R5+1</f>
        <v>2007</v>
      </c>
      <c r="U5" s="17"/>
      <c r="V5" s="278">
        <f>+T5+1</f>
        <v>2008</v>
      </c>
      <c r="W5" s="17"/>
      <c r="X5" s="278">
        <f>+V5+1</f>
        <v>2009</v>
      </c>
      <c r="Y5" s="17"/>
      <c r="Z5" s="278">
        <f>+X5+1</f>
        <v>2010</v>
      </c>
      <c r="AA5" s="17"/>
      <c r="AB5" s="278">
        <v>2011</v>
      </c>
      <c r="AC5" s="17"/>
      <c r="AD5" s="278">
        <v>2012</v>
      </c>
      <c r="AF5" s="278">
        <v>2013</v>
      </c>
      <c r="AH5" s="278">
        <v>2014</v>
      </c>
      <c r="AJ5" s="278">
        <v>2015</v>
      </c>
      <c r="AL5" s="278">
        <v>2016</v>
      </c>
      <c r="AN5" s="278">
        <v>2017</v>
      </c>
      <c r="AO5" s="2103"/>
      <c r="AP5" s="2105" t="s">
        <v>188</v>
      </c>
      <c r="AS5" s="278">
        <v>2018</v>
      </c>
    </row>
    <row r="6" spans="1:45" ht="12.75">
      <c r="A6" s="17"/>
      <c r="B6" s="17"/>
      <c r="C6" s="17"/>
      <c r="D6" s="17"/>
      <c r="E6" s="17"/>
      <c r="F6" s="17"/>
      <c r="G6" s="17"/>
      <c r="H6" s="17"/>
      <c r="I6" s="17"/>
      <c r="J6" s="17"/>
      <c r="K6" s="17"/>
      <c r="L6" s="17"/>
      <c r="M6" s="17"/>
      <c r="N6" s="17"/>
      <c r="O6" s="17"/>
      <c r="P6" s="17"/>
      <c r="Q6" s="17"/>
      <c r="R6" s="17"/>
      <c r="S6" s="17"/>
      <c r="T6" s="17"/>
      <c r="U6" s="17"/>
      <c r="V6" s="17"/>
      <c r="W6" s="17"/>
      <c r="X6" s="17"/>
      <c r="Y6" s="17"/>
      <c r="Z6" s="17"/>
      <c r="AA6" s="17"/>
      <c r="AB6" s="17"/>
      <c r="AC6" s="17"/>
      <c r="AD6" s="17"/>
    </row>
    <row r="7" spans="1:45" ht="12.75">
      <c r="A7" s="214"/>
      <c r="B7" s="17"/>
      <c r="C7" s="17"/>
      <c r="D7" s="215"/>
      <c r="E7" s="215"/>
      <c r="F7" s="215"/>
      <c r="G7" s="215"/>
      <c r="H7" s="215"/>
      <c r="I7" s="215"/>
      <c r="J7" s="215"/>
      <c r="K7" s="17"/>
      <c r="L7" s="215"/>
      <c r="M7" s="215"/>
      <c r="N7" s="215"/>
      <c r="P7" s="834"/>
      <c r="Q7" s="37"/>
      <c r="R7" s="834"/>
      <c r="S7" s="37"/>
      <c r="T7" s="834"/>
      <c r="U7" s="37"/>
      <c r="V7" s="835"/>
      <c r="W7" s="37"/>
      <c r="X7" s="835"/>
      <c r="Y7" s="37"/>
      <c r="Z7" s="836"/>
      <c r="AA7" s="834" t="s">
        <v>198</v>
      </c>
      <c r="AB7" s="663"/>
      <c r="AC7" s="37"/>
      <c r="AD7" s="663"/>
    </row>
    <row r="8" spans="1:45" ht="12.75">
      <c r="A8" s="58" t="s">
        <v>147</v>
      </c>
      <c r="B8" s="58" t="s">
        <v>734</v>
      </c>
      <c r="C8" s="17"/>
      <c r="D8" s="216">
        <f>63.168+11.858</f>
        <v>75.025999999999996</v>
      </c>
      <c r="E8" s="17"/>
      <c r="F8" s="216">
        <f>34.004+63.964</f>
        <v>97.967999999999989</v>
      </c>
      <c r="G8" s="17"/>
      <c r="H8" s="216">
        <f>113.865+10.145</f>
        <v>124.00999999999999</v>
      </c>
      <c r="I8" s="17"/>
      <c r="J8" s="216">
        <f>120.054+62.377</f>
        <v>182.43100000000001</v>
      </c>
      <c r="K8" s="17"/>
      <c r="L8" s="216">
        <f>106.955+107.066</f>
        <v>214.02100000000002</v>
      </c>
      <c r="M8" s="17"/>
      <c r="N8" s="216">
        <v>326.26799999999997</v>
      </c>
      <c r="O8" s="65"/>
      <c r="P8" s="216">
        <v>561.29700000000003</v>
      </c>
      <c r="Q8" s="65"/>
      <c r="R8" s="216">
        <v>771.36800000000005</v>
      </c>
      <c r="S8" s="65"/>
      <c r="T8" s="216">
        <v>658.71699999999998</v>
      </c>
      <c r="U8" s="65"/>
      <c r="V8" s="216">
        <f>338.238+31.195</f>
        <v>369.43299999999999</v>
      </c>
      <c r="W8" s="65"/>
      <c r="X8" s="216">
        <f>418.807+30.525</f>
        <v>449.33199999999999</v>
      </c>
      <c r="Y8" s="65"/>
      <c r="Z8" s="660">
        <f>535.239+9.025</f>
        <v>544.26400000000001</v>
      </c>
      <c r="AA8" s="65"/>
      <c r="AB8" s="660">
        <f>474.668+130.513</f>
        <v>605.18100000000004</v>
      </c>
      <c r="AC8" s="65"/>
      <c r="AD8" s="660">
        <f>713.443+8.587</f>
        <v>722.03</v>
      </c>
      <c r="AF8" s="660">
        <f>383.175+113.041</f>
        <v>496.21600000000001</v>
      </c>
      <c r="AH8" s="660">
        <v>327.69900000000001</v>
      </c>
      <c r="AJ8" s="660">
        <v>326.90699999999998</v>
      </c>
      <c r="AL8" s="660">
        <v>238.976</v>
      </c>
      <c r="AN8" s="660">
        <v>225.197</v>
      </c>
      <c r="AO8" s="660"/>
      <c r="AS8" s="660"/>
    </row>
    <row r="9" spans="1:45" ht="12.75">
      <c r="A9" s="58" t="s">
        <v>148</v>
      </c>
      <c r="B9" s="58" t="s">
        <v>735</v>
      </c>
      <c r="C9" s="17"/>
      <c r="D9" s="59">
        <f>49.099+21.797</f>
        <v>70.896000000000001</v>
      </c>
      <c r="E9" s="17"/>
      <c r="F9" s="59">
        <f>19.865+46.39</f>
        <v>66.254999999999995</v>
      </c>
      <c r="G9" s="17"/>
      <c r="H9" s="59">
        <f>70.549+4.948</f>
        <v>75.497000000000014</v>
      </c>
      <c r="I9" s="17"/>
      <c r="J9" s="59">
        <f>109.246+67.756</f>
        <v>177.00200000000001</v>
      </c>
      <c r="K9" s="17"/>
      <c r="L9" s="59">
        <f>119.328+89.638</f>
        <v>208.96600000000001</v>
      </c>
      <c r="M9" s="17"/>
      <c r="N9" s="59">
        <v>332.61099999999999</v>
      </c>
      <c r="O9" s="65"/>
      <c r="P9" s="59">
        <f>625.174</f>
        <v>625.17399999999998</v>
      </c>
      <c r="Q9" s="65"/>
      <c r="R9" s="59">
        <v>814.09</v>
      </c>
      <c r="S9" s="65"/>
      <c r="T9" s="59">
        <v>634.60500000000002</v>
      </c>
      <c r="U9" s="65"/>
      <c r="V9" s="59">
        <f>353.39+26.936</f>
        <v>380.32599999999996</v>
      </c>
      <c r="W9" s="65"/>
      <c r="X9" s="59">
        <f>500.263+29.525</f>
        <v>529.78800000000001</v>
      </c>
      <c r="Y9" s="65"/>
      <c r="Z9" s="59">
        <f>425.523+5.8</f>
        <v>431.32300000000004</v>
      </c>
      <c r="AA9" s="65"/>
      <c r="AB9" s="59">
        <f>389.299+124.697</f>
        <v>513.99599999999998</v>
      </c>
      <c r="AC9" s="65"/>
      <c r="AD9" s="279">
        <f>696.077+5.995</f>
        <v>702.072</v>
      </c>
      <c r="AF9" s="279">
        <f>345.188+59.678</f>
        <v>404.86599999999999</v>
      </c>
      <c r="AH9" s="279">
        <v>262.62799999999999</v>
      </c>
      <c r="AJ9" s="279">
        <v>327.29000000000002</v>
      </c>
      <c r="AL9" s="279">
        <v>247.934</v>
      </c>
      <c r="AN9" s="279">
        <v>192.55799999999999</v>
      </c>
      <c r="AO9" s="279"/>
      <c r="AS9" s="279"/>
    </row>
    <row r="10" spans="1:45" ht="12.75">
      <c r="A10" s="58" t="s">
        <v>149</v>
      </c>
      <c r="B10" s="58" t="s">
        <v>736</v>
      </c>
      <c r="C10" s="17"/>
      <c r="D10" s="59">
        <f>52.028+63.826</f>
        <v>115.854</v>
      </c>
      <c r="E10" s="17"/>
      <c r="F10" s="59">
        <v>70.959000000000003</v>
      </c>
      <c r="G10" s="17"/>
      <c r="H10" s="59">
        <f>72.951+11.853</f>
        <v>84.803999999999988</v>
      </c>
      <c r="I10" s="65"/>
      <c r="J10" s="59">
        <f>115.396+57.576</f>
        <v>172.97200000000001</v>
      </c>
      <c r="K10" s="65"/>
      <c r="L10" s="59">
        <v>206.078</v>
      </c>
      <c r="M10" s="65"/>
      <c r="N10" s="59">
        <v>384.64</v>
      </c>
      <c r="O10" s="65"/>
      <c r="P10" s="59">
        <f>556.375</f>
        <v>556.375</v>
      </c>
      <c r="Q10" s="65"/>
      <c r="R10" s="59">
        <f>121.216+636.711</f>
        <v>757.92700000000002</v>
      </c>
      <c r="S10" s="65"/>
      <c r="T10" s="59">
        <f>104.877+535.905</f>
        <v>640.78199999999993</v>
      </c>
      <c r="U10" s="65"/>
      <c r="V10" s="59">
        <f>332.837+11.1</f>
        <v>343.93700000000001</v>
      </c>
      <c r="W10" s="65"/>
      <c r="X10" s="59">
        <f>512.603+3.3</f>
        <v>515.90299999999991</v>
      </c>
      <c r="Y10" s="65"/>
      <c r="Z10" s="59">
        <f>630.775+3.7</f>
        <v>634.47500000000002</v>
      </c>
      <c r="AA10" s="65"/>
      <c r="AB10" s="59">
        <f>380.284+101.036</f>
        <v>481.32</v>
      </c>
      <c r="AC10" s="65"/>
      <c r="AD10" s="279">
        <f>544.683+0</f>
        <v>544.68299999999999</v>
      </c>
      <c r="AF10" s="279">
        <f>354.284+2.93</f>
        <v>357.214</v>
      </c>
      <c r="AH10" s="279">
        <v>280.44499999999999</v>
      </c>
      <c r="AJ10" s="279">
        <v>363.11599999999999</v>
      </c>
      <c r="AL10" s="279">
        <v>291.66699999999997</v>
      </c>
      <c r="AN10" s="279">
        <v>257.52699999999999</v>
      </c>
      <c r="AO10" s="279"/>
      <c r="AS10" s="279"/>
    </row>
    <row r="11" spans="1:45" ht="12.75">
      <c r="A11" s="58" t="s">
        <v>150</v>
      </c>
      <c r="B11" s="58" t="s">
        <v>737</v>
      </c>
      <c r="C11" s="17"/>
      <c r="D11" s="25">
        <f>bal!M9</f>
        <v>91.911000000000001</v>
      </c>
      <c r="E11" s="17"/>
      <c r="F11" s="59">
        <f>133.446+27.927</f>
        <v>161.37299999999999</v>
      </c>
      <c r="G11" s="65"/>
      <c r="H11" s="59">
        <f>180.398+45.085</f>
        <v>225.483</v>
      </c>
      <c r="I11" s="65"/>
      <c r="J11" s="59">
        <f>194.526+47.047</f>
        <v>241.57300000000001</v>
      </c>
      <c r="K11" s="65"/>
      <c r="L11" s="59">
        <v>337.81200000000001</v>
      </c>
      <c r="M11" s="65"/>
      <c r="N11" s="59">
        <v>589.60699999999997</v>
      </c>
      <c r="O11" s="17"/>
      <c r="P11" s="59">
        <v>751.51800000000003</v>
      </c>
      <c r="Q11" s="17"/>
      <c r="R11" s="59">
        <f>59.737+767.376</f>
        <v>827.11299999999994</v>
      </c>
      <c r="S11" s="17"/>
      <c r="T11" s="59">
        <f>116.061+503.878</f>
        <v>619.93899999999996</v>
      </c>
      <c r="U11" s="17"/>
      <c r="V11" s="59">
        <f>473.342+10.51</f>
        <v>483.85199999999998</v>
      </c>
      <c r="W11" s="17"/>
      <c r="X11" s="59">
        <f>693.96+4.675</f>
        <v>698.63499999999999</v>
      </c>
      <c r="Y11" s="17"/>
      <c r="Z11" s="59">
        <f>667.593+67.102</f>
        <v>734.69499999999994</v>
      </c>
      <c r="AA11" s="17"/>
      <c r="AB11" s="59">
        <f>719.545+25.499</f>
        <v>745.04399999999998</v>
      </c>
      <c r="AC11" s="17"/>
      <c r="AD11" s="59">
        <f>509.119+121.873</f>
        <v>630.99200000000008</v>
      </c>
      <c r="AF11" s="279">
        <f>418.933+10.002</f>
        <v>428.935</v>
      </c>
      <c r="AH11" s="279">
        <v>410.697</v>
      </c>
      <c r="AJ11" s="279">
        <v>260.06700000000001</v>
      </c>
      <c r="AK11" s="1798"/>
      <c r="AL11" s="279">
        <v>378.613</v>
      </c>
      <c r="AM11" s="1798"/>
      <c r="AN11" s="279">
        <v>413.613</v>
      </c>
      <c r="AO11" s="279"/>
      <c r="AR11" s="1798"/>
      <c r="AS11" s="279"/>
    </row>
    <row r="12" spans="1:45" ht="12.75">
      <c r="A12" s="17"/>
      <c r="B12" s="17"/>
      <c r="C12" s="17"/>
      <c r="D12" s="17"/>
      <c r="E12" s="17"/>
      <c r="F12" s="17"/>
      <c r="G12" s="17"/>
      <c r="H12" s="17"/>
      <c r="I12" s="17"/>
      <c r="J12" s="17"/>
      <c r="K12" s="17"/>
      <c r="L12" s="17"/>
      <c r="M12" s="17"/>
      <c r="N12" s="17"/>
      <c r="O12" s="17"/>
      <c r="P12" s="17"/>
      <c r="Q12" s="17"/>
      <c r="R12" s="17"/>
      <c r="S12" s="17"/>
      <c r="T12" s="642"/>
      <c r="U12" s="17"/>
      <c r="V12" s="642"/>
      <c r="W12" s="17"/>
      <c r="X12" s="17"/>
      <c r="Y12" s="17"/>
      <c r="Z12" s="17"/>
      <c r="AA12" s="17"/>
      <c r="AB12" s="17"/>
      <c r="AC12" s="17"/>
      <c r="AD12" s="17"/>
      <c r="AE12" s="17"/>
      <c r="AF12" s="17"/>
      <c r="AH12" s="17"/>
    </row>
    <row r="13" spans="1:45" ht="12.75">
      <c r="A13" s="17"/>
      <c r="B13" s="17"/>
      <c r="C13" s="17"/>
      <c r="D13" s="215"/>
      <c r="E13" s="215"/>
      <c r="F13" s="215"/>
      <c r="G13" s="215"/>
      <c r="H13" s="215"/>
      <c r="I13" s="215"/>
      <c r="J13" s="215"/>
      <c r="K13" s="17"/>
      <c r="L13" s="215"/>
      <c r="M13" s="215"/>
      <c r="N13" s="215"/>
      <c r="P13" s="834"/>
      <c r="Q13" s="37"/>
      <c r="R13" s="834"/>
      <c r="S13" s="37"/>
      <c r="T13" s="834"/>
      <c r="U13" s="37"/>
      <c r="V13" s="834"/>
      <c r="W13" s="37"/>
      <c r="X13" s="834"/>
      <c r="Y13" s="37"/>
      <c r="Z13" s="834" t="s">
        <v>199</v>
      </c>
      <c r="AA13" s="37"/>
      <c r="AB13" s="215"/>
      <c r="AC13" s="37"/>
      <c r="AD13" s="215"/>
    </row>
    <row r="14" spans="1:45" ht="12.75">
      <c r="A14" s="17" t="str">
        <f t="shared" ref="A14:B17" si="0">A8</f>
        <v>1Q</v>
      </c>
      <c r="B14" s="17" t="str">
        <f t="shared" si="0"/>
        <v>Apr</v>
      </c>
      <c r="C14" s="17"/>
      <c r="D14" s="216">
        <v>0</v>
      </c>
      <c r="E14" s="17"/>
      <c r="F14" s="216">
        <v>0</v>
      </c>
      <c r="G14" s="17"/>
      <c r="H14" s="216">
        <v>4.1890000000000001</v>
      </c>
      <c r="I14" s="17"/>
      <c r="J14" s="216">
        <v>4.1120000000000001</v>
      </c>
      <c r="K14" s="17"/>
      <c r="L14" s="216">
        <v>4.5279999999999996</v>
      </c>
      <c r="M14" s="17"/>
      <c r="N14" s="216">
        <v>4.8319999999999999</v>
      </c>
      <c r="O14" s="17"/>
      <c r="P14" s="216">
        <v>0</v>
      </c>
      <c r="Q14" s="17"/>
      <c r="R14" s="216">
        <v>0</v>
      </c>
      <c r="S14" s="17"/>
      <c r="T14" s="216">
        <v>0</v>
      </c>
      <c r="U14" s="17"/>
      <c r="V14" s="216">
        <v>75</v>
      </c>
      <c r="W14" s="17"/>
      <c r="X14" s="216">
        <v>75</v>
      </c>
      <c r="Y14" s="17"/>
      <c r="Z14" s="660">
        <v>17.5</v>
      </c>
      <c r="AA14" s="17"/>
      <c r="AB14" s="660">
        <v>0</v>
      </c>
      <c r="AC14" s="17"/>
      <c r="AD14" s="660">
        <v>0</v>
      </c>
      <c r="AF14" s="660">
        <v>0</v>
      </c>
      <c r="AH14" s="660">
        <v>0</v>
      </c>
      <c r="AJ14" s="660">
        <v>0</v>
      </c>
      <c r="AL14" s="660">
        <v>0</v>
      </c>
      <c r="AN14" s="660">
        <v>0</v>
      </c>
      <c r="AO14" s="660"/>
      <c r="AS14" s="660"/>
    </row>
    <row r="15" spans="1:45" ht="12.75">
      <c r="A15" s="17" t="str">
        <f t="shared" si="0"/>
        <v>2Q</v>
      </c>
      <c r="B15" s="17" t="str">
        <f t="shared" si="0"/>
        <v>Jul</v>
      </c>
      <c r="C15" s="17"/>
      <c r="D15" s="59">
        <v>0</v>
      </c>
      <c r="E15" s="17"/>
      <c r="F15" s="59">
        <v>0</v>
      </c>
      <c r="G15" s="17"/>
      <c r="H15" s="59">
        <v>4.2039999999999997</v>
      </c>
      <c r="I15" s="17"/>
      <c r="J15" s="59">
        <v>8.7799999999999994</v>
      </c>
      <c r="K15" s="17"/>
      <c r="L15" s="59">
        <v>4.593</v>
      </c>
      <c r="M15" s="17"/>
      <c r="N15" s="59">
        <v>4.8319999999999999</v>
      </c>
      <c r="O15" s="17"/>
      <c r="P15" s="59">
        <v>0</v>
      </c>
      <c r="Q15" s="17"/>
      <c r="R15" s="59">
        <v>0</v>
      </c>
      <c r="S15" s="17"/>
      <c r="T15" s="59">
        <v>0</v>
      </c>
      <c r="U15" s="17"/>
      <c r="V15" s="59">
        <v>75</v>
      </c>
      <c r="W15" s="17"/>
      <c r="X15" s="59">
        <v>75</v>
      </c>
      <c r="Y15" s="17"/>
      <c r="Z15" s="59">
        <v>0</v>
      </c>
      <c r="AA15" s="17"/>
      <c r="AB15" s="59">
        <v>0</v>
      </c>
      <c r="AC15" s="17"/>
      <c r="AD15" s="59">
        <v>0</v>
      </c>
      <c r="AF15" s="59">
        <v>0</v>
      </c>
      <c r="AH15" s="59">
        <v>0</v>
      </c>
      <c r="AJ15" s="59">
        <v>0</v>
      </c>
      <c r="AL15" s="59">
        <v>0</v>
      </c>
      <c r="AN15" s="59">
        <v>0</v>
      </c>
      <c r="AO15" s="59"/>
      <c r="AS15" s="59"/>
    </row>
    <row r="16" spans="1:45" ht="12.75">
      <c r="A16" s="17" t="str">
        <f t="shared" si="0"/>
        <v>3Q</v>
      </c>
      <c r="B16" s="17" t="str">
        <f t="shared" si="0"/>
        <v>Oct</v>
      </c>
      <c r="C16" s="17"/>
      <c r="D16" s="59">
        <v>0</v>
      </c>
      <c r="E16" s="17"/>
      <c r="F16" s="59">
        <v>0</v>
      </c>
      <c r="G16" s="17"/>
      <c r="H16" s="59">
        <v>4.04</v>
      </c>
      <c r="I16" s="17"/>
      <c r="J16" s="59">
        <v>8.9290000000000003</v>
      </c>
      <c r="K16" s="17"/>
      <c r="L16" s="59">
        <v>4.8739999999999997</v>
      </c>
      <c r="M16" s="17"/>
      <c r="N16" s="59">
        <v>0</v>
      </c>
      <c r="O16" s="17"/>
      <c r="P16" s="59">
        <v>0</v>
      </c>
      <c r="Q16" s="17"/>
      <c r="R16" s="59">
        <v>0</v>
      </c>
      <c r="S16" s="17"/>
      <c r="T16" s="59">
        <v>0</v>
      </c>
      <c r="U16" s="17"/>
      <c r="V16" s="59">
        <v>75</v>
      </c>
      <c r="W16" s="17"/>
      <c r="X16" s="59">
        <v>50</v>
      </c>
      <c r="Y16" s="17"/>
      <c r="Z16" s="59">
        <v>0</v>
      </c>
      <c r="AA16" s="17"/>
      <c r="AB16" s="59">
        <v>0</v>
      </c>
      <c r="AC16" s="17"/>
      <c r="AD16" s="59">
        <v>0</v>
      </c>
      <c r="AF16" s="59">
        <v>0</v>
      </c>
      <c r="AH16" s="59">
        <v>0</v>
      </c>
      <c r="AJ16" s="59">
        <v>0</v>
      </c>
      <c r="AL16" s="59">
        <v>0</v>
      </c>
      <c r="AN16" s="59">
        <v>0</v>
      </c>
      <c r="AO16" s="59"/>
      <c r="AS16" s="59"/>
    </row>
    <row r="17" spans="1:45" ht="12.75">
      <c r="A17" s="17" t="str">
        <f t="shared" si="0"/>
        <v>4Q</v>
      </c>
      <c r="B17" s="17" t="str">
        <f t="shared" si="0"/>
        <v>Jan</v>
      </c>
      <c r="C17" s="17"/>
      <c r="D17" s="59">
        <v>0</v>
      </c>
      <c r="E17" s="17"/>
      <c r="F17" s="59">
        <v>0</v>
      </c>
      <c r="G17" s="17"/>
      <c r="H17" s="59">
        <v>4.0439999999999996</v>
      </c>
      <c r="I17" s="17"/>
      <c r="J17" s="59">
        <v>4.2249999999999996</v>
      </c>
      <c r="K17" s="17"/>
      <c r="L17" s="59">
        <v>4.8319999999999999</v>
      </c>
      <c r="M17" s="17"/>
      <c r="N17" s="59">
        <v>0</v>
      </c>
      <c r="O17" s="17"/>
      <c r="P17" s="59">
        <v>0</v>
      </c>
      <c r="Q17" s="17"/>
      <c r="R17" s="59">
        <v>0</v>
      </c>
      <c r="S17" s="17"/>
      <c r="T17" s="59">
        <v>0</v>
      </c>
      <c r="U17" s="17"/>
      <c r="V17" s="59">
        <v>75</v>
      </c>
      <c r="W17" s="17"/>
      <c r="X17" s="59">
        <v>30</v>
      </c>
      <c r="Y17" s="17"/>
      <c r="Z17" s="59">
        <v>0</v>
      </c>
      <c r="AA17" s="17"/>
      <c r="AB17" s="59">
        <v>0</v>
      </c>
      <c r="AC17" s="17"/>
      <c r="AD17" s="59">
        <v>0</v>
      </c>
      <c r="AF17" s="59">
        <v>0</v>
      </c>
      <c r="AH17" s="59">
        <v>0</v>
      </c>
      <c r="AJ17" s="59">
        <v>0</v>
      </c>
      <c r="AL17" s="59">
        <v>0</v>
      </c>
      <c r="AN17" s="59">
        <v>0</v>
      </c>
      <c r="AO17" s="59"/>
      <c r="AS17" s="59"/>
    </row>
    <row r="18" spans="1:45" ht="12.75">
      <c r="A18" s="17"/>
      <c r="B18" s="17"/>
      <c r="C18" s="17"/>
      <c r="D18" s="59"/>
      <c r="E18" s="17"/>
      <c r="F18" s="59"/>
      <c r="G18" s="17"/>
      <c r="H18" s="59"/>
      <c r="I18" s="17"/>
      <c r="J18" s="59"/>
      <c r="K18" s="17"/>
      <c r="L18" s="59"/>
      <c r="M18" s="17"/>
      <c r="N18" s="59"/>
      <c r="O18" s="17"/>
      <c r="P18" s="59"/>
      <c r="Q18" s="17"/>
      <c r="R18" s="59"/>
      <c r="S18" s="17"/>
      <c r="T18" s="59"/>
      <c r="U18" s="17"/>
      <c r="V18" s="59"/>
      <c r="W18" s="17"/>
      <c r="X18" s="59"/>
      <c r="Y18" s="17"/>
      <c r="Z18" s="834" t="s">
        <v>200</v>
      </c>
      <c r="AA18" s="17"/>
      <c r="AB18" s="59"/>
      <c r="AC18" s="17"/>
      <c r="AD18" s="59"/>
    </row>
    <row r="19" spans="1:45" ht="12.75">
      <c r="A19" s="17"/>
      <c r="B19" s="17"/>
      <c r="C19" s="17"/>
      <c r="D19" s="215"/>
      <c r="E19" s="215"/>
      <c r="F19" s="215"/>
      <c r="G19" s="215"/>
      <c r="H19" s="215"/>
      <c r="I19" s="215"/>
      <c r="J19" s="215"/>
      <c r="K19" s="17"/>
      <c r="L19" s="215"/>
      <c r="M19" s="215"/>
      <c r="N19" s="483"/>
      <c r="P19" s="834"/>
      <c r="Q19" s="37"/>
      <c r="R19" s="834"/>
      <c r="S19" s="37"/>
      <c r="T19" s="834"/>
      <c r="U19" s="37"/>
      <c r="V19" s="834"/>
      <c r="W19" s="37"/>
      <c r="X19" s="834"/>
      <c r="Y19" s="37"/>
      <c r="Z19" s="834"/>
      <c r="AA19" s="37"/>
      <c r="AB19" s="215"/>
      <c r="AC19" s="37"/>
      <c r="AD19" s="215"/>
    </row>
    <row r="20" spans="1:45" ht="12.75">
      <c r="A20" s="17" t="str">
        <f t="shared" ref="A20:B23" si="1">A14</f>
        <v>1Q</v>
      </c>
      <c r="B20" s="17" t="str">
        <f t="shared" si="1"/>
        <v>Apr</v>
      </c>
      <c r="C20" s="17"/>
      <c r="D20" s="216">
        <v>0</v>
      </c>
      <c r="E20" s="17"/>
      <c r="F20" s="216">
        <v>0</v>
      </c>
      <c r="G20" s="17"/>
      <c r="H20" s="216">
        <v>23.001999999999999</v>
      </c>
      <c r="I20" s="17"/>
      <c r="J20" s="216">
        <v>18.661999999999999</v>
      </c>
      <c r="K20" s="17"/>
      <c r="L20" s="216">
        <v>16.018999999999998</v>
      </c>
      <c r="M20" s="17"/>
      <c r="N20" s="216">
        <v>12.66</v>
      </c>
      <c r="O20" s="17"/>
      <c r="P20" s="216">
        <v>0</v>
      </c>
      <c r="Q20" s="17"/>
      <c r="R20" s="216">
        <v>0</v>
      </c>
      <c r="S20" s="17"/>
      <c r="T20" s="216">
        <v>0</v>
      </c>
      <c r="U20" s="17"/>
      <c r="V20" s="216">
        <v>0</v>
      </c>
      <c r="W20" s="17"/>
      <c r="X20" s="216">
        <v>0</v>
      </c>
      <c r="Y20" s="17"/>
      <c r="Z20" s="660">
        <v>0</v>
      </c>
      <c r="AA20" s="17"/>
      <c r="AB20" s="660">
        <v>0</v>
      </c>
      <c r="AC20" s="17"/>
      <c r="AD20" s="660">
        <v>0</v>
      </c>
      <c r="AF20" s="660">
        <v>0</v>
      </c>
      <c r="AH20" s="660">
        <v>0</v>
      </c>
      <c r="AJ20" s="660">
        <v>0</v>
      </c>
      <c r="AL20" s="660">
        <v>0</v>
      </c>
      <c r="AN20" s="660">
        <v>0</v>
      </c>
      <c r="AO20" s="660"/>
      <c r="AS20" s="660"/>
    </row>
    <row r="21" spans="1:45" ht="12.75">
      <c r="A21" s="17" t="str">
        <f t="shared" si="1"/>
        <v>2Q</v>
      </c>
      <c r="B21" s="17" t="str">
        <f t="shared" si="1"/>
        <v>Jul</v>
      </c>
      <c r="C21" s="17"/>
      <c r="D21" s="59">
        <v>0</v>
      </c>
      <c r="E21" s="17"/>
      <c r="F21" s="59">
        <v>0</v>
      </c>
      <c r="G21" s="17"/>
      <c r="H21" s="59">
        <v>22.228999999999999</v>
      </c>
      <c r="I21" s="17"/>
      <c r="J21" s="59">
        <v>17.399999999999999</v>
      </c>
      <c r="K21" s="17"/>
      <c r="L21" s="59">
        <v>15.1</v>
      </c>
      <c r="M21" s="17"/>
      <c r="N21" s="59">
        <v>11.468999999999999</v>
      </c>
      <c r="O21" s="238"/>
      <c r="P21" s="59">
        <v>0</v>
      </c>
      <c r="Q21" s="238"/>
      <c r="R21" s="59">
        <v>0</v>
      </c>
      <c r="S21" s="238"/>
      <c r="T21" s="59">
        <v>0</v>
      </c>
      <c r="U21" s="238"/>
      <c r="V21" s="59">
        <v>0</v>
      </c>
      <c r="W21" s="238"/>
      <c r="X21" s="59">
        <v>0</v>
      </c>
      <c r="Y21" s="238"/>
      <c r="Z21" s="59">
        <v>0</v>
      </c>
      <c r="AA21" s="238"/>
      <c r="AB21" s="59">
        <v>0</v>
      </c>
      <c r="AC21" s="238"/>
      <c r="AD21" s="59">
        <v>0</v>
      </c>
      <c r="AF21" s="59">
        <v>0</v>
      </c>
      <c r="AH21" s="59">
        <v>0</v>
      </c>
      <c r="AJ21" s="59">
        <v>0</v>
      </c>
      <c r="AL21" s="59">
        <v>0</v>
      </c>
      <c r="AN21" s="59">
        <v>0</v>
      </c>
      <c r="AO21" s="59"/>
      <c r="AS21" s="59"/>
    </row>
    <row r="22" spans="1:45" ht="12.75">
      <c r="A22" s="17" t="str">
        <f t="shared" si="1"/>
        <v>3Q</v>
      </c>
      <c r="B22" s="17" t="str">
        <f t="shared" si="1"/>
        <v>Oct</v>
      </c>
      <c r="C22" s="17"/>
      <c r="D22" s="59">
        <v>0</v>
      </c>
      <c r="E22" s="17"/>
      <c r="F22" s="59">
        <v>0</v>
      </c>
      <c r="G22" s="17"/>
      <c r="H22" s="59">
        <v>20.352</v>
      </c>
      <c r="I22" s="17"/>
      <c r="J22" s="59">
        <v>16.663</v>
      </c>
      <c r="K22" s="17"/>
      <c r="L22" s="59">
        <v>15.212999999999999</v>
      </c>
      <c r="M22" s="17"/>
      <c r="N22" s="59">
        <v>0</v>
      </c>
      <c r="O22" s="17"/>
      <c r="P22" s="59">
        <v>0</v>
      </c>
      <c r="Q22" s="17"/>
      <c r="R22" s="59">
        <v>0</v>
      </c>
      <c r="S22" s="17"/>
      <c r="T22" s="59">
        <v>0</v>
      </c>
      <c r="U22" s="17"/>
      <c r="V22" s="59">
        <v>0</v>
      </c>
      <c r="W22" s="17"/>
      <c r="X22" s="59">
        <v>0</v>
      </c>
      <c r="Y22" s="17"/>
      <c r="Z22" s="59">
        <v>0</v>
      </c>
      <c r="AA22" s="17"/>
      <c r="AB22" s="59">
        <v>0</v>
      </c>
      <c r="AC22" s="17"/>
      <c r="AD22" s="59">
        <v>0</v>
      </c>
      <c r="AF22" s="59">
        <v>0</v>
      </c>
      <c r="AH22" s="59">
        <v>0</v>
      </c>
      <c r="AJ22" s="59">
        <v>0</v>
      </c>
      <c r="AL22" s="59">
        <v>0</v>
      </c>
      <c r="AN22" s="59">
        <v>0</v>
      </c>
      <c r="AO22" s="59"/>
      <c r="AS22" s="59"/>
    </row>
    <row r="23" spans="1:45" ht="12.75">
      <c r="A23" s="17" t="str">
        <f t="shared" si="1"/>
        <v>4Q</v>
      </c>
      <c r="B23" s="17" t="str">
        <f t="shared" si="1"/>
        <v>Jan</v>
      </c>
      <c r="C23" s="17"/>
      <c r="D23" s="59">
        <v>0</v>
      </c>
      <c r="E23" s="17"/>
      <c r="F23" s="59">
        <v>24.888999999999999</v>
      </c>
      <c r="G23" s="17"/>
      <c r="H23" s="59">
        <v>19.361000000000001</v>
      </c>
      <c r="I23" s="17"/>
      <c r="J23" s="59">
        <v>16.356000000000002</v>
      </c>
      <c r="K23" s="17"/>
      <c r="L23" s="59">
        <v>13.874000000000001</v>
      </c>
      <c r="M23" s="17"/>
      <c r="N23" s="59">
        <v>0</v>
      </c>
      <c r="O23" s="17"/>
      <c r="P23" s="59">
        <v>0</v>
      </c>
      <c r="Q23" s="17"/>
      <c r="R23" s="59">
        <v>0</v>
      </c>
      <c r="S23" s="17"/>
      <c r="T23" s="59">
        <v>0</v>
      </c>
      <c r="U23" s="17"/>
      <c r="V23" s="59">
        <v>0</v>
      </c>
      <c r="W23" s="17"/>
      <c r="X23" s="59">
        <v>0</v>
      </c>
      <c r="Y23" s="17"/>
      <c r="Z23" s="59">
        <v>0</v>
      </c>
      <c r="AA23" s="17"/>
      <c r="AB23" s="59">
        <v>0</v>
      </c>
      <c r="AC23" s="17"/>
      <c r="AD23" s="59">
        <v>0</v>
      </c>
      <c r="AF23" s="59">
        <v>0</v>
      </c>
      <c r="AH23" s="59">
        <v>0</v>
      </c>
      <c r="AJ23" s="59">
        <v>0</v>
      </c>
      <c r="AL23" s="59">
        <v>0</v>
      </c>
      <c r="AN23" s="59">
        <v>0</v>
      </c>
      <c r="AO23" s="59"/>
      <c r="AS23" s="59"/>
    </row>
    <row r="24" spans="1:45" ht="12.75">
      <c r="A24" s="17"/>
      <c r="B24" s="17"/>
      <c r="C24" s="17"/>
      <c r="D24" s="17"/>
      <c r="E24" s="17"/>
      <c r="F24" s="17"/>
      <c r="G24" s="17"/>
      <c r="H24" s="17"/>
      <c r="I24" s="17"/>
      <c r="J24" s="17"/>
      <c r="K24" s="17"/>
      <c r="L24" s="17"/>
      <c r="M24" s="17"/>
      <c r="N24" s="17"/>
      <c r="O24" s="17"/>
      <c r="P24" s="17"/>
      <c r="Q24" s="17"/>
      <c r="R24" s="17"/>
      <c r="S24" s="17"/>
      <c r="T24" s="17"/>
      <c r="U24" s="17"/>
      <c r="V24" s="17"/>
      <c r="W24" s="17"/>
      <c r="X24" s="17"/>
      <c r="Y24" s="17"/>
      <c r="Z24" s="17"/>
      <c r="AA24" s="17"/>
      <c r="AB24" s="17"/>
      <c r="AC24" s="17"/>
      <c r="AD24" s="17"/>
    </row>
    <row r="25" spans="1:45" ht="12.75">
      <c r="A25" s="17"/>
      <c r="B25" s="17"/>
      <c r="C25" s="17"/>
      <c r="D25" s="207"/>
      <c r="E25" s="207"/>
      <c r="F25" s="207"/>
      <c r="G25" s="207"/>
      <c r="H25" s="207"/>
      <c r="I25" s="207"/>
      <c r="J25" s="207"/>
      <c r="K25" s="17"/>
      <c r="L25" s="207"/>
      <c r="M25" s="207"/>
      <c r="N25" s="207"/>
      <c r="P25" s="39"/>
      <c r="Q25" s="37"/>
      <c r="R25" s="39"/>
      <c r="S25" s="37"/>
      <c r="T25" s="39"/>
      <c r="U25" s="37"/>
      <c r="V25" s="39"/>
      <c r="W25" s="37"/>
      <c r="Y25" s="37"/>
      <c r="Z25" s="39" t="s">
        <v>201</v>
      </c>
      <c r="AA25" s="37"/>
      <c r="AB25" s="207"/>
      <c r="AC25" s="37"/>
      <c r="AD25" s="207"/>
    </row>
    <row r="26" spans="1:45" ht="12.75">
      <c r="A26" s="17" t="str">
        <f t="shared" ref="A26:B29" si="2">A20</f>
        <v>1Q</v>
      </c>
      <c r="B26" s="17" t="str">
        <f t="shared" si="2"/>
        <v>Apr</v>
      </c>
      <c r="C26" s="17"/>
      <c r="D26" s="217">
        <f>D20+D14</f>
        <v>0</v>
      </c>
      <c r="E26" s="17"/>
      <c r="F26" s="217">
        <f>F14+F20</f>
        <v>0</v>
      </c>
      <c r="G26" s="17"/>
      <c r="H26" s="217">
        <f>H14+H20</f>
        <v>27.190999999999999</v>
      </c>
      <c r="I26" s="17"/>
      <c r="J26" s="217">
        <f>J14+J20</f>
        <v>22.774000000000001</v>
      </c>
      <c r="K26" s="17"/>
      <c r="L26" s="217">
        <f>L14+L20</f>
        <v>20.546999999999997</v>
      </c>
      <c r="M26" s="17"/>
      <c r="N26" s="217">
        <f>N14+N20</f>
        <v>17.492000000000001</v>
      </c>
      <c r="O26" s="17"/>
      <c r="P26" s="217">
        <f>P14+P20</f>
        <v>0</v>
      </c>
      <c r="Q26" s="17"/>
      <c r="R26" s="217">
        <f>R14+R20</f>
        <v>0</v>
      </c>
      <c r="S26" s="17"/>
      <c r="T26" s="217">
        <f>T14+T20</f>
        <v>0</v>
      </c>
      <c r="U26" s="17"/>
      <c r="V26" s="217">
        <f>V14+V20</f>
        <v>75</v>
      </c>
      <c r="W26" s="17"/>
      <c r="X26" s="217">
        <f>X14+X20</f>
        <v>75</v>
      </c>
      <c r="Y26" s="17"/>
      <c r="Z26" s="217">
        <f>Z14+Z20</f>
        <v>17.5</v>
      </c>
      <c r="AA26" s="17"/>
      <c r="AB26" s="217">
        <f>AB14+AB20</f>
        <v>0</v>
      </c>
      <c r="AC26" s="17"/>
      <c r="AD26" s="217">
        <f>AD14+AD20</f>
        <v>0</v>
      </c>
      <c r="AF26" s="217">
        <f>AF14+AF20</f>
        <v>0</v>
      </c>
      <c r="AH26" s="217">
        <f>AH14+AH20</f>
        <v>0</v>
      </c>
      <c r="AJ26" s="217">
        <f>AJ14+AJ20</f>
        <v>0</v>
      </c>
      <c r="AL26" s="217">
        <f>AL14+AL20</f>
        <v>0</v>
      </c>
      <c r="AN26" s="217">
        <f>AN14+AN20</f>
        <v>0</v>
      </c>
      <c r="AO26" s="217"/>
      <c r="AS26" s="217"/>
    </row>
    <row r="27" spans="1:45" ht="12.75">
      <c r="A27" s="17" t="str">
        <f t="shared" si="2"/>
        <v>2Q</v>
      </c>
      <c r="B27" s="17" t="str">
        <f t="shared" si="2"/>
        <v>Jul</v>
      </c>
      <c r="C27" s="17"/>
      <c r="D27" s="25">
        <f>D21+D15</f>
        <v>0</v>
      </c>
      <c r="E27" s="17"/>
      <c r="F27" s="25">
        <f>F21+F15</f>
        <v>0</v>
      </c>
      <c r="G27" s="17"/>
      <c r="H27" s="25">
        <f>H21+H15</f>
        <v>26.433</v>
      </c>
      <c r="I27" s="17"/>
      <c r="J27" s="25">
        <f>J21+J15</f>
        <v>26.18</v>
      </c>
      <c r="K27" s="17"/>
      <c r="L27" s="25">
        <f>L21+L15</f>
        <v>19.692999999999998</v>
      </c>
      <c r="M27" s="17"/>
      <c r="N27" s="25">
        <f>N21+N15</f>
        <v>16.300999999999998</v>
      </c>
      <c r="O27" s="17"/>
      <c r="P27" s="25">
        <f>P21+P15</f>
        <v>0</v>
      </c>
      <c r="Q27" s="17"/>
      <c r="R27" s="25">
        <f>R21+R15</f>
        <v>0</v>
      </c>
      <c r="S27" s="17"/>
      <c r="T27" s="25">
        <f>T21+T15</f>
        <v>0</v>
      </c>
      <c r="U27" s="17"/>
      <c r="V27" s="25">
        <f>V21+V15</f>
        <v>75</v>
      </c>
      <c r="W27" s="17"/>
      <c r="X27" s="25">
        <f>X21+X15</f>
        <v>75</v>
      </c>
      <c r="Y27" s="17"/>
      <c r="Z27" s="25">
        <f>Z21+Z15</f>
        <v>0</v>
      </c>
      <c r="AA27" s="17"/>
      <c r="AB27" s="25">
        <f>AB21+AB15</f>
        <v>0</v>
      </c>
      <c r="AC27" s="17"/>
      <c r="AD27" s="25">
        <f>AD21+AD15</f>
        <v>0</v>
      </c>
      <c r="AF27" s="25">
        <f>AF21+AF15</f>
        <v>0</v>
      </c>
      <c r="AH27" s="25">
        <f>AH21+AH15</f>
        <v>0</v>
      </c>
      <c r="AJ27" s="25">
        <f>AJ21+AJ15</f>
        <v>0</v>
      </c>
      <c r="AL27" s="25">
        <f>AL21+AL15</f>
        <v>0</v>
      </c>
      <c r="AN27" s="25">
        <f>AN21+AN15</f>
        <v>0</v>
      </c>
      <c r="AO27" s="25"/>
      <c r="AS27" s="25"/>
    </row>
    <row r="28" spans="1:45" ht="12.75">
      <c r="A28" s="17" t="str">
        <f t="shared" si="2"/>
        <v>3Q</v>
      </c>
      <c r="B28" s="17" t="str">
        <f t="shared" si="2"/>
        <v>Oct</v>
      </c>
      <c r="C28" s="17"/>
      <c r="D28" s="25">
        <f>D22+D16</f>
        <v>0</v>
      </c>
      <c r="E28" s="17"/>
      <c r="F28" s="25">
        <f>F22+F16</f>
        <v>0</v>
      </c>
      <c r="G28" s="17"/>
      <c r="H28" s="25">
        <f>H22+H16</f>
        <v>24.391999999999999</v>
      </c>
      <c r="I28" s="17"/>
      <c r="J28" s="25">
        <f>J22+J16</f>
        <v>25.591999999999999</v>
      </c>
      <c r="K28" s="17"/>
      <c r="L28" s="25">
        <f>L22+L16</f>
        <v>20.087</v>
      </c>
      <c r="M28" s="17"/>
      <c r="N28" s="25">
        <f>N22+N16</f>
        <v>0</v>
      </c>
      <c r="O28" s="65"/>
      <c r="P28" s="25">
        <f>P22+P16</f>
        <v>0</v>
      </c>
      <c r="Q28" s="65"/>
      <c r="R28" s="25">
        <f>R22+R16</f>
        <v>0</v>
      </c>
      <c r="S28" s="65"/>
      <c r="T28" s="25">
        <f>T22+T16</f>
        <v>0</v>
      </c>
      <c r="U28" s="65"/>
      <c r="V28" s="25">
        <f>V22+V16</f>
        <v>75</v>
      </c>
      <c r="W28" s="65"/>
      <c r="X28" s="25">
        <f>X22+X16</f>
        <v>50</v>
      </c>
      <c r="Y28" s="65"/>
      <c r="Z28" s="25">
        <f>Z22+Z16</f>
        <v>0</v>
      </c>
      <c r="AA28" s="65"/>
      <c r="AB28" s="25">
        <f>AB22+AB16</f>
        <v>0</v>
      </c>
      <c r="AC28" s="65"/>
      <c r="AD28" s="25">
        <f>AD22+AD16</f>
        <v>0</v>
      </c>
      <c r="AF28" s="25">
        <f>AF22+AF16</f>
        <v>0</v>
      </c>
      <c r="AH28" s="25">
        <f>AH22+AH16</f>
        <v>0</v>
      </c>
      <c r="AJ28" s="25">
        <f>AJ22+AJ16</f>
        <v>0</v>
      </c>
      <c r="AL28" s="25">
        <f>AL22+AL16</f>
        <v>0</v>
      </c>
      <c r="AN28" s="25">
        <f>AN22+AN16</f>
        <v>0</v>
      </c>
      <c r="AO28" s="25"/>
      <c r="AS28" s="25"/>
    </row>
    <row r="29" spans="1:45" ht="12.75">
      <c r="A29" s="17" t="str">
        <f t="shared" si="2"/>
        <v>4Q</v>
      </c>
      <c r="B29" s="17" t="str">
        <f t="shared" si="2"/>
        <v>Jan</v>
      </c>
      <c r="C29" s="17"/>
      <c r="D29" s="25">
        <f>D23+D17</f>
        <v>0</v>
      </c>
      <c r="E29" s="17"/>
      <c r="F29" s="25">
        <f>F23+F17</f>
        <v>24.888999999999999</v>
      </c>
      <c r="G29" s="17"/>
      <c r="H29" s="25">
        <f>H23+H17</f>
        <v>23.405000000000001</v>
      </c>
      <c r="I29" s="17"/>
      <c r="J29" s="25">
        <f>J23+J17</f>
        <v>20.581000000000003</v>
      </c>
      <c r="K29" s="17"/>
      <c r="L29" s="25">
        <f>L23+L17</f>
        <v>18.706</v>
      </c>
      <c r="M29" s="17"/>
      <c r="N29" s="25">
        <f>N23+N17</f>
        <v>0</v>
      </c>
      <c r="O29" s="17"/>
      <c r="P29" s="25">
        <f>P23+P17</f>
        <v>0</v>
      </c>
      <c r="Q29" s="17"/>
      <c r="R29" s="25">
        <f>R23+R17</f>
        <v>0</v>
      </c>
      <c r="S29" s="17"/>
      <c r="T29" s="25">
        <f>T23+T17</f>
        <v>0</v>
      </c>
      <c r="U29" s="17"/>
      <c r="V29" s="25">
        <f>V23+V17</f>
        <v>75</v>
      </c>
      <c r="W29" s="17"/>
      <c r="X29" s="25">
        <f>X23+X17</f>
        <v>30</v>
      </c>
      <c r="Y29" s="17"/>
      <c r="Z29" s="25">
        <f>Z23+Z17</f>
        <v>0</v>
      </c>
      <c r="AA29" s="17"/>
      <c r="AB29" s="25">
        <f>AB23+AB17</f>
        <v>0</v>
      </c>
      <c r="AC29" s="17"/>
      <c r="AD29" s="25">
        <f>AD23+AD17</f>
        <v>0</v>
      </c>
      <c r="AF29" s="25">
        <f>AF23+AF17</f>
        <v>0</v>
      </c>
      <c r="AH29" s="25">
        <f>AH23+AH17</f>
        <v>0</v>
      </c>
      <c r="AJ29" s="25">
        <f>AJ23+AJ17</f>
        <v>0</v>
      </c>
      <c r="AL29" s="25">
        <f>AL23+AL17</f>
        <v>0</v>
      </c>
      <c r="AN29" s="25">
        <f>AN23+AN17</f>
        <v>0</v>
      </c>
      <c r="AO29" s="25"/>
      <c r="AS29" s="25"/>
    </row>
    <row r="30" spans="1:45" ht="12.75">
      <c r="A30" s="17"/>
      <c r="B30" s="17"/>
      <c r="C30" s="17"/>
      <c r="D30" s="17"/>
      <c r="E30" s="17"/>
      <c r="F30" s="17"/>
      <c r="G30" s="17"/>
      <c r="H30" s="17"/>
      <c r="I30" s="17"/>
      <c r="J30" s="17"/>
      <c r="K30" s="17"/>
      <c r="L30" s="17"/>
      <c r="M30" s="17"/>
      <c r="N30" s="17"/>
      <c r="O30" s="17"/>
      <c r="P30" s="17"/>
      <c r="Q30" s="17"/>
      <c r="R30" s="17"/>
      <c r="S30" s="17"/>
      <c r="T30" s="17"/>
      <c r="U30" s="17"/>
      <c r="V30" s="17"/>
      <c r="W30" s="17"/>
      <c r="X30" s="17"/>
      <c r="Y30" s="17"/>
      <c r="Z30" s="17"/>
      <c r="AA30" s="17"/>
      <c r="AB30" s="17"/>
      <c r="AC30" s="17"/>
      <c r="AD30" s="17"/>
    </row>
    <row r="31" spans="1:45" ht="12.75">
      <c r="A31" s="17"/>
      <c r="B31" s="17"/>
      <c r="C31" s="17"/>
      <c r="D31" s="207"/>
      <c r="E31" s="207"/>
      <c r="F31" s="207"/>
      <c r="G31" s="207"/>
      <c r="H31" s="207"/>
      <c r="I31" s="207"/>
      <c r="J31" s="207"/>
      <c r="K31" s="17"/>
      <c r="L31" s="207"/>
      <c r="M31" s="207"/>
      <c r="N31" s="207"/>
      <c r="P31" s="39"/>
      <c r="Q31" s="37"/>
      <c r="R31" s="39"/>
      <c r="S31" s="37"/>
      <c r="T31" s="39"/>
      <c r="U31" s="37"/>
      <c r="V31" s="39"/>
      <c r="W31" s="37"/>
      <c r="X31" s="837"/>
      <c r="Y31" s="39" t="s">
        <v>202</v>
      </c>
      <c r="Z31" s="837"/>
      <c r="AA31" s="37"/>
      <c r="AB31" s="653"/>
      <c r="AC31" s="37"/>
      <c r="AD31" s="653"/>
    </row>
    <row r="32" spans="1:45" ht="12.75">
      <c r="A32" s="17" t="str">
        <f t="shared" ref="A32:B35" si="3">A26</f>
        <v>1Q</v>
      </c>
      <c r="B32" s="17" t="str">
        <f t="shared" si="3"/>
        <v>Apr</v>
      </c>
      <c r="C32" s="17"/>
      <c r="D32" s="66">
        <f>D26-D8</f>
        <v>-75.025999999999996</v>
      </c>
      <c r="E32" s="17"/>
      <c r="F32" s="66">
        <f>F26-F8</f>
        <v>-97.967999999999989</v>
      </c>
      <c r="G32" s="17"/>
      <c r="H32" s="66">
        <f>H26-H8</f>
        <v>-96.818999999999988</v>
      </c>
      <c r="I32" s="17"/>
      <c r="J32" s="66">
        <f>J26-J8</f>
        <v>-159.65700000000001</v>
      </c>
      <c r="K32" s="17"/>
      <c r="L32" s="66">
        <f>L26-L8</f>
        <v>-193.47400000000002</v>
      </c>
      <c r="M32" s="17"/>
      <c r="N32" s="66">
        <f>N26-N8</f>
        <v>-308.77599999999995</v>
      </c>
      <c r="O32" s="17"/>
      <c r="P32" s="66">
        <f>P26-P8</f>
        <v>-561.29700000000003</v>
      </c>
      <c r="Q32" s="17"/>
      <c r="R32" s="66">
        <f>R26-R8</f>
        <v>-771.36800000000005</v>
      </c>
      <c r="S32" s="17"/>
      <c r="T32" s="66">
        <f>T26-T8</f>
        <v>-658.71699999999998</v>
      </c>
      <c r="U32" s="17"/>
      <c r="V32" s="66">
        <f>V26-V8</f>
        <v>-294.43299999999999</v>
      </c>
      <c r="W32" s="17"/>
      <c r="X32" s="66">
        <f>X26-X8</f>
        <v>-374.33199999999999</v>
      </c>
      <c r="Y32" s="17"/>
      <c r="Z32" s="66">
        <f>Z26-Z8</f>
        <v>-526.76400000000001</v>
      </c>
      <c r="AA32" s="17"/>
      <c r="AB32" s="66">
        <f>AB26-AB8</f>
        <v>-605.18100000000004</v>
      </c>
      <c r="AC32" s="17"/>
      <c r="AD32" s="66">
        <f>AD26-AD8</f>
        <v>-722.03</v>
      </c>
      <c r="AF32" s="66">
        <f>AF26-AF8</f>
        <v>-496.21600000000001</v>
      </c>
      <c r="AH32" s="66">
        <f>AH26-AH8</f>
        <v>-327.69900000000001</v>
      </c>
      <c r="AJ32" s="66">
        <f>AJ26-AJ8</f>
        <v>-326.90699999999998</v>
      </c>
      <c r="AL32" s="66">
        <f>AL26-AL8</f>
        <v>-238.976</v>
      </c>
      <c r="AN32" s="66">
        <f>AN26-AN8</f>
        <v>-225.197</v>
      </c>
      <c r="AO32" s="66"/>
      <c r="AS32" s="66"/>
    </row>
    <row r="33" spans="1:45" ht="12.75">
      <c r="A33" s="17" t="str">
        <f t="shared" si="3"/>
        <v>2Q</v>
      </c>
      <c r="B33" s="17" t="str">
        <f t="shared" si="3"/>
        <v>Jul</v>
      </c>
      <c r="C33" s="17"/>
      <c r="D33" s="25">
        <f>D27-D9</f>
        <v>-70.896000000000001</v>
      </c>
      <c r="E33" s="17"/>
      <c r="F33" s="25">
        <f>F27-F9</f>
        <v>-66.254999999999995</v>
      </c>
      <c r="G33" s="17"/>
      <c r="H33" s="25">
        <f>H27-H9</f>
        <v>-49.064000000000014</v>
      </c>
      <c r="I33" s="17"/>
      <c r="J33" s="25">
        <f>J27-J9</f>
        <v>-150.822</v>
      </c>
      <c r="K33" s="17"/>
      <c r="L33" s="25">
        <f>L27-L9</f>
        <v>-189.27300000000002</v>
      </c>
      <c r="M33" s="17"/>
      <c r="N33" s="25">
        <f>N27-N9</f>
        <v>-316.31</v>
      </c>
      <c r="O33" s="17"/>
      <c r="P33" s="25">
        <f>P27-P9</f>
        <v>-625.17399999999998</v>
      </c>
      <c r="Q33" s="17"/>
      <c r="R33" s="25">
        <f>R27-R9</f>
        <v>-814.09</v>
      </c>
      <c r="S33" s="17"/>
      <c r="T33" s="25">
        <f>T27-T9</f>
        <v>-634.60500000000002</v>
      </c>
      <c r="U33" s="17"/>
      <c r="V33" s="25">
        <f>V27-V9</f>
        <v>-305.32599999999996</v>
      </c>
      <c r="W33" s="17"/>
      <c r="X33" s="25">
        <f>X27-X9</f>
        <v>-454.78800000000001</v>
      </c>
      <c r="Y33" s="17"/>
      <c r="Z33" s="25">
        <f>Z27-Z9</f>
        <v>-431.32300000000004</v>
      </c>
      <c r="AA33" s="17"/>
      <c r="AB33" s="25">
        <f>AB27-AB9</f>
        <v>-513.99599999999998</v>
      </c>
      <c r="AC33" s="17"/>
      <c r="AD33" s="25">
        <f>AD27-AD9</f>
        <v>-702.072</v>
      </c>
      <c r="AF33" s="25">
        <f>AF27-AF9</f>
        <v>-404.86599999999999</v>
      </c>
      <c r="AH33" s="66">
        <f>AH27-AH9</f>
        <v>-262.62799999999999</v>
      </c>
      <c r="AJ33" s="66">
        <f>AJ27-AJ9</f>
        <v>-327.29000000000002</v>
      </c>
      <c r="AL33" s="66">
        <f>AL27-AL9</f>
        <v>-247.934</v>
      </c>
      <c r="AN33" s="66">
        <f>AN27-AN9</f>
        <v>-192.55799999999999</v>
      </c>
      <c r="AO33" s="66"/>
      <c r="AS33" s="66"/>
    </row>
    <row r="34" spans="1:45" ht="12.75">
      <c r="A34" s="17" t="str">
        <f t="shared" si="3"/>
        <v>3Q</v>
      </c>
      <c r="B34" s="17" t="str">
        <f t="shared" si="3"/>
        <v>Oct</v>
      </c>
      <c r="C34" s="17"/>
      <c r="D34" s="25">
        <f>D28-D10</f>
        <v>-115.854</v>
      </c>
      <c r="E34" s="17"/>
      <c r="F34" s="25">
        <f>F28-F10</f>
        <v>-70.959000000000003</v>
      </c>
      <c r="G34" s="17"/>
      <c r="H34" s="25">
        <f>H28-H10</f>
        <v>-60.411999999999992</v>
      </c>
      <c r="I34" s="17"/>
      <c r="J34" s="25">
        <f>J28-J10</f>
        <v>-147.38</v>
      </c>
      <c r="K34" s="17"/>
      <c r="L34" s="25">
        <f>L28-L10</f>
        <v>-185.99100000000001</v>
      </c>
      <c r="M34" s="17"/>
      <c r="N34" s="25">
        <f>N28-N10</f>
        <v>-384.64</v>
      </c>
      <c r="O34" s="17"/>
      <c r="P34" s="25">
        <f>P28-P10</f>
        <v>-556.375</v>
      </c>
      <c r="Q34" s="17"/>
      <c r="R34" s="25">
        <f>R28-R10</f>
        <v>-757.92700000000002</v>
      </c>
      <c r="S34" s="17"/>
      <c r="T34" s="25">
        <f>T28-T10</f>
        <v>-640.78199999999993</v>
      </c>
      <c r="U34" s="17"/>
      <c r="V34" s="25">
        <f>V28-V10</f>
        <v>-268.93700000000001</v>
      </c>
      <c r="W34" s="17"/>
      <c r="X34" s="25">
        <f>X28-X10</f>
        <v>-465.90299999999991</v>
      </c>
      <c r="Y34" s="17"/>
      <c r="Z34" s="25">
        <f>Z28-Z10</f>
        <v>-634.47500000000002</v>
      </c>
      <c r="AA34" s="17"/>
      <c r="AB34" s="25">
        <f>AB28-AB10</f>
        <v>-481.32</v>
      </c>
      <c r="AC34" s="17"/>
      <c r="AD34" s="25">
        <f>AD28-AD10</f>
        <v>-544.68299999999999</v>
      </c>
      <c r="AF34" s="25">
        <f>AF28-AF10</f>
        <v>-357.214</v>
      </c>
      <c r="AH34" s="66">
        <f>AH28-AH10</f>
        <v>-280.44499999999999</v>
      </c>
      <c r="AJ34" s="66">
        <f>AJ28-AJ10</f>
        <v>-363.11599999999999</v>
      </c>
      <c r="AL34" s="66">
        <f>AL28-AL10</f>
        <v>-291.66699999999997</v>
      </c>
      <c r="AN34" s="66">
        <f>AN28-AN10</f>
        <v>-257.52699999999999</v>
      </c>
      <c r="AO34" s="66"/>
      <c r="AS34" s="66"/>
    </row>
    <row r="35" spans="1:45" ht="12.75">
      <c r="A35" s="17" t="str">
        <f t="shared" si="3"/>
        <v>4Q</v>
      </c>
      <c r="B35" s="17" t="str">
        <f t="shared" si="3"/>
        <v>Jan</v>
      </c>
      <c r="C35" s="17"/>
      <c r="D35" s="25">
        <f>D29-D11</f>
        <v>-91.911000000000001</v>
      </c>
      <c r="E35" s="17"/>
      <c r="F35" s="25">
        <f>F29-F11</f>
        <v>-136.48399999999998</v>
      </c>
      <c r="G35" s="17"/>
      <c r="H35" s="25">
        <f>H29-H11</f>
        <v>-202.078</v>
      </c>
      <c r="I35" s="17"/>
      <c r="J35" s="25">
        <f>J29-J11</f>
        <v>-220.99200000000002</v>
      </c>
      <c r="K35" s="17"/>
      <c r="L35" s="25">
        <f>L29-L11</f>
        <v>-319.10599999999999</v>
      </c>
      <c r="M35" s="17"/>
      <c r="N35" s="25">
        <f>N29-N11</f>
        <v>-589.60699999999997</v>
      </c>
      <c r="O35" s="17"/>
      <c r="P35" s="25">
        <f>P29-P11</f>
        <v>-751.51800000000003</v>
      </c>
      <c r="Q35" s="17"/>
      <c r="R35" s="25">
        <f>R29-R11</f>
        <v>-827.11299999999994</v>
      </c>
      <c r="S35" s="17"/>
      <c r="T35" s="25">
        <f>T29-T11</f>
        <v>-619.93899999999996</v>
      </c>
      <c r="U35" s="17"/>
      <c r="V35" s="25">
        <f>V29-V11</f>
        <v>-408.85199999999998</v>
      </c>
      <c r="W35" s="17"/>
      <c r="X35" s="25">
        <f>X29-X11</f>
        <v>-668.63499999999999</v>
      </c>
      <c r="Y35" s="17"/>
      <c r="Z35" s="25">
        <f>Z29-Z11</f>
        <v>-734.69499999999994</v>
      </c>
      <c r="AA35" s="17"/>
      <c r="AB35" s="25">
        <f>AB29-AB11</f>
        <v>-745.04399999999998</v>
      </c>
      <c r="AC35" s="17"/>
      <c r="AD35" s="25">
        <f>AD29-AD11</f>
        <v>-630.99200000000008</v>
      </c>
      <c r="AF35" s="25">
        <f>AF29-AF11</f>
        <v>-428.935</v>
      </c>
      <c r="AH35" s="66">
        <f>AH29-AH11</f>
        <v>-410.697</v>
      </c>
      <c r="AJ35" s="66">
        <f>AJ29-AJ11</f>
        <v>-260.06700000000001</v>
      </c>
      <c r="AL35" s="66">
        <f>AL29-AL11</f>
        <v>-378.613</v>
      </c>
      <c r="AN35" s="66">
        <f>AN29-AN11</f>
        <v>-413.613</v>
      </c>
      <c r="AO35" s="66"/>
      <c r="AS35" s="66"/>
    </row>
    <row r="36" spans="1:45" ht="12.75">
      <c r="A36" s="17"/>
      <c r="B36" s="17"/>
      <c r="C36" s="17"/>
      <c r="D36" s="17"/>
      <c r="E36" s="17"/>
      <c r="F36" s="17"/>
      <c r="G36" s="17"/>
      <c r="H36" s="17"/>
      <c r="I36" s="17"/>
      <c r="J36" s="17"/>
      <c r="K36" s="17"/>
      <c r="L36" s="17"/>
      <c r="M36" s="17"/>
      <c r="N36" s="17"/>
      <c r="O36" s="17"/>
      <c r="P36" s="17"/>
      <c r="Q36" s="17"/>
      <c r="R36" s="17"/>
      <c r="S36" s="17"/>
      <c r="T36" s="17"/>
      <c r="U36" s="17"/>
      <c r="V36" s="644"/>
      <c r="W36" s="17"/>
      <c r="X36" s="644"/>
      <c r="Y36" s="17"/>
      <c r="Z36" s="644"/>
      <c r="AA36" s="17"/>
      <c r="AB36" s="644"/>
      <c r="AC36" s="17"/>
      <c r="AD36" s="644"/>
    </row>
    <row r="37" spans="1:45" ht="12.75">
      <c r="A37" s="17"/>
      <c r="B37" s="17"/>
      <c r="C37" s="17"/>
      <c r="D37" s="215"/>
      <c r="E37" s="215"/>
      <c r="F37" s="215"/>
      <c r="G37" s="215"/>
      <c r="H37" s="215"/>
      <c r="I37" s="215"/>
      <c r="J37" s="215"/>
      <c r="K37" s="17"/>
      <c r="L37" s="215"/>
      <c r="M37" s="215"/>
      <c r="N37" s="215"/>
      <c r="P37" s="834"/>
      <c r="Q37" s="37"/>
      <c r="R37" s="834"/>
      <c r="S37" s="37"/>
      <c r="T37" s="834"/>
      <c r="U37" s="37"/>
      <c r="V37" s="834"/>
      <c r="W37" s="37"/>
      <c r="X37" s="834" t="s">
        <v>203</v>
      </c>
      <c r="Y37" s="37"/>
      <c r="Z37" s="834"/>
      <c r="AA37" s="37"/>
      <c r="AB37" s="215"/>
      <c r="AC37" s="37"/>
      <c r="AD37" s="215"/>
    </row>
    <row r="38" spans="1:45" ht="12.75">
      <c r="A38" s="17" t="str">
        <f t="shared" ref="A38:B41" si="4">A32</f>
        <v>1Q</v>
      </c>
      <c r="B38" s="17" t="str">
        <f t="shared" si="4"/>
        <v>Apr</v>
      </c>
      <c r="C38" s="17"/>
      <c r="D38" s="216">
        <v>171.12899999999999</v>
      </c>
      <c r="E38" s="17"/>
      <c r="F38" s="216">
        <v>273.62900000000002</v>
      </c>
      <c r="G38" s="17"/>
      <c r="H38" s="216">
        <v>395.01100000000002</v>
      </c>
      <c r="I38" s="17"/>
      <c r="J38" s="216">
        <v>517.49900000000002</v>
      </c>
      <c r="K38" s="17"/>
      <c r="L38" s="216">
        <v>586.04600000000005</v>
      </c>
      <c r="M38" s="17"/>
      <c r="N38" s="216">
        <v>675.15800000000002</v>
      </c>
      <c r="O38" s="17"/>
      <c r="P38" s="216">
        <v>1058.895</v>
      </c>
      <c r="Q38" s="17"/>
      <c r="R38" s="216">
        <v>1223.0989999999999</v>
      </c>
      <c r="S38" s="17"/>
      <c r="T38" s="216">
        <v>1396.1</v>
      </c>
      <c r="U38" s="17"/>
      <c r="V38" s="216">
        <v>1364.47</v>
      </c>
      <c r="W38" s="17"/>
      <c r="X38" s="216">
        <v>1433.47</v>
      </c>
      <c r="Y38" s="17"/>
      <c r="Z38" s="660">
        <v>1506.357</v>
      </c>
      <c r="AA38" s="17"/>
      <c r="AB38" s="660">
        <v>1366.4639999999999</v>
      </c>
      <c r="AC38" s="17"/>
      <c r="AD38" s="660">
        <v>1470.5309999999999</v>
      </c>
      <c r="AF38" s="660">
        <v>1207.124</v>
      </c>
      <c r="AH38" s="660">
        <v>1149.1579999999999</v>
      </c>
      <c r="AJ38" s="660">
        <v>1145.405</v>
      </c>
      <c r="AL38" s="660">
        <v>1077.308</v>
      </c>
      <c r="AN38" s="660">
        <v>1117.873</v>
      </c>
      <c r="AO38" s="660"/>
      <c r="AS38" s="660"/>
    </row>
    <row r="39" spans="1:45" ht="12.75">
      <c r="A39" s="17" t="str">
        <f t="shared" si="4"/>
        <v>2Q</v>
      </c>
      <c r="B39" s="17" t="str">
        <f t="shared" si="4"/>
        <v>Jul</v>
      </c>
      <c r="C39" s="17"/>
      <c r="D39" s="59">
        <v>193.4</v>
      </c>
      <c r="E39" s="17"/>
      <c r="F39" s="59">
        <v>262.02199999999999</v>
      </c>
      <c r="G39" s="17"/>
      <c r="H39" s="59">
        <v>425.11</v>
      </c>
      <c r="I39" s="17"/>
      <c r="J39" s="59">
        <v>524.02099999999996</v>
      </c>
      <c r="K39" s="17"/>
      <c r="L39" s="59">
        <v>595.83000000000004</v>
      </c>
      <c r="M39" s="17"/>
      <c r="N39" s="59">
        <v>736.27599999999995</v>
      </c>
      <c r="O39" s="17"/>
      <c r="P39" s="59">
        <v>1136.252</v>
      </c>
      <c r="Q39" s="17"/>
      <c r="R39" s="59">
        <v>1293.3879999999999</v>
      </c>
      <c r="S39" s="17"/>
      <c r="T39" s="59">
        <v>1374.838</v>
      </c>
      <c r="U39" s="17"/>
      <c r="V39" s="59">
        <v>1405.317</v>
      </c>
      <c r="W39" s="17"/>
      <c r="X39" s="59">
        <v>1469.857</v>
      </c>
      <c r="Y39" s="17"/>
      <c r="Z39" s="59">
        <v>1377.99</v>
      </c>
      <c r="AA39" s="17"/>
      <c r="AB39" s="59">
        <v>1366.9870000000001</v>
      </c>
      <c r="AC39" s="17"/>
      <c r="AD39" s="59">
        <v>1478.414</v>
      </c>
      <c r="AF39" s="59">
        <v>1478.414</v>
      </c>
      <c r="AH39" s="59">
        <v>1133.847</v>
      </c>
      <c r="AJ39" s="59">
        <v>1165.6780000000001</v>
      </c>
      <c r="AL39" s="59">
        <v>1100.3969999999999</v>
      </c>
      <c r="AN39" s="59">
        <v>1124.299</v>
      </c>
      <c r="AO39" s="59"/>
      <c r="AS39" s="59"/>
    </row>
    <row r="40" spans="1:45" ht="12.75">
      <c r="A40" s="17" t="str">
        <f t="shared" si="4"/>
        <v>3Q</v>
      </c>
      <c r="B40" s="17" t="str">
        <f t="shared" si="4"/>
        <v>Oct</v>
      </c>
      <c r="C40" s="17"/>
      <c r="D40" s="59">
        <v>222.84800000000001</v>
      </c>
      <c r="E40" s="17"/>
      <c r="F40" s="59">
        <v>295.04399999999998</v>
      </c>
      <c r="G40" s="17"/>
      <c r="H40" s="59">
        <v>451.904</v>
      </c>
      <c r="I40" s="17"/>
      <c r="J40" s="59">
        <v>539.54300000000001</v>
      </c>
      <c r="K40" s="17"/>
      <c r="L40" s="59">
        <v>608.51099999999997</v>
      </c>
      <c r="M40" s="17"/>
      <c r="N40" s="59">
        <v>840.44299999999998</v>
      </c>
      <c r="O40" s="17"/>
      <c r="P40" s="59">
        <v>1069.702</v>
      </c>
      <c r="Q40" s="17"/>
      <c r="R40" s="59">
        <v>1332.787</v>
      </c>
      <c r="S40" s="17"/>
      <c r="T40" s="59">
        <v>1414.924</v>
      </c>
      <c r="U40" s="17"/>
      <c r="V40" s="59">
        <v>1384.8040000000001</v>
      </c>
      <c r="W40" s="17"/>
      <c r="X40" s="59">
        <v>1523.3050000000001</v>
      </c>
      <c r="Y40" s="17"/>
      <c r="Z40" s="59">
        <v>1401.2840000000001</v>
      </c>
      <c r="AA40" s="59"/>
      <c r="AB40" s="59">
        <v>1382.5419999999999</v>
      </c>
      <c r="AC40" s="59"/>
      <c r="AD40" s="59">
        <v>1283.5709999999999</v>
      </c>
      <c r="AF40" s="59">
        <v>1192.7090000000001</v>
      </c>
      <c r="AH40" s="59">
        <v>1120.2470000000001</v>
      </c>
      <c r="AJ40" s="59">
        <v>1209.2729999999999</v>
      </c>
      <c r="AL40" s="59">
        <v>1171.96</v>
      </c>
      <c r="AN40" s="59">
        <v>1163.1990000000001</v>
      </c>
      <c r="AO40" s="59"/>
      <c r="AS40" s="59"/>
    </row>
    <row r="41" spans="1:45" ht="12.75">
      <c r="A41" s="17" t="str">
        <f t="shared" si="4"/>
        <v>4Q</v>
      </c>
      <c r="B41" s="17" t="str">
        <f t="shared" si="4"/>
        <v>Jan</v>
      </c>
      <c r="C41" s="17"/>
      <c r="D41" s="25">
        <f>bal!M42</f>
        <v>264.50099999999998</v>
      </c>
      <c r="E41" s="17"/>
      <c r="F41" s="25">
        <v>367.69499999999999</v>
      </c>
      <c r="G41" s="17"/>
      <c r="H41" s="59">
        <v>502.05200000000002</v>
      </c>
      <c r="I41" s="17"/>
      <c r="J41" s="59">
        <v>577.48199999999997</v>
      </c>
      <c r="K41" s="17"/>
      <c r="L41" s="59">
        <v>643.66999999999996</v>
      </c>
      <c r="M41" s="17"/>
      <c r="N41" s="59">
        <v>963.48599999999999</v>
      </c>
      <c r="O41" s="17"/>
      <c r="P41" s="59">
        <v>1155.5519999999999</v>
      </c>
      <c r="Q41" s="17"/>
      <c r="R41" s="59">
        <v>1417.3119999999999</v>
      </c>
      <c r="S41" s="17"/>
      <c r="T41" s="59">
        <v>1340.4639999999999</v>
      </c>
      <c r="U41" s="17"/>
      <c r="V41" s="59">
        <v>1409.0309999999999</v>
      </c>
      <c r="W41" s="17"/>
      <c r="X41" s="59">
        <v>1578.5170000000001</v>
      </c>
      <c r="Y41" s="17"/>
      <c r="Z41" s="59">
        <v>1351.0709999999999</v>
      </c>
      <c r="AA41" s="17"/>
      <c r="AB41" s="59">
        <v>1416.8510000000001</v>
      </c>
      <c r="AC41" s="17"/>
      <c r="AD41" s="59">
        <v>1221.1869999999999</v>
      </c>
      <c r="AF41" s="59">
        <v>1166.1780000000001</v>
      </c>
      <c r="AH41" s="59">
        <v>1139.7460000000001</v>
      </c>
      <c r="AJ41" s="59">
        <v>1051.376</v>
      </c>
      <c r="AL41" s="59">
        <v>1204.569</v>
      </c>
      <c r="AN41" s="59">
        <v>1246.7909999999999</v>
      </c>
      <c r="AO41" s="59"/>
      <c r="AS41" s="59"/>
    </row>
    <row r="42" spans="1:45" ht="12.75">
      <c r="A42" s="17"/>
      <c r="B42" s="17"/>
      <c r="C42" s="17"/>
      <c r="D42" s="17"/>
      <c r="E42" s="17"/>
      <c r="F42" s="17"/>
      <c r="G42" s="17"/>
      <c r="H42" s="17"/>
      <c r="I42" s="17"/>
      <c r="J42" s="17"/>
      <c r="K42" s="17"/>
      <c r="L42" s="17"/>
      <c r="M42" s="17"/>
      <c r="N42" s="17"/>
      <c r="O42" s="17"/>
      <c r="P42" s="17"/>
      <c r="Q42" s="17"/>
      <c r="R42" s="17"/>
      <c r="S42" s="17"/>
      <c r="T42" s="17"/>
      <c r="U42" s="17"/>
      <c r="V42" s="17"/>
      <c r="W42" s="17"/>
      <c r="X42" s="17"/>
      <c r="Y42" s="17"/>
      <c r="Z42" s="17"/>
      <c r="AA42" s="17"/>
      <c r="AB42" s="17"/>
      <c r="AC42" s="17"/>
      <c r="AD42" s="17"/>
    </row>
    <row r="43" spans="1:45" ht="12.75">
      <c r="A43" s="17"/>
      <c r="B43" s="17"/>
      <c r="C43" s="17"/>
      <c r="D43" s="207"/>
      <c r="E43" s="207"/>
      <c r="F43" s="207"/>
      <c r="G43" s="207"/>
      <c r="H43" s="207"/>
      <c r="I43" s="207"/>
      <c r="J43" s="207"/>
      <c r="K43" s="17"/>
      <c r="L43" s="207"/>
      <c r="M43" s="207"/>
      <c r="N43" s="207"/>
      <c r="P43" s="39"/>
      <c r="Q43" s="37"/>
      <c r="R43" s="39"/>
      <c r="S43" s="37"/>
      <c r="T43" s="39"/>
      <c r="U43" s="37"/>
      <c r="V43" s="39"/>
      <c r="W43" s="37"/>
      <c r="X43" s="39" t="s">
        <v>204</v>
      </c>
      <c r="Y43" s="37"/>
      <c r="Z43" s="39"/>
      <c r="AA43" s="37"/>
      <c r="AB43" s="207"/>
      <c r="AC43" s="37"/>
      <c r="AD43" s="207"/>
    </row>
    <row r="44" spans="1:45" ht="12.75">
      <c r="A44" s="17" t="str">
        <f t="shared" ref="A44:B47" si="5">A38</f>
        <v>1Q</v>
      </c>
      <c r="B44" s="17" t="str">
        <f t="shared" si="5"/>
        <v>Apr</v>
      </c>
      <c r="C44" s="17"/>
      <c r="D44" s="66">
        <f>D38+D26</f>
        <v>171.12899999999999</v>
      </c>
      <c r="E44" s="17"/>
      <c r="F44" s="66">
        <f>F38+F26</f>
        <v>273.62900000000002</v>
      </c>
      <c r="G44" s="17"/>
      <c r="H44" s="66">
        <f>H38+H26</f>
        <v>422.202</v>
      </c>
      <c r="I44" s="17"/>
      <c r="J44" s="66">
        <f>J38+J26</f>
        <v>540.27300000000002</v>
      </c>
      <c r="K44" s="17"/>
      <c r="L44" s="66">
        <f>L38+L26</f>
        <v>606.59300000000007</v>
      </c>
      <c r="M44" s="17"/>
      <c r="N44" s="66">
        <f>N38+N26</f>
        <v>692.65</v>
      </c>
      <c r="O44" s="17"/>
      <c r="P44" s="66">
        <f>P38+P26</f>
        <v>1058.895</v>
      </c>
      <c r="Q44" s="17"/>
      <c r="R44" s="66">
        <f>R38+R26</f>
        <v>1223.0989999999999</v>
      </c>
      <c r="S44" s="17"/>
      <c r="T44" s="66">
        <f>T38+T26</f>
        <v>1396.1</v>
      </c>
      <c r="U44" s="17"/>
      <c r="V44" s="66">
        <f>V38+V26</f>
        <v>1439.47</v>
      </c>
      <c r="W44" s="17"/>
      <c r="X44" s="66">
        <f>X38+X26</f>
        <v>1508.47</v>
      </c>
      <c r="Y44" s="17"/>
      <c r="Z44" s="66">
        <f>Z38+Z26</f>
        <v>1523.857</v>
      </c>
      <c r="AA44" s="17"/>
      <c r="AB44" s="66">
        <f>AB38+AB26</f>
        <v>1366.4639999999999</v>
      </c>
      <c r="AC44" s="17"/>
      <c r="AD44" s="66">
        <f>AD38+AD26</f>
        <v>1470.5309999999999</v>
      </c>
      <c r="AF44" s="66">
        <f>AF38+AF26</f>
        <v>1207.124</v>
      </c>
      <c r="AH44" s="66">
        <f>AH38+AH26</f>
        <v>1149.1579999999999</v>
      </c>
      <c r="AJ44" s="66">
        <f>AJ38+AJ26</f>
        <v>1145.405</v>
      </c>
      <c r="AL44" s="66">
        <f>AL38+AL26</f>
        <v>1077.308</v>
      </c>
      <c r="AN44" s="66">
        <f>AN38+AN26</f>
        <v>1117.873</v>
      </c>
      <c r="AO44" s="66"/>
      <c r="AS44" s="66"/>
    </row>
    <row r="45" spans="1:45" ht="12.75">
      <c r="A45" s="17" t="str">
        <f t="shared" si="5"/>
        <v>2Q</v>
      </c>
      <c r="B45" s="17" t="str">
        <f t="shared" si="5"/>
        <v>Jul</v>
      </c>
      <c r="C45" s="17"/>
      <c r="D45" s="25">
        <f>D39+D27</f>
        <v>193.4</v>
      </c>
      <c r="E45" s="17"/>
      <c r="F45" s="25">
        <f>F39+F27</f>
        <v>262.02199999999999</v>
      </c>
      <c r="G45" s="17"/>
      <c r="H45" s="25">
        <f>H39+H27</f>
        <v>451.54300000000001</v>
      </c>
      <c r="I45" s="17"/>
      <c r="J45" s="25">
        <f>J39+J27</f>
        <v>550.20099999999991</v>
      </c>
      <c r="K45" s="17"/>
      <c r="L45" s="25">
        <f>L39+L27</f>
        <v>615.52300000000002</v>
      </c>
      <c r="M45" s="17"/>
      <c r="N45" s="25">
        <f>N39+N27</f>
        <v>752.577</v>
      </c>
      <c r="O45" s="17"/>
      <c r="P45" s="25">
        <f>P39+P27</f>
        <v>1136.252</v>
      </c>
      <c r="Q45" s="17"/>
      <c r="R45" s="25">
        <f>R39+R27</f>
        <v>1293.3879999999999</v>
      </c>
      <c r="S45" s="17"/>
      <c r="T45" s="25">
        <f>T39+T27</f>
        <v>1374.838</v>
      </c>
      <c r="U45" s="17"/>
      <c r="V45" s="25">
        <f>V39+V27</f>
        <v>1480.317</v>
      </c>
      <c r="W45" s="17"/>
      <c r="X45" s="25">
        <f>X39+X27</f>
        <v>1544.857</v>
      </c>
      <c r="Y45" s="17"/>
      <c r="Z45" s="25">
        <f>Z39+Z27</f>
        <v>1377.99</v>
      </c>
      <c r="AA45" s="17"/>
      <c r="AB45" s="25">
        <f>AB39+AB27</f>
        <v>1366.9870000000001</v>
      </c>
      <c r="AC45" s="17"/>
      <c r="AD45" s="25">
        <f>AD39+AD27</f>
        <v>1478.414</v>
      </c>
      <c r="AF45" s="25">
        <f>AF39+AF27</f>
        <v>1478.414</v>
      </c>
      <c r="AH45" s="25">
        <f>AH39+AH27</f>
        <v>1133.847</v>
      </c>
      <c r="AJ45" s="25">
        <f>AJ39+AJ27</f>
        <v>1165.6780000000001</v>
      </c>
      <c r="AL45" s="25">
        <f>AL39+AL27</f>
        <v>1100.3969999999999</v>
      </c>
      <c r="AN45" s="25">
        <f>AN39+AN27</f>
        <v>1124.299</v>
      </c>
      <c r="AO45" s="25"/>
      <c r="AS45" s="25"/>
    </row>
    <row r="46" spans="1:45" ht="12.75">
      <c r="A46" s="17" t="str">
        <f t="shared" si="5"/>
        <v>3Q</v>
      </c>
      <c r="B46" s="17" t="str">
        <f t="shared" si="5"/>
        <v>Oct</v>
      </c>
      <c r="C46" s="17"/>
      <c r="D46" s="25">
        <f>D40+D28</f>
        <v>222.84800000000001</v>
      </c>
      <c r="E46" s="17"/>
      <c r="F46" s="25">
        <f>F40+F28</f>
        <v>295.04399999999998</v>
      </c>
      <c r="G46" s="17"/>
      <c r="H46" s="25">
        <f>H40+H28</f>
        <v>476.29599999999999</v>
      </c>
      <c r="I46" s="17"/>
      <c r="J46" s="25">
        <f>J40+J28</f>
        <v>565.13499999999999</v>
      </c>
      <c r="K46" s="17"/>
      <c r="L46" s="25">
        <f>L40+L28</f>
        <v>628.59799999999996</v>
      </c>
      <c r="M46" s="17"/>
      <c r="N46" s="25">
        <f>N40+N28</f>
        <v>840.44299999999998</v>
      </c>
      <c r="O46" s="17"/>
      <c r="P46" s="25">
        <f>P40+P28</f>
        <v>1069.702</v>
      </c>
      <c r="Q46" s="17"/>
      <c r="R46" s="25">
        <f>R40+R28</f>
        <v>1332.787</v>
      </c>
      <c r="S46" s="17"/>
      <c r="T46" s="25">
        <f>T40+T28</f>
        <v>1414.924</v>
      </c>
      <c r="U46" s="17"/>
      <c r="V46" s="25">
        <f>V40+V28</f>
        <v>1459.8040000000001</v>
      </c>
      <c r="W46" s="17"/>
      <c r="X46" s="25">
        <f>X40+X28</f>
        <v>1573.3050000000001</v>
      </c>
      <c r="Y46" s="17"/>
      <c r="Z46" s="25">
        <f>Z40+Z28</f>
        <v>1401.2840000000001</v>
      </c>
      <c r="AA46" s="17"/>
      <c r="AB46" s="25">
        <f>AB40+AB28</f>
        <v>1382.5419999999999</v>
      </c>
      <c r="AC46" s="17"/>
      <c r="AD46" s="25">
        <f>AD40+AD28</f>
        <v>1283.5709999999999</v>
      </c>
      <c r="AF46" s="25">
        <f>AF40+AF28</f>
        <v>1192.7090000000001</v>
      </c>
      <c r="AH46" s="25">
        <f>AH40+AH28</f>
        <v>1120.2470000000001</v>
      </c>
      <c r="AJ46" s="25">
        <f>AJ40+AJ28</f>
        <v>1209.2729999999999</v>
      </c>
      <c r="AL46" s="25">
        <f>AL40+AL28</f>
        <v>1171.96</v>
      </c>
      <c r="AN46" s="25">
        <f>AN40+AN28</f>
        <v>1163.1990000000001</v>
      </c>
      <c r="AO46" s="25"/>
      <c r="AS46" s="25"/>
    </row>
    <row r="47" spans="1:45" ht="12.75">
      <c r="A47" s="17" t="str">
        <f t="shared" si="5"/>
        <v>4Q</v>
      </c>
      <c r="B47" s="17" t="str">
        <f t="shared" si="5"/>
        <v>Jan</v>
      </c>
      <c r="C47" s="17"/>
      <c r="D47" s="25">
        <f>D41+D29</f>
        <v>264.50099999999998</v>
      </c>
      <c r="E47" s="17"/>
      <c r="F47" s="25">
        <f>F41+F29</f>
        <v>392.584</v>
      </c>
      <c r="G47" s="17"/>
      <c r="H47" s="25">
        <f>H41+H29</f>
        <v>525.45699999999999</v>
      </c>
      <c r="I47" s="17"/>
      <c r="J47" s="25">
        <f>J41+J29</f>
        <v>598.06299999999999</v>
      </c>
      <c r="K47" s="17"/>
      <c r="L47" s="25">
        <f>L41+L29</f>
        <v>662.37599999999998</v>
      </c>
      <c r="M47" s="17"/>
      <c r="N47" s="25">
        <f>N41+N29</f>
        <v>963.48599999999999</v>
      </c>
      <c r="O47" s="17"/>
      <c r="P47" s="25">
        <f>P41+P29</f>
        <v>1155.5519999999999</v>
      </c>
      <c r="Q47" s="17"/>
      <c r="R47" s="25">
        <f>R41+R29</f>
        <v>1417.3119999999999</v>
      </c>
      <c r="S47" s="17"/>
      <c r="T47" s="25">
        <f>T41+T29</f>
        <v>1340.4639999999999</v>
      </c>
      <c r="U47" s="17"/>
      <c r="V47" s="25">
        <f>V41+V29</f>
        <v>1484.0309999999999</v>
      </c>
      <c r="W47" s="17"/>
      <c r="X47" s="25">
        <f>X41+X29</f>
        <v>1608.5170000000001</v>
      </c>
      <c r="Y47" s="17"/>
      <c r="Z47" s="25">
        <f>Z41+Z29</f>
        <v>1351.0709999999999</v>
      </c>
      <c r="AA47" s="17"/>
      <c r="AB47" s="25">
        <f>AB41+AB29</f>
        <v>1416.8510000000001</v>
      </c>
      <c r="AC47" s="17"/>
      <c r="AD47" s="25">
        <f>AD41+AD29</f>
        <v>1221.1869999999999</v>
      </c>
      <c r="AF47" s="25">
        <f>AF41+AF29</f>
        <v>1166.1780000000001</v>
      </c>
      <c r="AH47" s="25">
        <f>AH41+AH29</f>
        <v>1139.7460000000001</v>
      </c>
      <c r="AJ47" s="25">
        <f>AJ41+AJ29</f>
        <v>1051.376</v>
      </c>
      <c r="AL47" s="25">
        <f>AL41+AL29</f>
        <v>1204.569</v>
      </c>
      <c r="AN47" s="25">
        <f>AN41+AN29</f>
        <v>1246.7909999999999</v>
      </c>
      <c r="AO47" s="25"/>
      <c r="AS47" s="25"/>
    </row>
    <row r="48" spans="1:45" ht="12.75">
      <c r="A48" s="17"/>
      <c r="B48" s="17"/>
      <c r="C48" s="17"/>
      <c r="D48" s="17"/>
      <c r="E48" s="17"/>
      <c r="F48" s="17"/>
      <c r="G48" s="17"/>
      <c r="H48" s="17"/>
      <c r="I48" s="17"/>
      <c r="J48" s="17"/>
      <c r="K48" s="17"/>
      <c r="L48" s="17"/>
      <c r="M48" s="17"/>
      <c r="N48" s="17"/>
      <c r="O48" s="17"/>
      <c r="P48" s="17"/>
      <c r="Q48" s="17"/>
      <c r="R48" s="17"/>
      <c r="S48" s="17"/>
      <c r="T48" s="17"/>
      <c r="U48" s="17"/>
      <c r="V48" s="17"/>
      <c r="W48" s="17"/>
      <c r="X48" s="17"/>
      <c r="Y48" s="17"/>
      <c r="Z48" s="17"/>
      <c r="AA48" s="17"/>
      <c r="AB48" s="17"/>
      <c r="AC48" s="17"/>
      <c r="AD48" s="17"/>
    </row>
    <row r="49" spans="1:45" ht="12.75">
      <c r="A49" s="17"/>
      <c r="B49" s="17"/>
      <c r="C49" s="17"/>
      <c r="D49" s="207"/>
      <c r="E49" s="207"/>
      <c r="F49" s="207"/>
      <c r="G49" s="207"/>
      <c r="H49" s="207"/>
      <c r="I49" s="207"/>
      <c r="J49" s="207"/>
      <c r="K49" s="17"/>
      <c r="L49" s="207"/>
      <c r="M49" s="207"/>
      <c r="N49" s="207"/>
      <c r="P49" s="39"/>
      <c r="Q49" s="37"/>
      <c r="R49" s="39"/>
      <c r="S49" s="37"/>
      <c r="T49" s="39"/>
      <c r="U49" s="37"/>
      <c r="V49" s="39"/>
      <c r="W49" s="37"/>
      <c r="X49" s="39" t="s">
        <v>206</v>
      </c>
      <c r="Y49" s="37"/>
      <c r="Z49" s="39"/>
      <c r="AA49" s="37"/>
      <c r="AB49" s="207"/>
      <c r="AC49" s="37"/>
      <c r="AD49" s="207"/>
    </row>
    <row r="50" spans="1:45" ht="12.75">
      <c r="A50" s="17" t="str">
        <f t="shared" ref="A50:B53" si="6">A44</f>
        <v>1Q</v>
      </c>
      <c r="B50" s="17" t="str">
        <f t="shared" si="6"/>
        <v>Apr</v>
      </c>
      <c r="C50" s="17"/>
      <c r="D50" s="65">
        <f>D26/D44</f>
        <v>0</v>
      </c>
      <c r="E50" s="17"/>
      <c r="F50" s="65">
        <f>F26/F44</f>
        <v>0</v>
      </c>
      <c r="G50" s="17"/>
      <c r="H50" s="65">
        <f>H26/H44</f>
        <v>6.4402821398288027E-2</v>
      </c>
      <c r="I50" s="17"/>
      <c r="J50" s="65">
        <f>J26/J44</f>
        <v>4.2152763510299424E-2</v>
      </c>
      <c r="K50" s="17"/>
      <c r="L50" s="65">
        <f>L26/L44</f>
        <v>3.3872794443720905E-2</v>
      </c>
      <c r="M50" s="17"/>
      <c r="N50" s="65">
        <f>N26/N44</f>
        <v>2.5253735652927167E-2</v>
      </c>
      <c r="O50" s="17"/>
      <c r="P50" s="65">
        <f>P26/P44</f>
        <v>0</v>
      </c>
      <c r="Q50" s="17"/>
      <c r="R50" s="65">
        <f>R26/R44</f>
        <v>0</v>
      </c>
      <c r="S50" s="17"/>
      <c r="T50" s="65">
        <f>T26/T44</f>
        <v>0</v>
      </c>
      <c r="U50" s="17"/>
      <c r="V50" s="65">
        <f>V26/V44</f>
        <v>5.2102509951579397E-2</v>
      </c>
      <c r="W50" s="17"/>
      <c r="X50" s="65">
        <f>X26/X44</f>
        <v>4.9719251957281219E-2</v>
      </c>
      <c r="Y50" s="17"/>
      <c r="Z50" s="65">
        <f>Z26/Z44</f>
        <v>1.1484017201089079E-2</v>
      </c>
      <c r="AA50" s="17"/>
      <c r="AB50" s="65">
        <f>AB26/AB44</f>
        <v>0</v>
      </c>
      <c r="AC50" s="17"/>
      <c r="AD50" s="65">
        <f>AD26/AD44</f>
        <v>0</v>
      </c>
      <c r="AF50" s="65">
        <f>AF26/AF44</f>
        <v>0</v>
      </c>
      <c r="AH50" s="65">
        <f>AH26/AH44</f>
        <v>0</v>
      </c>
      <c r="AJ50" s="65">
        <f>AJ26/AJ44</f>
        <v>0</v>
      </c>
      <c r="AL50" s="65">
        <f>AL26/AL44</f>
        <v>0</v>
      </c>
      <c r="AN50" s="65">
        <f>AN26/AN44</f>
        <v>0</v>
      </c>
      <c r="AO50" s="65"/>
      <c r="AS50" s="65"/>
    </row>
    <row r="51" spans="1:45" ht="12.75">
      <c r="A51" s="17" t="str">
        <f t="shared" si="6"/>
        <v>2Q</v>
      </c>
      <c r="B51" s="17" t="str">
        <f t="shared" si="6"/>
        <v>Jul</v>
      </c>
      <c r="C51" s="17"/>
      <c r="D51" s="65">
        <f>D27/D45</f>
        <v>0</v>
      </c>
      <c r="E51" s="17"/>
      <c r="F51" s="65">
        <f>F27/F45</f>
        <v>0</v>
      </c>
      <c r="G51" s="17"/>
      <c r="H51" s="65">
        <f>H27/H45</f>
        <v>5.8539275329259892E-2</v>
      </c>
      <c r="I51" s="17"/>
      <c r="J51" s="65">
        <f>J27/J45</f>
        <v>4.7582610718628293E-2</v>
      </c>
      <c r="K51" s="17"/>
      <c r="L51" s="65">
        <f>L27/L45</f>
        <v>3.1993930364909183E-2</v>
      </c>
      <c r="M51" s="17"/>
      <c r="N51" s="65">
        <f>N27/N45</f>
        <v>2.1660242074897317E-2</v>
      </c>
      <c r="O51" s="17"/>
      <c r="P51" s="65">
        <f>P27/P45</f>
        <v>0</v>
      </c>
      <c r="Q51" s="17"/>
      <c r="R51" s="65">
        <f>R27/R45</f>
        <v>0</v>
      </c>
      <c r="S51" s="17"/>
      <c r="T51" s="65">
        <f>T27/T45</f>
        <v>0</v>
      </c>
      <c r="U51" s="17"/>
      <c r="V51" s="65">
        <f>V27/V45</f>
        <v>5.0664823818141656E-2</v>
      </c>
      <c r="W51" s="17"/>
      <c r="X51" s="65">
        <f>X27/X45</f>
        <v>4.8548182776787754E-2</v>
      </c>
      <c r="Y51" s="17"/>
      <c r="Z51" s="65">
        <f>Z27/Z45</f>
        <v>0</v>
      </c>
      <c r="AA51" s="17"/>
      <c r="AB51" s="65">
        <f>AB27/AB45</f>
        <v>0</v>
      </c>
      <c r="AC51" s="17"/>
      <c r="AD51" s="65">
        <f>AD27/AD45</f>
        <v>0</v>
      </c>
      <c r="AF51" s="65">
        <f>AF27/AF45</f>
        <v>0</v>
      </c>
      <c r="AH51" s="65">
        <f>AH27/AH45</f>
        <v>0</v>
      </c>
      <c r="AJ51" s="65">
        <f>AJ27/AJ45</f>
        <v>0</v>
      </c>
      <c r="AL51" s="65">
        <f>AL27/AL45</f>
        <v>0</v>
      </c>
      <c r="AN51" s="65">
        <f>AN27/AN45</f>
        <v>0</v>
      </c>
      <c r="AO51" s="65"/>
      <c r="AS51" s="65"/>
    </row>
    <row r="52" spans="1:45" ht="12.75">
      <c r="A52" s="17" t="str">
        <f t="shared" si="6"/>
        <v>3Q</v>
      </c>
      <c r="B52" s="17" t="str">
        <f t="shared" si="6"/>
        <v>Oct</v>
      </c>
      <c r="C52" s="17"/>
      <c r="D52" s="65">
        <f>D28/D46</f>
        <v>0</v>
      </c>
      <c r="E52" s="17"/>
      <c r="F52" s="65">
        <f>F28/F46</f>
        <v>0</v>
      </c>
      <c r="G52" s="17"/>
      <c r="H52" s="65">
        <f>H28/H46</f>
        <v>5.1211851453717858E-2</v>
      </c>
      <c r="I52" s="17"/>
      <c r="J52" s="65">
        <f>J28/J46</f>
        <v>4.5284754970051404E-2</v>
      </c>
      <c r="K52" s="17"/>
      <c r="L52" s="65">
        <f>L28/L46</f>
        <v>3.1955240073942327E-2</v>
      </c>
      <c r="M52" s="17"/>
      <c r="N52" s="65">
        <f>N28/N46</f>
        <v>0</v>
      </c>
      <c r="O52" s="17"/>
      <c r="P52" s="65">
        <f>P28/P46</f>
        <v>0</v>
      </c>
      <c r="Q52" s="17"/>
      <c r="R52" s="65">
        <f>R28/R46</f>
        <v>0</v>
      </c>
      <c r="S52" s="17"/>
      <c r="T52" s="65">
        <f>T28/T46</f>
        <v>0</v>
      </c>
      <c r="U52" s="17"/>
      <c r="V52" s="65">
        <f>V28/V46</f>
        <v>5.1376760167803348E-2</v>
      </c>
      <c r="W52" s="17"/>
      <c r="X52" s="65">
        <f>X28/X46</f>
        <v>3.1780233330473112E-2</v>
      </c>
      <c r="Y52" s="17"/>
      <c r="Z52" s="65">
        <f>Z28/Z46</f>
        <v>0</v>
      </c>
      <c r="AA52" s="17"/>
      <c r="AB52" s="65">
        <f>AB28/AB46</f>
        <v>0</v>
      </c>
      <c r="AC52" s="17"/>
      <c r="AD52" s="65">
        <f>AD28/AD46</f>
        <v>0</v>
      </c>
      <c r="AF52" s="65">
        <f>AF28/AF46</f>
        <v>0</v>
      </c>
      <c r="AH52" s="65">
        <f>AH28/AH46</f>
        <v>0</v>
      </c>
      <c r="AJ52" s="65">
        <f>AJ28/AJ46</f>
        <v>0</v>
      </c>
      <c r="AL52" s="65">
        <f>AL28/AL46</f>
        <v>0</v>
      </c>
      <c r="AN52" s="65">
        <f>AN28/AN46</f>
        <v>0</v>
      </c>
      <c r="AO52" s="65"/>
      <c r="AS52" s="65"/>
    </row>
    <row r="53" spans="1:45" ht="12.75">
      <c r="A53" s="17" t="str">
        <f t="shared" si="6"/>
        <v>4Q</v>
      </c>
      <c r="B53" s="17" t="str">
        <f t="shared" si="6"/>
        <v>Jan</v>
      </c>
      <c r="C53" s="17"/>
      <c r="D53" s="65">
        <f>D29/D47</f>
        <v>0</v>
      </c>
      <c r="E53" s="17"/>
      <c r="F53" s="65">
        <f>F29/F47</f>
        <v>6.3397897010576076E-2</v>
      </c>
      <c r="G53" s="17"/>
      <c r="H53" s="65">
        <f>H29/H47</f>
        <v>4.4542179474248135E-2</v>
      </c>
      <c r="I53" s="17"/>
      <c r="J53" s="65">
        <f>J29/J47</f>
        <v>3.4412762535050663E-2</v>
      </c>
      <c r="K53" s="17"/>
      <c r="L53" s="65">
        <f>L29/L47</f>
        <v>2.8240757515368916E-2</v>
      </c>
      <c r="M53" s="17"/>
      <c r="N53" s="65">
        <f>N29/N47</f>
        <v>0</v>
      </c>
      <c r="O53" s="17"/>
      <c r="P53" s="65">
        <f>P29/P47</f>
        <v>0</v>
      </c>
      <c r="Q53" s="17"/>
      <c r="R53" s="65">
        <f>R29/R47</f>
        <v>0</v>
      </c>
      <c r="S53" s="17"/>
      <c r="T53" s="65">
        <f>T29/T47</f>
        <v>0</v>
      </c>
      <c r="U53" s="17"/>
      <c r="V53" s="65">
        <f>V29/V47</f>
        <v>5.0538027844431822E-2</v>
      </c>
      <c r="W53" s="17"/>
      <c r="X53" s="65">
        <f>X29/X47</f>
        <v>1.8650719886703093E-2</v>
      </c>
      <c r="Y53" s="17"/>
      <c r="Z53" s="65">
        <f>Z29/Z47</f>
        <v>0</v>
      </c>
      <c r="AA53" s="17"/>
      <c r="AB53" s="65">
        <f>AB29/AB47</f>
        <v>0</v>
      </c>
      <c r="AC53" s="17"/>
      <c r="AD53" s="65">
        <f>AD29/AD47</f>
        <v>0</v>
      </c>
      <c r="AF53" s="65">
        <f>AF29/AF47</f>
        <v>0</v>
      </c>
      <c r="AH53" s="65">
        <f>AH29/AH47</f>
        <v>0</v>
      </c>
      <c r="AJ53" s="65">
        <f>AJ29/AJ47</f>
        <v>0</v>
      </c>
      <c r="AL53" s="65">
        <f>AL29/AL47</f>
        <v>0</v>
      </c>
      <c r="AN53" s="65">
        <f>AN29/AN47</f>
        <v>0</v>
      </c>
      <c r="AO53" s="65"/>
      <c r="AS53" s="65"/>
    </row>
    <row r="54" spans="1:45" ht="12.75">
      <c r="A54" s="17"/>
      <c r="B54" s="17"/>
      <c r="C54" s="17"/>
      <c r="D54" s="17"/>
      <c r="E54" s="17"/>
      <c r="F54" s="17"/>
      <c r="G54" s="17"/>
      <c r="H54" s="17"/>
      <c r="I54" s="17"/>
      <c r="J54" s="17"/>
      <c r="K54" s="17"/>
      <c r="L54" s="17"/>
      <c r="M54" s="17"/>
      <c r="N54" s="17"/>
      <c r="O54" s="17"/>
      <c r="P54" s="17"/>
      <c r="Q54" s="17"/>
      <c r="R54" s="17"/>
      <c r="S54" s="17"/>
      <c r="T54" s="17"/>
      <c r="U54" s="17"/>
      <c r="V54" s="17"/>
      <c r="W54" s="17"/>
      <c r="X54" s="17"/>
      <c r="Y54" s="17"/>
      <c r="Z54" s="17"/>
      <c r="AA54" s="17"/>
      <c r="AB54" s="17"/>
      <c r="AC54" s="17"/>
      <c r="AD54" s="17"/>
    </row>
    <row r="55" spans="1:45" ht="12.75">
      <c r="A55" s="17"/>
      <c r="B55" s="17"/>
      <c r="C55" s="17"/>
      <c r="D55" s="207"/>
      <c r="E55" s="207"/>
      <c r="F55" s="207"/>
      <c r="G55" s="207"/>
      <c r="H55" s="207"/>
      <c r="I55" s="207"/>
      <c r="J55" s="207"/>
      <c r="K55" s="17"/>
      <c r="L55" s="207"/>
      <c r="M55" s="207"/>
      <c r="N55" s="207"/>
      <c r="P55" s="39"/>
      <c r="Q55" s="37"/>
      <c r="R55" s="39"/>
      <c r="S55" s="37"/>
      <c r="T55" s="39"/>
      <c r="U55" s="37"/>
      <c r="V55" s="39"/>
      <c r="W55" s="37"/>
      <c r="X55" s="39" t="s">
        <v>207</v>
      </c>
      <c r="Y55" s="37"/>
      <c r="Z55" s="39"/>
      <c r="AA55" s="37"/>
      <c r="AB55" s="207"/>
      <c r="AC55" s="37"/>
      <c r="AD55" s="207"/>
    </row>
    <row r="56" spans="1:45" ht="12.75">
      <c r="A56" s="17" t="str">
        <f t="shared" ref="A56:B59" si="7">A50</f>
        <v>1Q</v>
      </c>
      <c r="B56" s="17" t="str">
        <f t="shared" si="7"/>
        <v>Apr</v>
      </c>
      <c r="C56" s="17"/>
      <c r="D56" s="218">
        <f>D32/D44</f>
        <v>-0.43841780177526896</v>
      </c>
      <c r="E56" s="218"/>
      <c r="F56" s="218">
        <f>F32/F44</f>
        <v>-0.3580322261163838</v>
      </c>
      <c r="G56" s="17"/>
      <c r="H56" s="218">
        <f>H32/H44</f>
        <v>-0.22931914107465146</v>
      </c>
      <c r="I56" s="17"/>
      <c r="J56" s="218">
        <f>J32/J44</f>
        <v>-0.29551171352260802</v>
      </c>
      <c r="K56" s="17"/>
      <c r="L56" s="218">
        <f>L32/L44</f>
        <v>-0.31895191668878475</v>
      </c>
      <c r="M56" s="17"/>
      <c r="N56" s="218">
        <f>N32/N44</f>
        <v>-0.44578935970547889</v>
      </c>
      <c r="O56" s="17"/>
      <c r="P56" s="218">
        <f>P32/P44</f>
        <v>-0.53007805306475153</v>
      </c>
      <c r="Q56" s="17"/>
      <c r="R56" s="218">
        <f>R32/R44</f>
        <v>-0.63066685525865041</v>
      </c>
      <c r="S56" s="17"/>
      <c r="T56" s="218">
        <f>T32/T44</f>
        <v>-0.47182651672516296</v>
      </c>
      <c r="U56" s="17"/>
      <c r="V56" s="218">
        <f>V32/V44</f>
        <v>-0.20454264416764503</v>
      </c>
      <c r="W56" s="17"/>
      <c r="X56" s="218">
        <f>X32/X44</f>
        <v>-0.24815342698230658</v>
      </c>
      <c r="Y56" s="17"/>
      <c r="Z56" s="218">
        <f>Z32/Z44</f>
        <v>-0.34567810496654217</v>
      </c>
      <c r="AA56" s="17"/>
      <c r="AB56" s="218">
        <f>AB32/AB44</f>
        <v>-0.44288104187157518</v>
      </c>
      <c r="AC56" s="17"/>
      <c r="AD56" s="218">
        <f>AD32/AD44</f>
        <v>-0.49099950970091755</v>
      </c>
      <c r="AF56" s="218">
        <f>AF32/AF44</f>
        <v>-0.41107293037003656</v>
      </c>
      <c r="AH56" s="218">
        <f>AH32/AH44</f>
        <v>-0.28516444213937514</v>
      </c>
      <c r="AJ56" s="218">
        <f>AJ32/AJ44</f>
        <v>-0.28540734500024006</v>
      </c>
      <c r="AL56" s="218">
        <f>AL32/AL44</f>
        <v>-0.22182699840714076</v>
      </c>
      <c r="AN56" s="218">
        <f>AN32/AN44</f>
        <v>-0.2014513276552882</v>
      </c>
      <c r="AO56" s="218"/>
      <c r="AS56" s="218"/>
    </row>
    <row r="57" spans="1:45" ht="12.75">
      <c r="A57" s="17" t="str">
        <f t="shared" si="7"/>
        <v>2Q</v>
      </c>
      <c r="B57" s="17" t="str">
        <f t="shared" si="7"/>
        <v>Jul</v>
      </c>
      <c r="C57" s="17"/>
      <c r="D57" s="218">
        <f>D33/D45</f>
        <v>-0.36657704239917271</v>
      </c>
      <c r="E57" s="218"/>
      <c r="F57" s="218">
        <f>F33/F45</f>
        <v>-0.2528604468327087</v>
      </c>
      <c r="G57" s="17"/>
      <c r="H57" s="218">
        <f>H33/H45</f>
        <v>-0.10865853307436947</v>
      </c>
      <c r="I57" s="17"/>
      <c r="J57" s="218">
        <f>J33/J45</f>
        <v>-0.27412163918277144</v>
      </c>
      <c r="K57" s="17"/>
      <c r="L57" s="218">
        <f>L33/L45</f>
        <v>-0.30749947605532207</v>
      </c>
      <c r="M57" s="17"/>
      <c r="N57" s="218">
        <f>N33/N45</f>
        <v>-0.42030250725174967</v>
      </c>
      <c r="O57" s="17"/>
      <c r="P57" s="218">
        <f>P33/P45</f>
        <v>-0.55020717235261196</v>
      </c>
      <c r="Q57" s="17"/>
      <c r="R57" s="218">
        <f>R33/R45</f>
        <v>-0.62942442639022478</v>
      </c>
      <c r="S57" s="17"/>
      <c r="T57" s="218">
        <f>T33/T45</f>
        <v>-0.46158529223079375</v>
      </c>
      <c r="U57" s="17"/>
      <c r="V57" s="218">
        <f>V33/V45</f>
        <v>-0.20625717329463888</v>
      </c>
      <c r="W57" s="17"/>
      <c r="X57" s="218">
        <f>X33/X45</f>
        <v>-0.29438841264919668</v>
      </c>
      <c r="Y57" s="17"/>
      <c r="Z57" s="218">
        <f>Z33/Z45</f>
        <v>-0.313008802676362</v>
      </c>
      <c r="AA57" s="17"/>
      <c r="AB57" s="218">
        <f>AB33/AB45</f>
        <v>-0.37600650189065438</v>
      </c>
      <c r="AC57" s="17"/>
      <c r="AD57" s="218">
        <f>AD33/AD45</f>
        <v>-0.47488186664899007</v>
      </c>
      <c r="AF57" s="218">
        <f>AF33/AF45</f>
        <v>-0.27385157337525212</v>
      </c>
      <c r="AH57" s="218">
        <f>AH33/AH45</f>
        <v>-0.23162560733502843</v>
      </c>
      <c r="AJ57" s="218">
        <f>AJ33/AJ45</f>
        <v>-0.28077222011567515</v>
      </c>
      <c r="AL57" s="218">
        <f>AL33/AL45</f>
        <v>-0.2253132278623079</v>
      </c>
      <c r="AN57" s="218">
        <f>AN33/AN45</f>
        <v>-0.17126938652440321</v>
      </c>
      <c r="AO57" s="218"/>
      <c r="AS57" s="218"/>
    </row>
    <row r="58" spans="1:45" ht="12.75">
      <c r="A58" s="17" t="str">
        <f t="shared" si="7"/>
        <v>3Q</v>
      </c>
      <c r="B58" s="17" t="str">
        <f t="shared" si="7"/>
        <v>Oct</v>
      </c>
      <c r="C58" s="17"/>
      <c r="D58" s="218">
        <f>D34/D46</f>
        <v>-0.51987902067777136</v>
      </c>
      <c r="E58" s="218"/>
      <c r="F58" s="218">
        <f>F34/F46</f>
        <v>-0.24050311140033354</v>
      </c>
      <c r="G58" s="17"/>
      <c r="H58" s="218">
        <f>H34/H46</f>
        <v>-0.12683709290021331</v>
      </c>
      <c r="I58" s="17"/>
      <c r="J58" s="218">
        <f>J34/J46</f>
        <v>-0.26078724552540544</v>
      </c>
      <c r="K58" s="17"/>
      <c r="L58" s="218">
        <f>L34/L46</f>
        <v>-0.29588226497698056</v>
      </c>
      <c r="M58" s="17"/>
      <c r="N58" s="218">
        <f>N34/N46</f>
        <v>-0.45766339894555608</v>
      </c>
      <c r="O58" s="17"/>
      <c r="P58" s="218">
        <f>P34/P46</f>
        <v>-0.5201214917799537</v>
      </c>
      <c r="Q58" s="17"/>
      <c r="R58" s="218">
        <f>R34/R46</f>
        <v>-0.56867826591946047</v>
      </c>
      <c r="S58" s="17"/>
      <c r="T58" s="218">
        <f>T34/T46</f>
        <v>-0.45287379392815441</v>
      </c>
      <c r="U58" s="17"/>
      <c r="V58" s="218">
        <f>V34/V46</f>
        <v>-0.18422815665664705</v>
      </c>
      <c r="W58" s="17"/>
      <c r="X58" s="218">
        <f>X34/X46</f>
        <v>-0.2961301209873482</v>
      </c>
      <c r="Y58" s="17"/>
      <c r="Z58" s="218">
        <f>Z34/Z46</f>
        <v>-0.45278116356141934</v>
      </c>
      <c r="AA58" s="17"/>
      <c r="AB58" s="218">
        <f>AB34/AB46</f>
        <v>-0.34814132228894312</v>
      </c>
      <c r="AC58" s="17"/>
      <c r="AD58" s="218">
        <f>AD34/AD46</f>
        <v>-0.4243497243237811</v>
      </c>
      <c r="AF58" s="218">
        <f>AF34/AF46</f>
        <v>-0.29949803346834808</v>
      </c>
      <c r="AH58" s="218">
        <f>AH34/AH46</f>
        <v>-0.25034211205207418</v>
      </c>
      <c r="AJ58" s="218">
        <f>AJ34/AJ46</f>
        <v>-0.30027628169983123</v>
      </c>
      <c r="AL58" s="218">
        <f>AL34/AL46</f>
        <v>-0.24887112188129284</v>
      </c>
      <c r="AN58" s="218">
        <f>AN34/AN46</f>
        <v>-0.22139547919143671</v>
      </c>
      <c r="AO58" s="218"/>
      <c r="AS58" s="218"/>
    </row>
    <row r="59" spans="1:45" ht="12.75">
      <c r="A59" s="17" t="str">
        <f t="shared" si="7"/>
        <v>4Q</v>
      </c>
      <c r="B59" s="17" t="str">
        <f t="shared" si="7"/>
        <v>Jan</v>
      </c>
      <c r="C59" s="17"/>
      <c r="D59" s="218">
        <f>D35/D47</f>
        <v>-0.34748828926922776</v>
      </c>
      <c r="E59" s="218"/>
      <c r="F59" s="218">
        <f>F35/F47</f>
        <v>-0.34765553359281065</v>
      </c>
      <c r="G59" s="17"/>
      <c r="H59" s="218">
        <f>H35/H47</f>
        <v>-0.38457571218957975</v>
      </c>
      <c r="I59" s="17"/>
      <c r="J59" s="218">
        <f>J35/J47</f>
        <v>-0.36951291084718502</v>
      </c>
      <c r="K59" s="17"/>
      <c r="L59" s="218">
        <f>L35/L47</f>
        <v>-0.48175960481659963</v>
      </c>
      <c r="M59" s="17"/>
      <c r="N59" s="218">
        <f>N35/N47</f>
        <v>-0.61195180832933738</v>
      </c>
      <c r="O59" s="17"/>
      <c r="P59" s="218">
        <f>P35/P47</f>
        <v>-0.6503541164742046</v>
      </c>
      <c r="Q59" s="17"/>
      <c r="R59" s="218">
        <f>R35/R47</f>
        <v>-0.58357863335666393</v>
      </c>
      <c r="S59" s="17"/>
      <c r="T59" s="218">
        <f>T35/T47</f>
        <v>-0.46248090213537996</v>
      </c>
      <c r="U59" s="17"/>
      <c r="V59" s="218">
        <f>V35/V47</f>
        <v>-0.27550098347002183</v>
      </c>
      <c r="W59" s="17"/>
      <c r="X59" s="218">
        <f>X35/X47</f>
        <v>-0.41568413638152407</v>
      </c>
      <c r="Y59" s="17"/>
      <c r="Z59" s="218">
        <f>Z35/Z47</f>
        <v>-0.54378711407468594</v>
      </c>
      <c r="AA59" s="17"/>
      <c r="AB59" s="218">
        <f>AB35/AB47</f>
        <v>-0.52584499005188257</v>
      </c>
      <c r="AC59" s="17"/>
      <c r="AD59" s="218">
        <f>AD35/AD47</f>
        <v>-0.51670382996215991</v>
      </c>
      <c r="AF59" s="218">
        <f>AF35/AF47</f>
        <v>-0.36781263237687556</v>
      </c>
      <c r="AH59" s="218">
        <f>AH35/AH47</f>
        <v>-0.36034081277758373</v>
      </c>
      <c r="AJ59" s="218">
        <f>AJ35/AJ47</f>
        <v>-0.24735869945671199</v>
      </c>
      <c r="AL59" s="218">
        <f>AL35/AL47</f>
        <v>-0.31431408246435033</v>
      </c>
      <c r="AN59" s="218">
        <f>AN35/AN47</f>
        <v>-0.33174204818610337</v>
      </c>
      <c r="AO59" s="218"/>
      <c r="AS59" s="218"/>
    </row>
    <row r="60" spans="1:45" ht="12.75">
      <c r="A60" s="17"/>
      <c r="B60" s="17"/>
      <c r="C60" s="17"/>
      <c r="D60" s="17"/>
      <c r="E60" s="17"/>
      <c r="F60" s="17"/>
      <c r="G60" s="17"/>
      <c r="H60" s="17"/>
      <c r="I60" s="17"/>
      <c r="J60" s="17"/>
      <c r="K60" s="17"/>
      <c r="L60" s="17"/>
      <c r="M60" s="17"/>
      <c r="N60" s="17"/>
      <c r="O60" s="17"/>
      <c r="P60" s="17"/>
      <c r="Q60" s="17"/>
      <c r="R60" s="17"/>
      <c r="S60" s="17"/>
      <c r="T60" s="17"/>
      <c r="U60" s="17"/>
      <c r="V60" s="17"/>
      <c r="W60" s="17"/>
      <c r="X60" s="17"/>
      <c r="Y60" s="17"/>
      <c r="Z60" s="17"/>
      <c r="AA60" s="17"/>
      <c r="AB60" s="17"/>
      <c r="AC60" s="17"/>
      <c r="AD60" s="17"/>
    </row>
    <row r="61" spans="1:45" ht="12.75">
      <c r="A61" s="112" t="s">
        <v>572</v>
      </c>
      <c r="B61" s="17"/>
      <c r="C61" s="17"/>
      <c r="D61" s="17"/>
      <c r="E61" s="17"/>
      <c r="F61" s="17"/>
      <c r="G61" s="17"/>
      <c r="H61" s="17"/>
      <c r="I61" s="17"/>
      <c r="J61" s="17"/>
      <c r="K61" s="17"/>
      <c r="L61" s="17"/>
      <c r="M61" s="17"/>
      <c r="N61" s="17"/>
      <c r="O61" s="17"/>
      <c r="P61" s="17"/>
      <c r="Q61" s="17"/>
      <c r="R61" s="17"/>
      <c r="S61" s="17"/>
      <c r="T61" s="17"/>
      <c r="U61" s="17"/>
      <c r="V61" s="17"/>
      <c r="W61" s="17"/>
      <c r="X61" s="17"/>
      <c r="Y61" s="17"/>
      <c r="Z61" s="17"/>
      <c r="AA61" s="17"/>
      <c r="AB61" s="17"/>
      <c r="AC61" s="17"/>
      <c r="AD61" s="17"/>
    </row>
  </sheetData>
  <phoneticPr fontId="0" type="noConversion"/>
  <dataValidations count="1">
    <dataValidation type="custom" allowBlank="1" showInputMessage="1" showErrorMessage="1" sqref="P55:X55 A1:AA6 P7:AA7 A7:N7 AA8:AA65536 A8:Z12 P13:Z13 A13:N13 A14:Y18 P19:Y19 A19:N19 P25:W25 A20:X24 A25:N25 Z14:Z65536 Y20:Y30 A26:X30 P31:Y31 A31:N31 Y32:Y65536 A32:X36 P37:X37 A37:N37 A38:X42 P43:X43 A43:N43 A44:X48 P49:X49 A49:N49 A50:X54 A56:X65536 A55:N55 AB1:IW1048576">
      <formula1>-1</formula1>
    </dataValidation>
  </dataValidations>
  <printOptions horizontalCentered="1"/>
  <pageMargins left="0.25" right="0.25" top="0.75" bottom="1" header="0.5" footer="0.5"/>
  <pageSetup scale="74" orientation="portrait" r:id="rId1"/>
  <headerFooter alignWithMargins="0"/>
  <legacyDrawing r:id="rId2"/>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dimension ref="A1:CQ48"/>
  <sheetViews>
    <sheetView showGridLines="0" zoomScaleNormal="100" zoomScaleSheetLayoutView="100" workbookViewId="0">
      <selection activeCell="CN9" sqref="CN9"/>
    </sheetView>
  </sheetViews>
  <sheetFormatPr defaultColWidth="8" defaultRowHeight="12" outlineLevelCol="1"/>
  <cols>
    <col min="1" max="1" width="2.75" customWidth="1"/>
    <col min="2" max="2" width="3.875" customWidth="1"/>
    <col min="3" max="3" width="1.5" customWidth="1"/>
    <col min="4" max="4" width="6.875" hidden="1" customWidth="1" outlineLevel="1"/>
    <col min="5" max="5" width="4.875" hidden="1" customWidth="1" outlineLevel="1"/>
    <col min="6" max="6" width="3.75" hidden="1" customWidth="1" outlineLevel="1"/>
    <col min="7" max="7" width="1.125" hidden="1" customWidth="1" outlineLevel="1"/>
    <col min="8" max="8" width="6.875" hidden="1" customWidth="1" outlineLevel="1"/>
    <col min="9" max="9" width="4.875" hidden="1" customWidth="1" outlineLevel="1"/>
    <col min="10" max="10" width="3.75" hidden="1" customWidth="1" outlineLevel="1"/>
    <col min="11" max="11" width="1.125" hidden="1" customWidth="1" outlineLevel="1"/>
    <col min="12" max="12" width="6.875" hidden="1" customWidth="1" outlineLevel="1"/>
    <col min="13" max="13" width="4.875" hidden="1" customWidth="1" outlineLevel="1"/>
    <col min="14" max="14" width="3.75" hidden="1" customWidth="1" outlineLevel="1"/>
    <col min="15" max="15" width="1.125" hidden="1" customWidth="1" outlineLevel="1"/>
    <col min="16" max="16" width="6.875" hidden="1" customWidth="1" outlineLevel="1"/>
    <col min="17" max="17" width="4.875" hidden="1" customWidth="1" outlineLevel="1"/>
    <col min="18" max="18" width="3.75" hidden="1" customWidth="1" outlineLevel="1"/>
    <col min="19" max="19" width="1.125" hidden="1" customWidth="1" outlineLevel="1"/>
    <col min="20" max="20" width="6.875" hidden="1" customWidth="1" outlineLevel="1"/>
    <col min="21" max="21" width="4.875" hidden="1" customWidth="1" outlineLevel="1"/>
    <col min="22" max="22" width="3.75" hidden="1" customWidth="1" outlineLevel="1"/>
    <col min="23" max="23" width="1.125" hidden="1" customWidth="1" outlineLevel="1"/>
    <col min="24" max="24" width="6.875" hidden="1" customWidth="1" outlineLevel="1"/>
    <col min="25" max="25" width="4.875" hidden="1" customWidth="1" outlineLevel="1"/>
    <col min="26" max="26" width="3.75" hidden="1" customWidth="1" outlineLevel="1"/>
    <col min="27" max="27" width="1.125" hidden="1" customWidth="1" outlineLevel="1"/>
    <col min="28" max="28" width="6.875" hidden="1" customWidth="1" outlineLevel="1"/>
    <col min="29" max="29" width="4.875" hidden="1" customWidth="1" outlineLevel="1"/>
    <col min="30" max="30" width="3.75" hidden="1" customWidth="1" outlineLevel="1"/>
    <col min="31" max="31" width="1.125" hidden="1" customWidth="1" outlineLevel="1"/>
    <col min="32" max="32" width="6.875" hidden="1" customWidth="1" outlineLevel="1"/>
    <col min="33" max="33" width="4.875" hidden="1" customWidth="1" outlineLevel="1"/>
    <col min="34" max="34" width="3.75" hidden="1" customWidth="1" outlineLevel="1"/>
    <col min="35" max="35" width="1.25" hidden="1" customWidth="1" outlineLevel="1"/>
    <col min="36" max="36" width="6.875" hidden="1" customWidth="1" outlineLevel="1"/>
    <col min="37" max="37" width="4.875" hidden="1" customWidth="1" outlineLevel="1"/>
    <col min="38" max="38" width="3.75" hidden="1" customWidth="1" outlineLevel="1"/>
    <col min="39" max="39" width="1.25" hidden="1" customWidth="1" outlineLevel="1"/>
    <col min="40" max="40" width="6.875" hidden="1" customWidth="1" outlineLevel="1"/>
    <col min="41" max="41" width="4.875" hidden="1" customWidth="1" outlineLevel="1"/>
    <col min="42" max="42" width="3.75" hidden="1" customWidth="1" outlineLevel="1"/>
    <col min="43" max="43" width="1.25" hidden="1" customWidth="1" outlineLevel="1"/>
    <col min="44" max="44" width="6.875" hidden="1" customWidth="1" outlineLevel="1"/>
    <col min="45" max="45" width="4.875" hidden="1" customWidth="1" outlineLevel="1"/>
    <col min="46" max="46" width="3.75" hidden="1" customWidth="1" outlineLevel="1"/>
    <col min="47" max="47" width="1.25" hidden="1" customWidth="1" outlineLevel="1"/>
    <col min="48" max="48" width="6.875" hidden="1" customWidth="1" outlineLevel="1"/>
    <col min="49" max="49" width="4.875" hidden="1" customWidth="1" outlineLevel="1"/>
    <col min="50" max="50" width="3.75" hidden="1" customWidth="1" outlineLevel="1"/>
    <col min="51" max="51" width="1.25" hidden="1" customWidth="1" outlineLevel="1"/>
    <col min="52" max="52" width="6.875" hidden="1" customWidth="1" outlineLevel="1"/>
    <col min="53" max="53" width="4.875" hidden="1" customWidth="1" outlineLevel="1"/>
    <col min="54" max="54" width="3.75" hidden="1" customWidth="1" outlineLevel="1"/>
    <col min="55" max="55" width="1.25" customWidth="1" collapsed="1"/>
    <col min="56" max="56" width="6.875" customWidth="1"/>
    <col min="57" max="57" width="4.875" customWidth="1"/>
    <col min="58" max="58" width="3.75" customWidth="1"/>
    <col min="59" max="59" width="1.25" customWidth="1"/>
    <col min="60" max="60" width="6.875" customWidth="1"/>
    <col min="61" max="61" width="4.875" customWidth="1"/>
    <col min="62" max="62" width="3.75" customWidth="1"/>
    <col min="63" max="63" width="1.25" customWidth="1"/>
    <col min="64" max="64" width="6.875" customWidth="1"/>
    <col min="65" max="65" width="4.875" customWidth="1"/>
    <col min="66" max="66" width="3.75" customWidth="1"/>
    <col min="67" max="67" width="1.25" customWidth="1"/>
    <col min="68" max="68" width="6.875" customWidth="1"/>
    <col min="69" max="69" width="7" customWidth="1"/>
    <col min="70" max="70" width="3.75" customWidth="1"/>
    <col min="71" max="71" width="1.25" customWidth="1"/>
    <col min="72" max="72" width="6.875" customWidth="1"/>
    <col min="73" max="73" width="4.875" customWidth="1"/>
    <col min="74" max="74" width="3.75" customWidth="1"/>
    <col min="75" max="75" width="1.375" customWidth="1"/>
    <col min="76" max="76" width="7.875" customWidth="1"/>
    <col min="77" max="77" width="4.75" customWidth="1"/>
    <col min="78" max="78" width="4" customWidth="1"/>
    <col min="79" max="79" width="1.375" customWidth="1"/>
    <col min="80" max="80" width="7.875" customWidth="1"/>
    <col min="81" max="81" width="4.75" customWidth="1"/>
    <col min="82" max="82" width="4" customWidth="1"/>
    <col min="83" max="83" width="1.375" customWidth="1"/>
    <col min="84" max="84" width="7.875" customWidth="1"/>
    <col min="85" max="85" width="5.125" customWidth="1"/>
    <col min="86" max="86" width="4" customWidth="1"/>
    <col min="87" max="87" width="1.375" hidden="1" customWidth="1"/>
    <col min="88" max="88" width="7.875" hidden="1" customWidth="1"/>
    <col min="89" max="89" width="5.125" hidden="1" customWidth="1"/>
    <col min="90" max="90" width="4" hidden="1" customWidth="1"/>
  </cols>
  <sheetData>
    <row r="1" spans="1:95" ht="12.75">
      <c r="A1" s="664" t="str">
        <f>sumry!B1</f>
        <v>American Eagle Outfitters, Inc.</v>
      </c>
      <c r="B1" s="302"/>
      <c r="C1" s="301"/>
      <c r="D1" s="303"/>
      <c r="E1" s="303"/>
      <c r="F1" s="303"/>
      <c r="G1" s="303"/>
      <c r="H1" s="303"/>
      <c r="I1" s="303"/>
      <c r="J1" s="303"/>
      <c r="K1" s="304"/>
      <c r="L1" s="303"/>
      <c r="M1" s="303"/>
      <c r="N1" s="303"/>
      <c r="O1" s="304"/>
      <c r="P1" s="303"/>
      <c r="Q1" s="303"/>
      <c r="R1" s="303"/>
      <c r="S1" s="304"/>
      <c r="T1" s="303"/>
      <c r="U1" s="303"/>
      <c r="V1" s="303"/>
      <c r="W1" s="304"/>
      <c r="X1" s="303"/>
      <c r="Y1" s="303"/>
      <c r="Z1" s="303"/>
      <c r="AA1" s="304"/>
      <c r="AB1" s="303"/>
      <c r="AC1" s="303"/>
      <c r="AD1" s="303"/>
      <c r="AE1" s="304"/>
      <c r="AF1" s="303"/>
      <c r="AG1" s="303"/>
      <c r="AH1" s="303"/>
      <c r="AI1" s="303"/>
      <c r="AJ1" s="303"/>
      <c r="AK1" s="303"/>
      <c r="AL1" s="303"/>
      <c r="AM1" s="303"/>
      <c r="AN1" s="303"/>
      <c r="AO1" s="303"/>
      <c r="AP1" s="303"/>
      <c r="AQ1" s="303"/>
      <c r="AR1" s="303"/>
      <c r="AS1" s="303"/>
      <c r="AT1" s="303"/>
      <c r="AU1" s="303"/>
      <c r="AV1" s="303"/>
      <c r="AW1" s="303"/>
      <c r="AX1" s="303"/>
      <c r="AY1" s="303"/>
      <c r="AZ1" s="303"/>
      <c r="BA1" s="303"/>
      <c r="BB1" s="303"/>
      <c r="BC1" s="303"/>
      <c r="BD1" s="303"/>
      <c r="BE1" s="303"/>
      <c r="BF1" s="303"/>
      <c r="BG1" s="303"/>
      <c r="BH1" s="303"/>
      <c r="BI1" s="303"/>
      <c r="BJ1" s="303"/>
      <c r="BK1" s="303"/>
      <c r="BL1" s="303"/>
      <c r="BM1" s="303"/>
      <c r="BN1" s="303"/>
    </row>
    <row r="2" spans="1:95" ht="12.75">
      <c r="A2" s="305" t="s">
        <v>586</v>
      </c>
      <c r="B2" s="306"/>
      <c r="C2" s="307"/>
      <c r="D2" s="307"/>
      <c r="E2" s="307"/>
      <c r="F2" s="307"/>
      <c r="G2" s="307"/>
      <c r="H2" s="307"/>
      <c r="I2" s="307"/>
      <c r="J2" s="307"/>
      <c r="K2" s="308"/>
      <c r="L2" s="307"/>
      <c r="M2" s="307"/>
      <c r="N2" s="307"/>
      <c r="O2" s="308"/>
      <c r="P2" s="307"/>
      <c r="Q2" s="307"/>
      <c r="R2" s="307"/>
      <c r="S2" s="308"/>
      <c r="T2" s="307"/>
      <c r="U2" s="307"/>
      <c r="V2" s="307"/>
      <c r="W2" s="308"/>
      <c r="X2" s="307"/>
      <c r="Y2" s="307"/>
      <c r="Z2" s="307"/>
      <c r="AA2" s="308"/>
      <c r="AB2" s="307"/>
      <c r="AC2" s="307"/>
      <c r="AD2" s="307"/>
      <c r="AE2" s="308"/>
      <c r="AF2" s="307"/>
      <c r="AG2" s="307"/>
      <c r="AH2" s="307"/>
      <c r="AI2" s="303"/>
      <c r="AJ2" s="307"/>
      <c r="AK2" s="307"/>
      <c r="AL2" s="307"/>
      <c r="AM2" s="303"/>
      <c r="AN2" s="307"/>
      <c r="AO2" s="307"/>
      <c r="AP2" s="307"/>
      <c r="AQ2" s="307"/>
      <c r="AR2" s="307"/>
      <c r="AS2" s="307"/>
      <c r="AT2" s="307"/>
      <c r="AU2" s="307"/>
      <c r="AV2" s="307"/>
      <c r="AW2" s="307"/>
      <c r="AX2" s="307"/>
      <c r="AY2" s="307"/>
      <c r="AZ2" s="307"/>
      <c r="BA2" s="307"/>
      <c r="BB2" s="307"/>
      <c r="BC2" s="307"/>
      <c r="BD2" s="307"/>
      <c r="BE2" s="307"/>
      <c r="BF2" s="307"/>
      <c r="BG2" s="307"/>
      <c r="BH2" s="307"/>
      <c r="BI2" s="307"/>
      <c r="BJ2" s="307"/>
      <c r="BK2" s="307"/>
      <c r="BL2" s="307"/>
      <c r="BM2" s="307"/>
      <c r="BN2" s="307"/>
      <c r="BO2" s="307"/>
      <c r="BP2" s="307"/>
      <c r="BQ2" s="307"/>
      <c r="BR2" s="307"/>
      <c r="BS2" s="307"/>
      <c r="BT2" s="307"/>
      <c r="BU2" s="307"/>
      <c r="BV2" s="307"/>
      <c r="BW2" s="307"/>
      <c r="BX2" s="307"/>
      <c r="BY2" s="307"/>
      <c r="BZ2" s="307"/>
      <c r="CA2" s="333"/>
      <c r="CB2" s="307"/>
      <c r="CC2" s="307"/>
      <c r="CD2" s="307"/>
      <c r="CE2" s="333"/>
      <c r="CF2" s="307"/>
      <c r="CG2" s="307"/>
      <c r="CH2" s="307"/>
    </row>
    <row r="3" spans="1:95" ht="12.75">
      <c r="A3" s="309" t="s">
        <v>156</v>
      </c>
      <c r="B3" s="310"/>
      <c r="C3" s="310"/>
      <c r="D3" s="310"/>
      <c r="E3" s="310"/>
      <c r="F3" s="310"/>
      <c r="G3" s="310"/>
      <c r="H3" s="310"/>
      <c r="I3" s="310"/>
      <c r="J3" s="310"/>
      <c r="K3" s="310"/>
      <c r="L3" s="310"/>
      <c r="M3" s="310"/>
      <c r="N3" s="310"/>
      <c r="O3" s="310"/>
      <c r="P3" s="310"/>
      <c r="Q3" s="310"/>
      <c r="R3" s="310"/>
      <c r="S3" s="310"/>
      <c r="T3" s="310"/>
      <c r="U3" s="310"/>
      <c r="V3" s="310"/>
      <c r="W3" s="310"/>
      <c r="X3" s="310"/>
      <c r="Y3" s="310"/>
      <c r="Z3" s="310"/>
      <c r="AA3" s="310"/>
      <c r="AB3" s="310"/>
      <c r="AC3" s="310"/>
      <c r="AD3" s="310"/>
      <c r="AE3" s="310"/>
      <c r="AF3" s="310"/>
      <c r="AG3" s="310"/>
      <c r="AH3" s="310"/>
      <c r="AI3" s="310"/>
      <c r="AJ3" s="310"/>
      <c r="AK3" s="310"/>
      <c r="AL3" s="310"/>
      <c r="AM3" s="310"/>
      <c r="AN3" s="310"/>
      <c r="AO3" s="310"/>
      <c r="AP3" s="310"/>
      <c r="AQ3" s="310"/>
      <c r="AR3" s="310"/>
      <c r="AS3" s="310"/>
      <c r="AT3" s="310"/>
      <c r="AU3" s="310"/>
      <c r="AV3" s="310"/>
      <c r="AW3" s="310"/>
      <c r="AX3" s="310"/>
      <c r="AY3" s="310"/>
      <c r="AZ3" s="310"/>
      <c r="BA3" s="310"/>
      <c r="BB3" s="310"/>
      <c r="BC3" s="310"/>
      <c r="BD3" s="310"/>
      <c r="BE3" s="310"/>
      <c r="BF3" s="310"/>
      <c r="BG3" s="310"/>
      <c r="BH3" s="310"/>
      <c r="BI3" s="310"/>
      <c r="BJ3" s="310"/>
      <c r="BK3" s="310"/>
      <c r="BL3" s="310"/>
      <c r="BM3" s="310"/>
      <c r="BN3" s="310"/>
    </row>
    <row r="4" spans="1:95" ht="12.75">
      <c r="A4" s="311" t="s">
        <v>195</v>
      </c>
      <c r="B4" s="309"/>
      <c r="C4" s="309"/>
      <c r="D4" s="309"/>
      <c r="E4" s="309"/>
      <c r="F4" s="309"/>
      <c r="G4" s="309"/>
      <c r="H4" s="309"/>
      <c r="I4" s="309"/>
      <c r="J4" s="309"/>
      <c r="K4" s="309"/>
      <c r="L4" s="309"/>
      <c r="M4" s="309"/>
      <c r="N4" s="309"/>
      <c r="O4" s="309"/>
      <c r="P4" s="309"/>
      <c r="Q4" s="309"/>
      <c r="R4" s="309"/>
      <c r="S4" s="309"/>
      <c r="T4" s="309"/>
      <c r="U4" s="309"/>
      <c r="V4" s="309"/>
      <c r="W4" s="309"/>
      <c r="X4" s="309"/>
      <c r="Y4" s="309"/>
      <c r="Z4" s="309"/>
      <c r="AA4" s="309"/>
      <c r="AB4" s="309"/>
      <c r="AC4" s="309"/>
      <c r="AD4" s="309"/>
      <c r="AE4" s="309"/>
      <c r="AF4" s="309"/>
      <c r="AG4" s="309"/>
      <c r="AH4" s="309"/>
      <c r="AI4" s="309"/>
      <c r="AJ4" s="309"/>
      <c r="AK4" s="309"/>
      <c r="AL4" s="309"/>
      <c r="AM4" s="309"/>
      <c r="AN4" s="309"/>
      <c r="AO4" s="309"/>
      <c r="AP4" s="309"/>
      <c r="AQ4" s="309"/>
      <c r="AR4" s="309"/>
      <c r="AS4" s="309"/>
      <c r="AT4" s="309"/>
      <c r="AU4" s="309"/>
      <c r="AV4" s="309"/>
      <c r="AW4" s="309"/>
      <c r="AX4" s="309"/>
      <c r="AY4" s="309"/>
      <c r="AZ4" s="309"/>
      <c r="BA4" s="309"/>
      <c r="BB4" s="309"/>
      <c r="BC4" s="309"/>
      <c r="BD4" s="309"/>
      <c r="BE4" s="309"/>
      <c r="BF4" s="309"/>
      <c r="BG4" s="309"/>
      <c r="BH4" s="309"/>
      <c r="BI4" s="309"/>
      <c r="BJ4" s="309"/>
      <c r="BK4" s="309"/>
      <c r="BL4" s="309"/>
      <c r="BM4" s="309"/>
      <c r="BN4" s="309"/>
    </row>
    <row r="5" spans="1:95" ht="12.75">
      <c r="A5" s="310"/>
      <c r="B5" s="310"/>
      <c r="C5" s="310"/>
      <c r="D5" s="310"/>
      <c r="E5" s="310"/>
      <c r="F5" s="310"/>
      <c r="G5" s="310"/>
      <c r="H5" s="310"/>
      <c r="I5" s="310"/>
      <c r="J5" s="310"/>
      <c r="K5" s="310"/>
      <c r="L5" s="310"/>
      <c r="M5" s="310"/>
      <c r="N5" s="310"/>
      <c r="O5" s="310"/>
      <c r="P5" s="310"/>
      <c r="Q5" s="310"/>
      <c r="R5" s="310"/>
      <c r="S5" s="310"/>
      <c r="T5" s="310"/>
      <c r="U5" s="310"/>
      <c r="V5" s="310"/>
      <c r="W5" s="310"/>
      <c r="X5" s="310"/>
      <c r="Y5" s="310"/>
      <c r="Z5" s="310"/>
      <c r="AA5" s="310"/>
      <c r="AB5" s="310"/>
      <c r="AC5" s="310"/>
      <c r="AD5" s="310"/>
      <c r="AE5" s="310"/>
      <c r="AF5" s="310"/>
      <c r="AG5" s="310"/>
      <c r="AH5" s="310"/>
      <c r="AI5" s="310"/>
      <c r="AJ5" s="310"/>
      <c r="AK5" s="310"/>
      <c r="AL5" s="310"/>
      <c r="AM5" s="310"/>
      <c r="AN5" s="310"/>
      <c r="AO5" s="310"/>
      <c r="AP5" s="310"/>
      <c r="AQ5" s="310"/>
      <c r="AR5" s="310"/>
      <c r="AS5" s="310"/>
      <c r="AT5" s="310"/>
      <c r="AU5" s="310"/>
      <c r="AV5" s="310"/>
      <c r="AW5" s="310"/>
      <c r="AX5" s="310"/>
      <c r="AY5" s="310"/>
      <c r="AZ5" s="310"/>
      <c r="BA5" s="310"/>
      <c r="BB5" s="310"/>
      <c r="BC5" s="310"/>
      <c r="BD5" s="310"/>
      <c r="BE5" s="310"/>
      <c r="BF5" s="310"/>
      <c r="BG5" s="310"/>
      <c r="BH5" s="310"/>
      <c r="BI5" s="310"/>
      <c r="BJ5" s="310"/>
      <c r="BK5" s="310"/>
      <c r="BL5" s="310"/>
      <c r="BM5" s="310"/>
      <c r="BN5" s="310"/>
    </row>
    <row r="6" spans="1:95" ht="12.75">
      <c r="A6" s="310"/>
      <c r="B6" s="310"/>
      <c r="C6" s="310"/>
      <c r="D6" s="310"/>
      <c r="E6" s="312"/>
      <c r="F6" s="312"/>
      <c r="G6" s="310"/>
      <c r="H6" s="310"/>
      <c r="I6" s="312"/>
      <c r="J6" s="312"/>
      <c r="K6" s="310"/>
      <c r="L6" s="312"/>
      <c r="M6" s="312"/>
      <c r="N6" s="312"/>
      <c r="O6" s="310"/>
      <c r="P6" s="312"/>
      <c r="Q6" s="312"/>
      <c r="R6" s="312"/>
      <c r="S6" s="310"/>
      <c r="T6" s="312"/>
      <c r="U6" s="312"/>
      <c r="V6" s="312"/>
      <c r="W6" s="310"/>
      <c r="X6" s="312"/>
      <c r="Y6" s="312"/>
      <c r="Z6" s="312"/>
      <c r="AA6" s="310"/>
      <c r="AB6" s="312"/>
      <c r="AC6" s="312"/>
      <c r="AD6" s="312"/>
      <c r="AE6" s="310"/>
      <c r="AF6" s="312"/>
      <c r="AG6" s="312"/>
      <c r="AH6" s="312"/>
      <c r="AI6" s="310"/>
      <c r="AJ6" s="312"/>
      <c r="AK6" s="312"/>
      <c r="AL6" s="312"/>
      <c r="AM6" s="310"/>
      <c r="AN6" s="312"/>
      <c r="AO6" s="312"/>
      <c r="AP6" s="312"/>
      <c r="AQ6" s="310"/>
      <c r="AR6" s="312"/>
      <c r="AS6" s="312"/>
      <c r="AT6" s="312"/>
      <c r="AU6" s="310"/>
      <c r="AV6" s="312"/>
      <c r="AW6" s="312"/>
      <c r="AX6" s="312"/>
      <c r="AY6" s="310"/>
      <c r="AZ6" s="312"/>
      <c r="BA6" s="312"/>
      <c r="BB6" s="312"/>
      <c r="BC6" s="310"/>
      <c r="BD6" s="312"/>
      <c r="BE6" s="312"/>
      <c r="BF6" s="312"/>
      <c r="BG6" s="310"/>
      <c r="BH6" s="312"/>
      <c r="BI6" s="312"/>
      <c r="BJ6" s="312"/>
      <c r="BK6" s="310"/>
      <c r="BL6" s="312"/>
      <c r="BM6" s="312"/>
      <c r="BN6" s="312"/>
    </row>
    <row r="7" spans="1:95" ht="12.75">
      <c r="A7" s="310"/>
      <c r="B7" s="310"/>
      <c r="C7" s="310"/>
      <c r="D7" s="314">
        <v>1997</v>
      </c>
      <c r="E7" s="314"/>
      <c r="F7" s="314"/>
      <c r="G7" s="313"/>
      <c r="H7" s="314">
        <f>+D7+1</f>
        <v>1998</v>
      </c>
      <c r="I7" s="314"/>
      <c r="J7" s="314"/>
      <c r="K7" s="313"/>
      <c r="L7" s="314">
        <f>H7+1</f>
        <v>1999</v>
      </c>
      <c r="M7" s="314"/>
      <c r="N7" s="314"/>
      <c r="O7" s="310"/>
      <c r="P7" s="314">
        <f>L7+1</f>
        <v>2000</v>
      </c>
      <c r="Q7" s="314"/>
      <c r="R7" s="314"/>
      <c r="S7" s="310"/>
      <c r="T7" s="314">
        <f>P7+1</f>
        <v>2001</v>
      </c>
      <c r="U7" s="314"/>
      <c r="V7" s="314"/>
      <c r="W7" s="310"/>
      <c r="X7" s="314">
        <f>T7+1</f>
        <v>2002</v>
      </c>
      <c r="Y7" s="314"/>
      <c r="Z7" s="314"/>
      <c r="AA7" s="310"/>
      <c r="AB7" s="314">
        <f>X7+1</f>
        <v>2003</v>
      </c>
      <c r="AC7" s="314"/>
      <c r="AD7" s="314"/>
      <c r="AE7" s="310"/>
      <c r="AF7" s="314">
        <f>AB7+1</f>
        <v>2004</v>
      </c>
      <c r="AG7" s="314"/>
      <c r="AH7" s="314"/>
      <c r="AI7" s="310"/>
      <c r="AJ7" s="314">
        <f>AF7+1</f>
        <v>2005</v>
      </c>
      <c r="AK7" s="314"/>
      <c r="AL7" s="314"/>
      <c r="AM7" s="310"/>
      <c r="AN7" s="314">
        <f>AJ7+1</f>
        <v>2006</v>
      </c>
      <c r="AO7" s="314"/>
      <c r="AP7" s="314"/>
      <c r="AQ7" s="310"/>
      <c r="AR7" s="314">
        <f>AN7+1</f>
        <v>2007</v>
      </c>
      <c r="AS7" s="314"/>
      <c r="AT7" s="314"/>
      <c r="AU7" s="310"/>
      <c r="AV7" s="314">
        <f>AR7+1</f>
        <v>2008</v>
      </c>
      <c r="AW7" s="314"/>
      <c r="AX7" s="314"/>
      <c r="AY7" s="310"/>
      <c r="AZ7" s="314">
        <f>AV7+1</f>
        <v>2009</v>
      </c>
      <c r="BA7" s="314"/>
      <c r="BB7" s="314"/>
      <c r="BC7" s="310"/>
      <c r="BD7" s="314">
        <f>AZ7+1</f>
        <v>2010</v>
      </c>
      <c r="BE7" s="314"/>
      <c r="BF7" s="314"/>
      <c r="BG7" s="310"/>
      <c r="BH7" s="314" t="s">
        <v>141</v>
      </c>
      <c r="BI7" s="314"/>
      <c r="BJ7" s="314"/>
      <c r="BK7" s="310"/>
      <c r="BL7" s="314" t="s">
        <v>479</v>
      </c>
      <c r="BM7" s="314"/>
      <c r="BN7" s="314"/>
      <c r="BP7" s="314" t="s">
        <v>190</v>
      </c>
      <c r="BQ7" s="314"/>
      <c r="BR7" s="314"/>
      <c r="BT7" s="314" t="s">
        <v>187</v>
      </c>
      <c r="BU7" s="314"/>
      <c r="BV7" s="314"/>
      <c r="BW7" s="959"/>
      <c r="BX7" s="314" t="s">
        <v>788</v>
      </c>
      <c r="BY7" s="314"/>
      <c r="BZ7" s="314"/>
      <c r="CB7" s="314" t="s">
        <v>800</v>
      </c>
      <c r="CC7" s="314"/>
      <c r="CD7" s="314"/>
      <c r="CF7" s="314" t="s">
        <v>804</v>
      </c>
      <c r="CG7" s="314"/>
      <c r="CH7" s="314"/>
      <c r="CJ7" s="2104" t="s">
        <v>188</v>
      </c>
      <c r="CK7" s="314"/>
      <c r="CL7" s="314"/>
    </row>
    <row r="8" spans="1:95" ht="12.75">
      <c r="A8" s="310"/>
      <c r="B8" s="310"/>
      <c r="C8" s="310"/>
      <c r="D8" s="310"/>
      <c r="E8" s="310"/>
      <c r="F8" s="310"/>
      <c r="G8" s="310"/>
      <c r="H8" s="310"/>
      <c r="I8" s="310"/>
      <c r="J8" s="310"/>
      <c r="K8" s="310"/>
      <c r="L8" s="310"/>
      <c r="M8" s="310"/>
      <c r="N8" s="310"/>
      <c r="O8" s="310"/>
      <c r="P8" s="310"/>
      <c r="Q8" s="310"/>
      <c r="R8" s="310"/>
      <c r="S8" s="310"/>
      <c r="T8" s="310"/>
      <c r="U8" s="310"/>
      <c r="V8" s="310"/>
      <c r="W8" s="310"/>
      <c r="X8" s="310"/>
      <c r="Y8" s="310"/>
      <c r="Z8" s="310"/>
      <c r="AA8" s="310"/>
      <c r="AB8" s="310"/>
      <c r="AC8" s="310"/>
      <c r="AD8" s="310"/>
      <c r="AE8" s="310"/>
      <c r="AF8" s="310"/>
      <c r="AG8" s="310"/>
      <c r="AH8" s="310"/>
      <c r="AI8" s="310"/>
      <c r="AJ8" s="310"/>
      <c r="AK8" s="310"/>
      <c r="AL8" s="310"/>
      <c r="AM8" s="310"/>
      <c r="AN8" s="310"/>
      <c r="AO8" s="310"/>
      <c r="AP8" s="310"/>
      <c r="AQ8" s="310"/>
      <c r="AR8" s="310"/>
      <c r="AS8" s="310"/>
      <c r="AT8" s="310"/>
      <c r="AU8" s="310"/>
      <c r="AV8" s="310"/>
      <c r="AW8" s="310"/>
      <c r="AX8" s="310"/>
      <c r="AY8" s="310"/>
      <c r="AZ8" s="310"/>
      <c r="BA8" s="310"/>
      <c r="BB8" s="310"/>
      <c r="BC8" s="310"/>
      <c r="BD8" s="310"/>
      <c r="BE8" s="310"/>
      <c r="BF8" s="310"/>
      <c r="BG8" s="310"/>
      <c r="BH8" s="310"/>
      <c r="BI8" s="310"/>
      <c r="BJ8" s="310"/>
      <c r="BK8" s="310"/>
      <c r="BL8" s="310"/>
      <c r="BM8" s="310"/>
      <c r="BN8" s="310"/>
    </row>
    <row r="9" spans="1:95" ht="12.75">
      <c r="A9" s="675" t="s">
        <v>569</v>
      </c>
      <c r="B9" s="676"/>
      <c r="C9" s="677"/>
      <c r="D9" s="678"/>
      <c r="E9" s="679"/>
      <c r="F9" s="679"/>
      <c r="G9" s="679"/>
      <c r="H9" s="679"/>
      <c r="I9" s="679"/>
      <c r="J9" s="679"/>
      <c r="K9" s="679"/>
      <c r="L9" s="679"/>
      <c r="M9" s="679"/>
      <c r="N9" s="679"/>
      <c r="O9" s="677"/>
      <c r="P9" s="679"/>
      <c r="Q9" s="679"/>
      <c r="R9" s="679"/>
      <c r="S9" s="677"/>
      <c r="T9" s="679"/>
      <c r="U9" s="679"/>
      <c r="V9" s="679"/>
      <c r="W9" s="677"/>
      <c r="X9" s="679"/>
      <c r="Y9" s="679"/>
      <c r="Z9" s="679"/>
      <c r="AA9" s="677"/>
      <c r="AB9" s="679"/>
      <c r="AC9" s="679"/>
      <c r="AD9" s="679"/>
      <c r="AE9" s="677"/>
      <c r="AF9" s="679"/>
      <c r="AG9" s="679"/>
      <c r="AH9" s="679"/>
      <c r="AI9" s="677"/>
      <c r="AJ9" s="679"/>
      <c r="AK9" s="679"/>
      <c r="AL9" s="679"/>
      <c r="AM9" s="677"/>
      <c r="AN9" s="679"/>
      <c r="AO9" s="679"/>
      <c r="AP9" s="679"/>
      <c r="AQ9" s="677"/>
      <c r="AR9" s="679"/>
      <c r="AS9" s="679"/>
      <c r="AT9" s="679"/>
      <c r="AU9" s="677"/>
      <c r="AV9" s="679"/>
      <c r="AW9" s="679"/>
      <c r="AX9" s="679"/>
      <c r="AY9" s="677"/>
      <c r="AZ9" s="679"/>
      <c r="BA9" s="679"/>
      <c r="BB9" s="679"/>
      <c r="BC9" s="677"/>
      <c r="BD9" s="679"/>
      <c r="BE9" s="679"/>
      <c r="BF9" s="679"/>
      <c r="BG9" s="677"/>
      <c r="BH9" s="679"/>
      <c r="BI9" s="679"/>
      <c r="BJ9" s="679"/>
      <c r="BK9" s="677"/>
      <c r="BL9" s="679"/>
      <c r="BM9" s="679"/>
      <c r="BN9" s="679"/>
    </row>
    <row r="10" spans="1:95" ht="12.75">
      <c r="A10" s="310" t="s">
        <v>147</v>
      </c>
      <c r="B10" s="310" t="s">
        <v>734</v>
      </c>
      <c r="C10" s="310"/>
      <c r="D10" s="322">
        <f>+turn!F25</f>
        <v>35.485999999999997</v>
      </c>
      <c r="E10" s="316"/>
      <c r="F10" s="317"/>
      <c r="G10" s="318"/>
      <c r="H10" s="322">
        <f>+turn!F32</f>
        <v>41.366</v>
      </c>
      <c r="I10" s="316">
        <f>(H10/D10-1)*100</f>
        <v>16.569914896015337</v>
      </c>
      <c r="J10" s="317">
        <f>+'qtrP&amp;L'!P10</f>
        <v>63.561491009318829</v>
      </c>
      <c r="K10" s="318"/>
      <c r="L10" s="322">
        <f>+turn!F39</f>
        <v>56.587000000000003</v>
      </c>
      <c r="M10" s="316">
        <f>(L10/H10-1)*100</f>
        <v>36.795919354058903</v>
      </c>
      <c r="N10" s="317">
        <f>+'qtrP&amp;L'!T10</f>
        <v>45.850301923887081</v>
      </c>
      <c r="O10" s="310"/>
      <c r="P10" s="322">
        <f>+turn!F46</f>
        <v>81.813000000000002</v>
      </c>
      <c r="Q10" s="316">
        <f>(P10/L10-1)*100</f>
        <v>44.579143619559261</v>
      </c>
      <c r="R10" s="317">
        <f>+'qtrP&amp;L'!X10</f>
        <v>22.416852356193772</v>
      </c>
      <c r="S10" s="310"/>
      <c r="T10" s="322">
        <f>+turn!F53</f>
        <v>103.732</v>
      </c>
      <c r="U10" s="316">
        <f>(T10/P10-1)*100</f>
        <v>26.791585689315877</v>
      </c>
      <c r="V10" s="317">
        <f>+'qtrP&amp;L'!AC10</f>
        <v>41.319895055590194</v>
      </c>
      <c r="W10" s="310"/>
      <c r="X10" s="322">
        <f>+turn!F60</f>
        <v>114.18300000000001</v>
      </c>
      <c r="Y10" s="316">
        <f>(X10/T10-1)*100</f>
        <v>10.075000964022674</v>
      </c>
      <c r="Z10" s="317">
        <f>+'qtrP&amp;L'!AG10</f>
        <v>10.473150253629516</v>
      </c>
      <c r="AA10" s="310"/>
      <c r="AB10" s="315">
        <v>146.20500000000001</v>
      </c>
      <c r="AC10" s="316">
        <f>(AB10/X10-1)*100</f>
        <v>28.044454953889808</v>
      </c>
      <c r="AD10" s="317">
        <f>+'qtrP&amp;L'!AK10</f>
        <v>5.0253154991309668</v>
      </c>
      <c r="AE10" s="310"/>
      <c r="AF10" s="315">
        <v>146.786</v>
      </c>
      <c r="AG10" s="316">
        <f>(AF10/AB10-1)*100</f>
        <v>0.39738723025888323</v>
      </c>
      <c r="AH10" s="317">
        <f>+'qtrP&amp;L'!AO10</f>
        <v>13.832754284617877</v>
      </c>
      <c r="AI10" s="310"/>
      <c r="AJ10" s="315">
        <v>175.61199999999999</v>
      </c>
      <c r="AK10" s="316">
        <f>(AJ10/AF10-1)*100</f>
        <v>19.638112626544757</v>
      </c>
      <c r="AL10" s="317">
        <f>+'qtrP&amp;L'!AS10</f>
        <v>37.397887005989801</v>
      </c>
      <c r="AM10" s="310"/>
      <c r="AN10" s="315">
        <v>195.31200000000001</v>
      </c>
      <c r="AO10" s="316">
        <f>(AN10/AJ10-1)*100</f>
        <v>11.217912215566139</v>
      </c>
      <c r="AP10" s="317">
        <f>+'qtrP&amp;L'!AW10</f>
        <v>14.447825410699778</v>
      </c>
      <c r="AQ10" s="310"/>
      <c r="AR10" s="315">
        <v>274.846</v>
      </c>
      <c r="AS10" s="316">
        <f>(AR10/AN10-1)*100</f>
        <v>40.721512247071345</v>
      </c>
      <c r="AT10" s="317">
        <f>+'qtrP&amp;L'!BA10</f>
        <v>17.219214896598189</v>
      </c>
      <c r="AU10" s="310"/>
      <c r="AV10" s="315">
        <v>262.20100000000002</v>
      </c>
      <c r="AW10" s="316">
        <f>(AV10/AR10-1)*100</f>
        <v>-4.6007582427977756</v>
      </c>
      <c r="AX10" s="317">
        <f>+'qtrP&amp;L'!BE10</f>
        <v>4.5585627365746451</v>
      </c>
      <c r="AY10" s="310"/>
      <c r="AZ10" s="315">
        <v>279.233</v>
      </c>
      <c r="BA10" s="316">
        <f>(AZ10/AV10-1)*100</f>
        <v>6.4957799550726225</v>
      </c>
      <c r="BB10" s="317">
        <f>+'qtrP&amp;L'!BI10</f>
        <v>-6.0319974012263078</v>
      </c>
      <c r="BC10" s="310"/>
      <c r="BD10" s="659">
        <v>326.41699999999997</v>
      </c>
      <c r="BE10" s="316">
        <f>(BD10/AZ10-1)*100</f>
        <v>16.897716244140181</v>
      </c>
      <c r="BF10" s="317">
        <f>+'qtrP&amp;L'!BM10</f>
        <v>7.219962804086566</v>
      </c>
      <c r="BG10" s="310"/>
      <c r="BH10" s="659">
        <v>331.58800000000002</v>
      </c>
      <c r="BI10" s="316">
        <f>(BH10/BD10-1)*100</f>
        <v>1.5841699421292654</v>
      </c>
      <c r="BJ10" s="317">
        <f>+'qtrP&amp;L'!BQ10</f>
        <v>-6.5159970238095166</v>
      </c>
      <c r="BK10" s="310"/>
      <c r="BL10" s="659">
        <v>376.68799999999999</v>
      </c>
      <c r="BM10" s="316">
        <f>(BL10/BH10-1)*100</f>
        <v>13.601215966802172</v>
      </c>
      <c r="BN10" s="317">
        <f>'qtrP&amp;L'!BU10</f>
        <v>17.511822565347444</v>
      </c>
      <c r="BP10" s="659">
        <v>340.50799999999998</v>
      </c>
      <c r="BQ10" s="316">
        <f>(BP10/BL10-1)*100</f>
        <v>-9.6047657477806645</v>
      </c>
      <c r="BR10" s="317">
        <f>'qtrP&amp;L'!BY10</f>
        <v>-4.1227890700513026</v>
      </c>
      <c r="BT10" s="659">
        <v>329.24900000000002</v>
      </c>
      <c r="BU10" s="316">
        <f>(BT10/BP10-1)*100</f>
        <v>-3.306530243048611</v>
      </c>
      <c r="BV10" s="317">
        <f>'qtrP&amp;L'!CC10</f>
        <v>-4.9078923937086794</v>
      </c>
      <c r="BW10" s="317"/>
      <c r="BX10" s="659">
        <v>332.64499999999998</v>
      </c>
      <c r="BY10" s="316">
        <f>(BX10/BT10-1)*100</f>
        <v>1.0314382124167354</v>
      </c>
      <c r="BZ10" s="317">
        <f>'qtrP&amp;L'!CG10</f>
        <v>8.2632105972646244</v>
      </c>
      <c r="CB10" s="659">
        <v>334.30099999999999</v>
      </c>
      <c r="CC10" s="316">
        <f>(CB10/BX10-1)*100</f>
        <v>0.4978280148506764</v>
      </c>
      <c r="CD10" s="317">
        <f>'qtrP&amp;L'!CK10</f>
        <v>7.1328911253430993</v>
      </c>
      <c r="CF10" s="659">
        <v>364.274</v>
      </c>
      <c r="CG10" s="316">
        <f>(CF10/CB10-1)*100</f>
        <v>8.9658720733710062</v>
      </c>
      <c r="CH10" s="317">
        <f>'qtrP&amp;L'!CO10</f>
        <v>1.657290476851303</v>
      </c>
    </row>
    <row r="11" spans="1:95" ht="12.75">
      <c r="A11" s="310" t="s">
        <v>148</v>
      </c>
      <c r="B11" s="310" t="s">
        <v>735</v>
      </c>
      <c r="C11" s="310"/>
      <c r="D11" s="320">
        <f>+turn!F26</f>
        <v>41.741</v>
      </c>
      <c r="E11" s="316"/>
      <c r="F11" s="317"/>
      <c r="G11" s="318"/>
      <c r="H11" s="320">
        <f>+turn!F33</f>
        <v>54.322000000000003</v>
      </c>
      <c r="I11" s="316">
        <f>(H11/D11-1)*100</f>
        <v>30.140629117654115</v>
      </c>
      <c r="J11" s="317">
        <f>+'qtrP&amp;L'!P11</f>
        <v>45.92903817360925</v>
      </c>
      <c r="K11" s="318"/>
      <c r="L11" s="320">
        <f>+turn!F40</f>
        <v>74.363</v>
      </c>
      <c r="M11" s="316">
        <f>(L11/H11-1)*100</f>
        <v>36.892971540075848</v>
      </c>
      <c r="N11" s="317">
        <f>+'qtrP&amp;L'!T11</f>
        <v>42.034979440233514</v>
      </c>
      <c r="O11" s="310"/>
      <c r="P11" s="320">
        <f>+turn!F47</f>
        <v>88.56</v>
      </c>
      <c r="Q11" s="316">
        <f>(P11/L11-1)*100</f>
        <v>19.091483667953145</v>
      </c>
      <c r="R11" s="317">
        <f>+'qtrP&amp;L'!X11</f>
        <v>17.020192404609659</v>
      </c>
      <c r="S11" s="310"/>
      <c r="T11" s="320">
        <f>+turn!F54</f>
        <v>145.095</v>
      </c>
      <c r="U11" s="316">
        <f>(T11/P11-1)*100</f>
        <v>63.838075880758808</v>
      </c>
      <c r="V11" s="317">
        <f>+'qtrP&amp;L'!AC11</f>
        <v>39.915875909789108</v>
      </c>
      <c r="W11" s="310"/>
      <c r="X11" s="320">
        <f>+turn!F61</f>
        <v>148.78100000000001</v>
      </c>
      <c r="Y11" s="316">
        <f>(X11/T11-1)*100</f>
        <v>2.5404045625279981</v>
      </c>
      <c r="Z11" s="317">
        <f>+'qtrP&amp;L'!AG11</f>
        <v>9.1685135024214048</v>
      </c>
      <c r="AA11" s="310"/>
      <c r="AB11" s="319">
        <v>159.036</v>
      </c>
      <c r="AC11" s="316">
        <f>(AB11/X11-1)*100</f>
        <v>6.8926811891303341</v>
      </c>
      <c r="AD11" s="317">
        <f>+'qtrP&amp;L'!AK11</f>
        <v>5.5936716791979979</v>
      </c>
      <c r="AE11" s="310"/>
      <c r="AF11" s="319">
        <v>169.48</v>
      </c>
      <c r="AG11" s="316">
        <f>(AF11/AB11-1)*100</f>
        <v>6.5670665761211167</v>
      </c>
      <c r="AH11" s="317">
        <f>+'qtrP&amp;L'!AO11</f>
        <v>17.310824642862443</v>
      </c>
      <c r="AI11" s="310"/>
      <c r="AJ11" s="319">
        <v>271.661</v>
      </c>
      <c r="AK11" s="316">
        <f>(AJ11/AF11-1)*100</f>
        <v>60.290889780505076</v>
      </c>
      <c r="AL11" s="317">
        <f>+'qtrP&amp;L'!AS11</f>
        <v>30.466714887633373</v>
      </c>
      <c r="AM11" s="310"/>
      <c r="AN11" s="319">
        <v>267.392</v>
      </c>
      <c r="AO11" s="316">
        <f>(AN11/AJ11-1)*100</f>
        <v>-1.5714438215275628</v>
      </c>
      <c r="AP11" s="317">
        <f>+'qtrP&amp;L'!AW11</f>
        <v>16.759713725216518</v>
      </c>
      <c r="AQ11" s="310"/>
      <c r="AR11" s="319">
        <v>321.26299999999998</v>
      </c>
      <c r="AS11" s="316">
        <f>(AR11/AN11-1)*100</f>
        <v>20.146825634274769</v>
      </c>
      <c r="AT11" s="317">
        <f>+'qtrP&amp;L'!BA11</f>
        <v>16.745582956737692</v>
      </c>
      <c r="AU11" s="310"/>
      <c r="AV11" s="319">
        <v>341.46300000000002</v>
      </c>
      <c r="AW11" s="316">
        <f>(AV11/AR11-1)*100</f>
        <v>6.2876832999754217</v>
      </c>
      <c r="AX11" s="317">
        <f>+'qtrP&amp;L'!BE11</f>
        <v>-2.0441161622266391</v>
      </c>
      <c r="AY11" s="310"/>
      <c r="AZ11" s="319">
        <v>352.81900000000002</v>
      </c>
      <c r="BA11" s="316">
        <f>(AZ11/AV11-1)*100</f>
        <v>3.3256897526232621</v>
      </c>
      <c r="BB11" s="317">
        <f>+'qtrP&amp;L'!BI11</f>
        <v>-6.0998961985438864</v>
      </c>
      <c r="BC11" s="310"/>
      <c r="BD11" s="319">
        <v>349.09100000000001</v>
      </c>
      <c r="BE11" s="316">
        <f>(BD11/AZ11-1)*100</f>
        <v>-1.0566324375954839</v>
      </c>
      <c r="BF11" s="317">
        <f>+'qtrP&amp;L'!BM11</f>
        <v>0.30040290786303991</v>
      </c>
      <c r="BG11" s="310"/>
      <c r="BH11" s="319">
        <v>457.28199999999998</v>
      </c>
      <c r="BI11" s="316">
        <f>(BH11/BD11-1)*100</f>
        <v>30.992205470779808</v>
      </c>
      <c r="BJ11" s="317">
        <f>+'qtrP&amp;L'!BQ11</f>
        <v>3.1413152552405288</v>
      </c>
      <c r="BK11" s="310"/>
      <c r="BL11" s="319">
        <v>462.01299999999998</v>
      </c>
      <c r="BM11" s="316">
        <f>(BL11/BH11-1)*100</f>
        <v>1.034591346258984</v>
      </c>
      <c r="BN11" s="317">
        <f>'qtrP&amp;L'!BU11</f>
        <v>10.545193687230991</v>
      </c>
      <c r="BP11" s="319">
        <v>461.08</v>
      </c>
      <c r="BQ11" s="316">
        <f>(BP11/BL11-1)*100</f>
        <v>-0.20194236958700484</v>
      </c>
      <c r="BR11" s="317">
        <f>'qtrP&amp;L'!BY11</f>
        <v>-1.6719392169586844</v>
      </c>
      <c r="BT11" s="319">
        <v>393.31599999999997</v>
      </c>
      <c r="BU11" s="316">
        <f>(BT11/BP11-1)*100</f>
        <v>-14.69679882016136</v>
      </c>
      <c r="BV11" s="317">
        <f>'qtrP&amp;L'!CC11</f>
        <v>-2.298597715151518</v>
      </c>
      <c r="BW11" s="317"/>
      <c r="BX11" s="319">
        <v>408.541</v>
      </c>
      <c r="BY11" s="316">
        <f>(BX11/BT11-1)*100</f>
        <v>3.870933295365564</v>
      </c>
      <c r="BZ11" s="317">
        <f>'qtrP&amp;L'!CG11</f>
        <v>12.219759497322658</v>
      </c>
      <c r="CB11" s="319">
        <v>422.15100000000001</v>
      </c>
      <c r="CC11" s="316">
        <f>(CB11/BX11-1)*100</f>
        <v>3.3313669864224238</v>
      </c>
      <c r="CD11" s="317">
        <f>'qtrP&amp;L'!CK11</f>
        <v>3.1558962063032769</v>
      </c>
      <c r="CF11" s="1804">
        <v>433.45800000000003</v>
      </c>
      <c r="CG11" s="316">
        <f>(CF11/CB11-1)*100</f>
        <v>2.6784254923001516</v>
      </c>
      <c r="CH11" s="317">
        <f>'qtrP&amp;L'!CO11</f>
        <v>2.6699684169833482</v>
      </c>
    </row>
    <row r="12" spans="1:95" ht="12.75">
      <c r="A12" s="310" t="s">
        <v>149</v>
      </c>
      <c r="B12" s="310" t="s">
        <v>736</v>
      </c>
      <c r="C12" s="310"/>
      <c r="D12" s="320">
        <f>+turn!F27</f>
        <v>58.912999999999997</v>
      </c>
      <c r="E12" s="316"/>
      <c r="F12" s="317"/>
      <c r="G12" s="318"/>
      <c r="H12" s="320">
        <f>+turn!F34</f>
        <v>74.933999999999997</v>
      </c>
      <c r="I12" s="316">
        <f>(H12/D12-1)*100</f>
        <v>27.194337412795132</v>
      </c>
      <c r="J12" s="317">
        <f>+'qtrP&amp;L'!P12</f>
        <v>42.10215248517666</v>
      </c>
      <c r="K12" s="318"/>
      <c r="L12" s="320">
        <f>+turn!F41</f>
        <v>81.912000000000006</v>
      </c>
      <c r="M12" s="316">
        <f>(L12/H12-1)*100</f>
        <v>9.312194731363622</v>
      </c>
      <c r="N12" s="317">
        <f>+'qtrP&amp;L'!T12</f>
        <v>49.390211178790878</v>
      </c>
      <c r="O12" s="310"/>
      <c r="P12" s="320">
        <f>+turn!F48</f>
        <v>111.386</v>
      </c>
      <c r="Q12" s="316">
        <f>(P12/L12-1)*100</f>
        <v>35.98251782400623</v>
      </c>
      <c r="R12" s="317">
        <f>+'qtrP&amp;L'!X12</f>
        <v>26.976151024055529</v>
      </c>
      <c r="S12" s="310"/>
      <c r="T12" s="320">
        <f>+turn!F55</f>
        <v>175.96799999999999</v>
      </c>
      <c r="U12" s="316">
        <f>(T12/P12-1)*100</f>
        <v>57.980356597777096</v>
      </c>
      <c r="V12" s="317">
        <f>+'qtrP&amp;L'!AC12</f>
        <v>28.607298588590613</v>
      </c>
      <c r="W12" s="310"/>
      <c r="X12" s="320">
        <f>+turn!F62</f>
        <v>181.916</v>
      </c>
      <c r="Y12" s="316">
        <f>(X12/T12-1)*100</f>
        <v>3.3801600290962019</v>
      </c>
      <c r="Z12" s="317">
        <f>+'qtrP&amp;L'!AG12</f>
        <v>2.9794395298892828</v>
      </c>
      <c r="AA12" s="310"/>
      <c r="AB12" s="319">
        <v>193.79599999999999</v>
      </c>
      <c r="AC12" s="316">
        <f>(AB12/X12-1)*100</f>
        <v>6.5304865982101612</v>
      </c>
      <c r="AD12" s="317">
        <f>+'qtrP&amp;L'!AK12</f>
        <v>-0.18531672069512783</v>
      </c>
      <c r="AE12" s="310"/>
      <c r="AF12" s="319">
        <v>204.97200000000001</v>
      </c>
      <c r="AG12" s="316">
        <f>(AF12/AB12-1)*100</f>
        <v>5.7668888934756302</v>
      </c>
      <c r="AH12" s="317">
        <f>+'qtrP&amp;L'!AO12</f>
        <v>28.299892990904208</v>
      </c>
      <c r="AI12" s="310"/>
      <c r="AJ12" s="319">
        <v>303.05</v>
      </c>
      <c r="AK12" s="316">
        <f>(AJ12/AF12-1)*100</f>
        <v>47.8494623655914</v>
      </c>
      <c r="AL12" s="317">
        <f>+'qtrP&amp;L'!AS12</f>
        <v>21.051951166112381</v>
      </c>
      <c r="AM12" s="310"/>
      <c r="AN12" s="319">
        <v>348.63099999999997</v>
      </c>
      <c r="AO12" s="316">
        <f>(AN12/AJ12-1)*100</f>
        <v>15.040752351097165</v>
      </c>
      <c r="AP12" s="317">
        <f>+'qtrP&amp;L'!AW12</f>
        <v>19.936887108192771</v>
      </c>
      <c r="AQ12" s="310"/>
      <c r="AR12" s="319">
        <v>393.06799999999998</v>
      </c>
      <c r="AS12" s="316">
        <f>(AR12/AN12-1)*100</f>
        <v>12.746141335681571</v>
      </c>
      <c r="AT12" s="317">
        <f>+'qtrP&amp;L'!BA12</f>
        <v>6.9156529606916761</v>
      </c>
      <c r="AU12" s="310"/>
      <c r="AV12" s="319">
        <v>421.90899999999999</v>
      </c>
      <c r="AW12" s="316">
        <f>(AV12/AR12-1)*100</f>
        <v>7.337407267953644</v>
      </c>
      <c r="AX12" s="317">
        <f>+'qtrP&amp;L'!BE12</f>
        <v>1.2886144405951816</v>
      </c>
      <c r="AY12" s="310"/>
      <c r="AZ12" s="319">
        <v>425.41500000000002</v>
      </c>
      <c r="BA12" s="316">
        <f>(AZ12/AV12-1)*100</f>
        <v>0.83098488062591791</v>
      </c>
      <c r="BB12" s="317">
        <f>+'qtrP&amp;L'!BI12</f>
        <v>-2.3904694205581722</v>
      </c>
      <c r="BC12" s="310"/>
      <c r="BD12" s="319">
        <v>409.50900000000001</v>
      </c>
      <c r="BE12" s="316">
        <f>(BD12/AZ12-1)*100</f>
        <v>-3.7389372730157633</v>
      </c>
      <c r="BF12" s="317">
        <f>+'qtrP&amp;L'!BM12</f>
        <v>1.2007972706929548</v>
      </c>
      <c r="BG12" s="310"/>
      <c r="BH12" s="319">
        <v>571.75099999999998</v>
      </c>
      <c r="BI12" s="316">
        <f>(BH12/BD12-1)*100</f>
        <v>39.618665279639757</v>
      </c>
      <c r="BJ12" s="317">
        <f>+'qtrP&amp;L'!BQ12</f>
        <v>10.011425134490359</v>
      </c>
      <c r="BK12" s="310"/>
      <c r="BL12" s="319">
        <v>481.20800000000003</v>
      </c>
      <c r="BM12" s="316">
        <f>(BL12/BH12-1)*100</f>
        <v>-15.836089486507232</v>
      </c>
      <c r="BN12" s="317">
        <f>'qtrP&amp;L'!BU12</f>
        <v>11.099937882816979</v>
      </c>
      <c r="BP12" s="319">
        <v>518.904</v>
      </c>
      <c r="BQ12" s="316">
        <f>(BP12/BL12-1)*100</f>
        <v>7.8336187262057155</v>
      </c>
      <c r="BR12" s="317">
        <f>'qtrP&amp;L'!BY12</f>
        <v>-5.8293624378552238</v>
      </c>
      <c r="BT12" s="319">
        <v>468.62799999999999</v>
      </c>
      <c r="BU12" s="316">
        <f>(BT12/BP12-1)*100</f>
        <v>-9.688882722044923</v>
      </c>
      <c r="BV12" s="317">
        <f>'qtrP&amp;L'!CC12</f>
        <v>-0.35168347320965188</v>
      </c>
      <c r="BW12" s="317"/>
      <c r="BX12" s="319">
        <v>479.72899999999998</v>
      </c>
      <c r="BY12" s="316">
        <f>(BX12/BT12-1)*100</f>
        <v>2.3688298607851044</v>
      </c>
      <c r="BZ12" s="317">
        <f>'qtrP&amp;L'!CG12</f>
        <v>7.5831392150206733</v>
      </c>
      <c r="CB12" s="319">
        <v>492.60199999999998</v>
      </c>
      <c r="CC12" s="316">
        <f>(CB12/BX12-1)*100</f>
        <v>2.6833899972692921</v>
      </c>
      <c r="CD12" s="317">
        <f>'qtrP&amp;L'!CK12</f>
        <v>2.343341979736091</v>
      </c>
      <c r="CF12" s="319">
        <v>534.01900000000001</v>
      </c>
      <c r="CG12" s="316">
        <f>(CF12/CB12-1)*100</f>
        <v>8.4078018359649462</v>
      </c>
      <c r="CH12" s="317">
        <f>'qtrP&amp;L'!CO12</f>
        <v>2.1075707334290872</v>
      </c>
      <c r="CM12" s="2149"/>
      <c r="CN12" s="2149"/>
      <c r="CQ12" s="2146"/>
    </row>
    <row r="13" spans="1:95" ht="12.75">
      <c r="A13" s="310" t="s">
        <v>150</v>
      </c>
      <c r="B13" s="310" t="s">
        <v>737</v>
      </c>
      <c r="C13" s="310"/>
      <c r="D13" s="320">
        <f>+bal!I8+bal!I9</f>
        <v>48.359000000000002</v>
      </c>
      <c r="E13" s="316"/>
      <c r="F13" s="317"/>
      <c r="G13" s="318"/>
      <c r="H13" s="320">
        <f>+turn!F35</f>
        <v>49.688000000000002</v>
      </c>
      <c r="I13" s="316">
        <f>(H13/D13-1)*100</f>
        <v>2.7481957856862138</v>
      </c>
      <c r="J13" s="317">
        <f>+'qtrP&amp;L'!P13</f>
        <v>38.651268705270027</v>
      </c>
      <c r="K13" s="318"/>
      <c r="L13" s="320">
        <f>+turn!F42</f>
        <v>60.375</v>
      </c>
      <c r="M13" s="316">
        <f>(L13/H13-1)*100</f>
        <v>21.508211238125895</v>
      </c>
      <c r="N13" s="317">
        <f>+'qtrP&amp;L'!T13</f>
        <v>33.935065483536441</v>
      </c>
      <c r="O13" s="310"/>
      <c r="P13" s="320">
        <f>+turn!F49</f>
        <v>84.063999999999993</v>
      </c>
      <c r="Q13" s="316">
        <f>(P13/L13-1)*100</f>
        <v>39.236438923395433</v>
      </c>
      <c r="R13" s="317">
        <f>+'qtrP&amp;L'!X13</f>
        <v>48.457212928089689</v>
      </c>
      <c r="S13" s="310"/>
      <c r="T13" s="320">
        <f>+turn!F56</f>
        <v>91.096000000000004</v>
      </c>
      <c r="U13" s="316">
        <f>(T13/P13-1)*100</f>
        <v>8.3650551960411157</v>
      </c>
      <c r="V13" s="317">
        <f>+'qtrP&amp;L'!AC13</f>
        <v>9.5734588208640439</v>
      </c>
      <c r="W13" s="310"/>
      <c r="X13" s="320">
        <f>+turn!F63</f>
        <v>124.708</v>
      </c>
      <c r="Y13" s="316">
        <f>(X13/T13-1)*100</f>
        <v>36.897339070870295</v>
      </c>
      <c r="Z13" s="317">
        <f>+'qtrP&amp;L'!AG13</f>
        <v>5.8699116950247543</v>
      </c>
      <c r="AA13" s="310"/>
      <c r="AB13" s="319">
        <v>120.586</v>
      </c>
      <c r="AC13" s="316">
        <f>(AB13/X13-1)*100</f>
        <v>-3.3053212303941981</v>
      </c>
      <c r="AD13" s="317">
        <f>+'qtrP&amp;L'!AK13</f>
        <v>-0.19814710082717291</v>
      </c>
      <c r="AE13" s="310"/>
      <c r="AF13" s="319">
        <v>170.57599999999999</v>
      </c>
      <c r="AG13" s="316">
        <f>(AF13/AB13-1)*100</f>
        <v>41.455890401870853</v>
      </c>
      <c r="AH13" s="317">
        <f>+'qtrP&amp;L'!AO13</f>
        <v>37.393289575604392</v>
      </c>
      <c r="AI13" s="310"/>
      <c r="AJ13" s="319">
        <v>210.739</v>
      </c>
      <c r="AK13" s="316">
        <f>(AJ13/AF13-1)*100</f>
        <v>23.54551636807054</v>
      </c>
      <c r="AL13" s="317">
        <f>+'qtrP&amp;L'!AS13</f>
        <v>14.101278292761087</v>
      </c>
      <c r="AM13" s="310"/>
      <c r="AN13" s="319">
        <v>263.64400000000001</v>
      </c>
      <c r="AO13" s="316">
        <f>(AN13/AJ13-1)*100</f>
        <v>25.10451316557447</v>
      </c>
      <c r="AP13" s="317">
        <f>+'qtrP&amp;L'!AW13</f>
        <v>26.563901855487781</v>
      </c>
      <c r="AQ13" s="310"/>
      <c r="AR13" s="319">
        <v>286.48500000000001</v>
      </c>
      <c r="AS13" s="316">
        <f>(AR13/AN13-1)*100</f>
        <v>8.6635766412283211</v>
      </c>
      <c r="AT13" s="317">
        <f>+'qtrP&amp;L'!BA13</f>
        <v>2.2638989484931038</v>
      </c>
      <c r="AU13" s="310"/>
      <c r="AV13" s="319">
        <v>294.928</v>
      </c>
      <c r="AW13" s="316">
        <f>(AV13/AR13-1)*100</f>
        <v>2.947100197218</v>
      </c>
      <c r="AX13" s="317">
        <f>+'qtrP&amp;L'!BE13</f>
        <v>-9.0102380849526931</v>
      </c>
      <c r="AY13" s="310"/>
      <c r="AZ13" s="319">
        <v>326.45400000000001</v>
      </c>
      <c r="BA13" s="316">
        <f>(AZ13/AV13-1)*100</f>
        <v>10.68938859653883</v>
      </c>
      <c r="BB13" s="317">
        <f>+'qtrP&amp;L'!BI13</f>
        <v>5.5280204656442011</v>
      </c>
      <c r="BC13" s="310"/>
      <c r="BD13" s="319">
        <v>301.20800000000003</v>
      </c>
      <c r="BE13" s="316">
        <f>(BD13/AZ13-1)*100</f>
        <v>-7.733401949432384</v>
      </c>
      <c r="BF13" s="317">
        <f>+'qtrP&amp;L'!BM13</f>
        <v>-5.1473088500399111</v>
      </c>
      <c r="BG13" s="310"/>
      <c r="BH13" s="319">
        <v>367.51400000000001</v>
      </c>
      <c r="BI13" s="316">
        <f>(BH13/BD13-1)*100</f>
        <v>22.013359538923272</v>
      </c>
      <c r="BJ13" s="317">
        <f>+'qtrP&amp;L'!BQ13</f>
        <v>13.441446131853208</v>
      </c>
      <c r="BK13" s="310"/>
      <c r="BL13" s="319">
        <v>332.452</v>
      </c>
      <c r="BM13" s="316">
        <f>(BL13/BH13-1)*100</f>
        <v>-9.5403168314676439</v>
      </c>
      <c r="BN13" s="317">
        <f>'qtrP&amp;L'!BU13</f>
        <v>8.6160425186836207</v>
      </c>
      <c r="BP13" s="319">
        <v>292</v>
      </c>
      <c r="BQ13" s="316">
        <f>(BP13/BL13-1)*100</f>
        <v>-12.16777158807888</v>
      </c>
      <c r="BR13" s="317">
        <f>'qtrP&amp;L'!BY13</f>
        <v>-6.7450693924102083</v>
      </c>
      <c r="BT13" s="319">
        <v>278.97199999999998</v>
      </c>
      <c r="BU13" s="316">
        <f>(BT13/BP13-1)*100</f>
        <v>-4.4616438356164467</v>
      </c>
      <c r="BV13" s="317">
        <f>'qtrP&amp;L'!CC13</f>
        <v>2.8939039480391227</v>
      </c>
      <c r="BW13" s="317"/>
      <c r="BX13" s="319">
        <v>305.178</v>
      </c>
      <c r="BY13" s="316">
        <f>(BX13/BT13-1)*100</f>
        <v>9.3937742855913839</v>
      </c>
      <c r="BZ13" s="317">
        <f>'qtrP&amp;L'!CG13</f>
        <v>3.1697443586014007</v>
      </c>
      <c r="CA13" s="335"/>
      <c r="CB13" s="319">
        <v>358.44600000000003</v>
      </c>
      <c r="CC13" s="316">
        <f>(CB13/BX13-1)*100</f>
        <v>17.454731337121299</v>
      </c>
      <c r="CD13" s="317">
        <f>'qtrP&amp;L'!CK13</f>
        <v>-0.77607005791134887</v>
      </c>
      <c r="CE13" s="335"/>
      <c r="CF13" s="2187">
        <v>398.21300000000002</v>
      </c>
      <c r="CG13" s="316">
        <f>(CF13/CB13-1)*100</f>
        <v>11.094279194076663</v>
      </c>
      <c r="CH13" s="317">
        <f>'qtrP&amp;L'!CO13</f>
        <v>11.982454253649589</v>
      </c>
    </row>
    <row r="14" spans="1:95" ht="12.75">
      <c r="A14" s="310"/>
      <c r="B14" s="310"/>
      <c r="C14" s="310"/>
      <c r="D14" s="310"/>
      <c r="E14" s="310"/>
      <c r="F14" s="310"/>
      <c r="G14" s="310"/>
      <c r="H14" s="310"/>
      <c r="I14" s="310"/>
      <c r="J14" s="310"/>
      <c r="K14" s="310"/>
      <c r="L14" s="310"/>
      <c r="M14" s="310"/>
      <c r="N14" s="310"/>
      <c r="O14" s="310"/>
      <c r="P14" s="310"/>
      <c r="Q14" s="310"/>
      <c r="R14" s="310"/>
      <c r="S14" s="310"/>
      <c r="T14" s="310"/>
      <c r="U14" s="310"/>
      <c r="V14" s="310"/>
      <c r="W14" s="310"/>
      <c r="X14" s="310"/>
      <c r="Y14" s="310"/>
      <c r="Z14" s="310"/>
      <c r="AA14" s="310"/>
      <c r="AB14" s="310"/>
      <c r="AC14" s="310"/>
      <c r="AD14" s="310"/>
      <c r="AE14" s="310"/>
      <c r="AF14" s="310"/>
      <c r="AG14" s="310"/>
      <c r="AH14" s="310"/>
      <c r="AI14" s="310"/>
      <c r="AJ14" s="310"/>
      <c r="AK14" s="310"/>
      <c r="AL14" s="310"/>
      <c r="AM14" s="310"/>
      <c r="AN14" s="310"/>
      <c r="AO14" s="310"/>
      <c r="AP14" s="310"/>
      <c r="AQ14" s="310"/>
      <c r="AR14" s="310"/>
      <c r="AS14" s="310"/>
      <c r="AT14" s="310"/>
      <c r="AU14" s="310"/>
      <c r="AV14" s="310"/>
      <c r="AW14" s="310"/>
      <c r="AX14" s="310"/>
      <c r="AY14" s="310"/>
      <c r="AZ14" s="310"/>
      <c r="BA14" s="310"/>
      <c r="BB14" s="310"/>
      <c r="BC14" s="310"/>
      <c r="BD14" s="310"/>
      <c r="BE14" s="310"/>
      <c r="BF14" s="310"/>
      <c r="BG14" s="310"/>
      <c r="BH14" s="310"/>
      <c r="BI14" s="310"/>
      <c r="BJ14" s="310"/>
      <c r="BK14" s="310"/>
      <c r="BL14" s="310"/>
      <c r="BM14" s="310"/>
      <c r="BN14" s="310"/>
      <c r="BQ14" s="335"/>
      <c r="BU14" s="316"/>
    </row>
    <row r="15" spans="1:95" ht="12.75">
      <c r="A15" s="675" t="s">
        <v>570</v>
      </c>
      <c r="B15" s="676"/>
      <c r="C15" s="677"/>
      <c r="D15" s="678"/>
      <c r="E15" s="679"/>
      <c r="F15" s="679"/>
      <c r="G15" s="679"/>
      <c r="H15" s="679"/>
      <c r="I15" s="679"/>
      <c r="J15" s="679"/>
      <c r="K15" s="679"/>
      <c r="L15" s="679"/>
      <c r="M15" s="679"/>
      <c r="N15" s="679"/>
      <c r="O15" s="677"/>
      <c r="P15" s="679"/>
      <c r="Q15" s="679"/>
      <c r="R15" s="679"/>
      <c r="S15" s="677"/>
      <c r="T15" s="679"/>
      <c r="U15" s="679"/>
      <c r="V15" s="679"/>
      <c r="W15" s="677"/>
      <c r="X15" s="679"/>
      <c r="Y15" s="679"/>
      <c r="Z15" s="679"/>
      <c r="AA15" s="677"/>
      <c r="AB15" s="679"/>
      <c r="AC15" s="679"/>
      <c r="AD15" s="679"/>
      <c r="AE15" s="677"/>
      <c r="AF15" s="679"/>
      <c r="AG15" s="679"/>
      <c r="AH15" s="679"/>
      <c r="AI15" s="677"/>
      <c r="AJ15" s="679"/>
      <c r="AK15" s="679"/>
      <c r="AL15" s="679"/>
      <c r="AM15" s="677"/>
      <c r="AN15" s="679"/>
      <c r="AO15" s="679"/>
      <c r="AP15" s="679"/>
      <c r="AQ15" s="677"/>
      <c r="AR15" s="679"/>
      <c r="AS15" s="679"/>
      <c r="AT15" s="679"/>
      <c r="AU15" s="677"/>
      <c r="AV15" s="679"/>
      <c r="AW15" s="679"/>
      <c r="AX15" s="679"/>
      <c r="AY15" s="677"/>
      <c r="AZ15" s="679"/>
      <c r="BA15" s="679"/>
      <c r="BB15" s="679"/>
      <c r="BC15" s="677"/>
      <c r="BD15" s="679"/>
      <c r="BE15" s="679"/>
      <c r="BF15" s="679"/>
      <c r="BG15" s="677"/>
      <c r="BH15" s="679"/>
      <c r="BI15" s="679"/>
      <c r="BJ15" s="679"/>
      <c r="BK15" s="677"/>
      <c r="BL15" s="679"/>
      <c r="BM15" s="679"/>
      <c r="BN15" s="679"/>
      <c r="CQ15" s="2145"/>
    </row>
    <row r="16" spans="1:95" ht="12.75">
      <c r="A16" s="310" t="str">
        <f>$A$10</f>
        <v>1Q</v>
      </c>
      <c r="B16" s="310" t="str">
        <f>$B$10</f>
        <v>Apr</v>
      </c>
      <c r="C16" s="310"/>
      <c r="D16" s="315">
        <f>9.733+13.435+8.199</f>
        <v>31.366999999999997</v>
      </c>
      <c r="E16" s="316"/>
      <c r="F16" s="317"/>
      <c r="G16" s="318"/>
      <c r="H16" s="315">
        <f>5.771+6.142+5.851</f>
        <v>17.763999999999999</v>
      </c>
      <c r="I16" s="316">
        <f>(H16/D16-1)*100</f>
        <v>-43.36723307935091</v>
      </c>
      <c r="J16" s="317">
        <f>+J$10</f>
        <v>63.561491009318829</v>
      </c>
      <c r="K16" s="318"/>
      <c r="L16" s="315">
        <f>9.733+13.435+8.199</f>
        <v>31.366999999999997</v>
      </c>
      <c r="M16" s="316">
        <f>(L16/H16-1)*100</f>
        <v>76.576221571718079</v>
      </c>
      <c r="N16" s="317">
        <f>+N$10</f>
        <v>45.850301923887081</v>
      </c>
      <c r="O16" s="310"/>
      <c r="P16" s="315">
        <f>15.031+15.632+16.129</f>
        <v>46.792000000000002</v>
      </c>
      <c r="Q16" s="316">
        <f>(P16/L16-1)*100</f>
        <v>49.175885484745137</v>
      </c>
      <c r="R16" s="317">
        <f>+R$10</f>
        <v>22.416852356193772</v>
      </c>
      <c r="S16" s="310"/>
      <c r="T16" s="315">
        <f>27.561+21.544+28.375</f>
        <v>77.48</v>
      </c>
      <c r="U16" s="316">
        <f>(T16/P16-1)*100</f>
        <v>65.583860488972462</v>
      </c>
      <c r="V16" s="317">
        <f>+V$10</f>
        <v>41.319895055590194</v>
      </c>
      <c r="W16" s="310"/>
      <c r="X16" s="315">
        <f>35.172+25.995+19.216</f>
        <v>80.38300000000001</v>
      </c>
      <c r="Y16" s="316">
        <f>(X16/T16-1)*100</f>
        <v>3.7467733608673282</v>
      </c>
      <c r="Z16" s="317">
        <f>+Z$10</f>
        <v>10.473150253629516</v>
      </c>
      <c r="AA16" s="310"/>
      <c r="AB16" s="315">
        <v>74.400999999999996</v>
      </c>
      <c r="AC16" s="316">
        <f>(AB16/X16-1)*100</f>
        <v>-7.4418720376199126</v>
      </c>
      <c r="AD16" s="317">
        <f>+AD$10</f>
        <v>5.0253154991309668</v>
      </c>
      <c r="AE16" s="310"/>
      <c r="AF16" s="315">
        <v>83.114000000000004</v>
      </c>
      <c r="AG16" s="316">
        <f>(AF16/AB16-1)*100</f>
        <v>11.710864101288966</v>
      </c>
      <c r="AH16" s="317">
        <f>+AH$10</f>
        <v>13.832754284617877</v>
      </c>
      <c r="AI16" s="310"/>
      <c r="AJ16" s="315">
        <f>120.724+40.144</f>
        <v>160.86799999999999</v>
      </c>
      <c r="AK16" s="316">
        <f>(AJ16/AF16-1)*100</f>
        <v>93.551026301224809</v>
      </c>
      <c r="AL16" s="317">
        <f>+AL$10</f>
        <v>37.397887005989801</v>
      </c>
      <c r="AM16" s="310"/>
      <c r="AN16" s="315">
        <f>101.503+20.007</f>
        <v>121.51</v>
      </c>
      <c r="AO16" s="316">
        <f>(AN16/AJ16-1)*100</f>
        <v>-24.466021831563754</v>
      </c>
      <c r="AP16" s="317">
        <f>+AP$10</f>
        <v>14.447825410699778</v>
      </c>
      <c r="AQ16" s="310"/>
      <c r="AR16" s="315">
        <v>136.81100000000001</v>
      </c>
      <c r="AS16" s="316">
        <f>(AR16/AN16-1)*100</f>
        <v>12.592379228047079</v>
      </c>
      <c r="AT16" s="317">
        <f>+AT$10</f>
        <v>17.219214896598189</v>
      </c>
      <c r="AU16" s="310"/>
      <c r="AV16" s="315">
        <f>41.651+92.403+41.091</f>
        <v>175.14500000000001</v>
      </c>
      <c r="AW16" s="316">
        <f>(AV16/AR16-1)*100</f>
        <v>28.019676780375846</v>
      </c>
      <c r="AX16" s="317">
        <f>+AX$10</f>
        <v>4.5585627365746451</v>
      </c>
      <c r="AY16" s="310"/>
      <c r="AZ16" s="315">
        <f>62.176+61.479</f>
        <v>123.655</v>
      </c>
      <c r="BA16" s="316">
        <f>(AZ16/AV16-1)*100</f>
        <v>-29.398498387050729</v>
      </c>
      <c r="BB16" s="317">
        <f>+BB$10</f>
        <v>-6.0319974012263078</v>
      </c>
      <c r="BC16" s="310"/>
      <c r="BD16" s="659">
        <f>39.637+90.247</f>
        <v>129.88400000000001</v>
      </c>
      <c r="BE16" s="316">
        <f>(BD16/AZ16-1)*100</f>
        <v>5.0374024503659465</v>
      </c>
      <c r="BF16" s="317">
        <f>+BF$10</f>
        <v>7.219962804086566</v>
      </c>
      <c r="BG16" s="310"/>
      <c r="BH16" s="659">
        <f>31.464+84.687+49.023</f>
        <v>165.17400000000001</v>
      </c>
      <c r="BI16" s="316">
        <f>(BH16/BD16-1)*100</f>
        <v>27.170398201472068</v>
      </c>
      <c r="BJ16" s="317">
        <f>+BJ$10</f>
        <v>-6.5159970238095166</v>
      </c>
      <c r="BK16" s="310"/>
      <c r="BL16" s="659">
        <f>37.472+75.433+48.358</f>
        <v>161.26300000000001</v>
      </c>
      <c r="BM16" s="316">
        <f>(BL16/BH16-1)*100</f>
        <v>-2.3678060711734283</v>
      </c>
      <c r="BN16" s="317">
        <f>+BN$10</f>
        <v>17.511822565347444</v>
      </c>
      <c r="BP16" s="659">
        <f>55.193+97.512+42.649</f>
        <v>195.35399999999998</v>
      </c>
      <c r="BQ16" s="316">
        <f>(BP16/BL16-1)*100</f>
        <v>21.140001116189076</v>
      </c>
      <c r="BR16" s="317">
        <f>+BR$10</f>
        <v>-4.1227890700513026</v>
      </c>
      <c r="BT16" s="659">
        <f>67.72+90.227+46.057</f>
        <v>204.00400000000002</v>
      </c>
      <c r="BU16" s="316">
        <f>(BT16/BP16-1)*100</f>
        <v>4.4278591684838942</v>
      </c>
      <c r="BV16" s="317">
        <f>+BV$10</f>
        <v>-4.9078923937086794</v>
      </c>
      <c r="BW16" s="317"/>
      <c r="BX16" s="659">
        <f>64.01+77.503</f>
        <v>141.51300000000001</v>
      </c>
      <c r="BY16" s="1801">
        <f>(BX16/BT16-1)*100</f>
        <v>-30.632242505048922</v>
      </c>
      <c r="BZ16" s="1802">
        <f>+BZ$10</f>
        <v>8.2632105972646244</v>
      </c>
      <c r="CA16" s="1803"/>
      <c r="CB16" s="659">
        <f>73.283+82.767</f>
        <v>156.05000000000001</v>
      </c>
      <c r="CC16" s="316">
        <f>(CB16/BX16-1)*100</f>
        <v>10.272554464960827</v>
      </c>
      <c r="CD16" s="317">
        <f>+CD$10</f>
        <v>7.1328911253430993</v>
      </c>
      <c r="CE16" s="1803"/>
      <c r="CF16" s="659">
        <f>79.432+94.769</f>
        <v>174.20100000000002</v>
      </c>
      <c r="CG16" s="316">
        <f>(CF16/CB16-1)*100</f>
        <v>11.631528356296062</v>
      </c>
      <c r="CH16" s="317">
        <f>+CH$10</f>
        <v>1.657290476851303</v>
      </c>
    </row>
    <row r="17" spans="1:86" ht="12.75">
      <c r="A17" s="310" t="str">
        <f>$A$11</f>
        <v>2Q</v>
      </c>
      <c r="B17" s="310" t="str">
        <f>$B$11</f>
        <v>Jul</v>
      </c>
      <c r="C17" s="310"/>
      <c r="D17" s="319">
        <f>13.276+9.075+19.525</f>
        <v>41.875999999999998</v>
      </c>
      <c r="E17" s="316"/>
      <c r="F17" s="317"/>
      <c r="G17" s="318"/>
      <c r="H17" s="319">
        <f>5.153+6.812+7.271</f>
        <v>19.236000000000001</v>
      </c>
      <c r="I17" s="316">
        <f>(H17/D17-1)*100</f>
        <v>-54.064380552106208</v>
      </c>
      <c r="J17" s="317">
        <f>+J$11</f>
        <v>45.92903817360925</v>
      </c>
      <c r="K17" s="318"/>
      <c r="L17" s="319">
        <f>13.276+9.075+19.525</f>
        <v>41.875999999999998</v>
      </c>
      <c r="M17" s="316">
        <f>(L17/H17-1)*100</f>
        <v>117.69598669161985</v>
      </c>
      <c r="N17" s="317">
        <f>+N$11</f>
        <v>42.034979440233514</v>
      </c>
      <c r="O17" s="310"/>
      <c r="P17" s="319">
        <f>28.546+17.208+19.114</f>
        <v>64.867999999999995</v>
      </c>
      <c r="Q17" s="316">
        <f>(P17/L17-1)*100</f>
        <v>54.904957493552395</v>
      </c>
      <c r="R17" s="317">
        <f>+R$11</f>
        <v>17.020192404609659</v>
      </c>
      <c r="S17" s="310"/>
      <c r="T17" s="319">
        <f>13.859+23.582+36.417</f>
        <v>73.858000000000004</v>
      </c>
      <c r="U17" s="316">
        <f>(T17/P17-1)*100</f>
        <v>13.858913485848202</v>
      </c>
      <c r="V17" s="317">
        <f>+V$11</f>
        <v>39.915875909789108</v>
      </c>
      <c r="W17" s="310"/>
      <c r="X17" s="319">
        <f>17.971+28.998+20.521</f>
        <v>67.490000000000009</v>
      </c>
      <c r="Y17" s="316">
        <f>(X17/T17-1)*100</f>
        <v>-8.6219502288174539</v>
      </c>
      <c r="Z17" s="317">
        <f>+Z$11</f>
        <v>9.1685135024214048</v>
      </c>
      <c r="AA17" s="310"/>
      <c r="AB17" s="319">
        <v>73.814999999999998</v>
      </c>
      <c r="AC17" s="316">
        <f>(AB17/X17-1)*100</f>
        <v>9.3717587790783661</v>
      </c>
      <c r="AD17" s="317">
        <f>+AD$11</f>
        <v>5.5936716791979979</v>
      </c>
      <c r="AE17" s="310"/>
      <c r="AF17" s="319">
        <f>86.067</f>
        <v>86.066999999999993</v>
      </c>
      <c r="AG17" s="316">
        <f>(AF17/AB17-1)*100</f>
        <v>16.598252387726077</v>
      </c>
      <c r="AH17" s="317">
        <f>+AH$11</f>
        <v>17.310824642862443</v>
      </c>
      <c r="AI17" s="310"/>
      <c r="AJ17" s="319">
        <v>83.147999999999996</v>
      </c>
      <c r="AK17" s="316">
        <f>(AJ17/AF17-1)*100</f>
        <v>-3.3915437972742102</v>
      </c>
      <c r="AL17" s="317">
        <f>+AL$11</f>
        <v>30.466714887633373</v>
      </c>
      <c r="AM17" s="310"/>
      <c r="AN17" s="319">
        <v>87.75</v>
      </c>
      <c r="AO17" s="316">
        <f>(AN17/AJ17-1)*100</f>
        <v>5.5347091932457904</v>
      </c>
      <c r="AP17" s="317">
        <f>+AP$11</f>
        <v>16.759713725216518</v>
      </c>
      <c r="AQ17" s="310"/>
      <c r="AR17" s="319">
        <v>135.33000000000001</v>
      </c>
      <c r="AS17" s="316">
        <f>(AR17/AN17-1)*100</f>
        <v>54.222222222222236</v>
      </c>
      <c r="AT17" s="317">
        <f>+AT$11</f>
        <v>16.745582956737692</v>
      </c>
      <c r="AU17" s="310"/>
      <c r="AV17" s="319">
        <f>26.697+64.009+46.839</f>
        <v>137.54500000000002</v>
      </c>
      <c r="AW17" s="316">
        <f>(AV17/AR17-1)*100</f>
        <v>1.6367398211778683</v>
      </c>
      <c r="AX17" s="317">
        <f>+AX$11</f>
        <v>-2.0441161622266391</v>
      </c>
      <c r="AY17" s="310"/>
      <c r="AZ17" s="319">
        <f>40.799+62.432+45.605</f>
        <v>148.83599999999998</v>
      </c>
      <c r="BA17" s="316">
        <f>(AZ17/AV17-1)*100</f>
        <v>8.2089497982478221</v>
      </c>
      <c r="BB17" s="317">
        <f>+BB$11</f>
        <v>-6.0998961985438864</v>
      </c>
      <c r="BC17" s="310"/>
      <c r="BD17" s="319">
        <f>41.793+99.475+41.129</f>
        <v>182.39699999999999</v>
      </c>
      <c r="BE17" s="316">
        <f>(BD17/AZ17-1)*100</f>
        <v>22.548980085463199</v>
      </c>
      <c r="BF17" s="317">
        <f>+BF$11</f>
        <v>0.30040290786303991</v>
      </c>
      <c r="BG17" s="310"/>
      <c r="BH17" s="319">
        <f>31.53+90.788+48.585</f>
        <v>170.90299999999999</v>
      </c>
      <c r="BI17" s="316">
        <f>(BH17/BD17-1)*100</f>
        <v>-6.3016387330931956</v>
      </c>
      <c r="BJ17" s="317">
        <f>+BJ$11</f>
        <v>3.1413152552405288</v>
      </c>
      <c r="BK17" s="310"/>
      <c r="BL17" s="319">
        <f>40.202+76.584+55.607</f>
        <v>172.393</v>
      </c>
      <c r="BM17" s="316">
        <f>(BL17/BH17-1)*100</f>
        <v>0.8718395815169977</v>
      </c>
      <c r="BN17" s="317">
        <f>+BN$11</f>
        <v>10.545193687230991</v>
      </c>
      <c r="BP17" s="319">
        <f>45.965+115.595+41.807</f>
        <v>203.36700000000002</v>
      </c>
      <c r="BQ17" s="316">
        <f>(BP17/BL17-1)*100</f>
        <v>17.967086830671786</v>
      </c>
      <c r="BR17" s="317">
        <f>+BR$11</f>
        <v>-1.6719392169586844</v>
      </c>
      <c r="BT17" s="319">
        <f>47.028+89.426+41.646</f>
        <v>178.10000000000002</v>
      </c>
      <c r="BU17" s="316">
        <f>(BT17/BP17-1)*100</f>
        <v>-12.424336298416161</v>
      </c>
      <c r="BV17" s="317">
        <f>+BV$11</f>
        <v>-2.298597715151518</v>
      </c>
      <c r="BW17" s="317"/>
      <c r="BX17" s="1804">
        <f>50.693+72.106</f>
        <v>122.79899999999999</v>
      </c>
      <c r="BY17" s="1801">
        <f>(BX17/BT17-1)*100</f>
        <v>-31.050533408197655</v>
      </c>
      <c r="BZ17" s="1802">
        <f>+BZ$10</f>
        <v>8.2632105972646244</v>
      </c>
      <c r="CA17" s="1803"/>
      <c r="CB17" s="1804">
        <f>65.282+90.852</f>
        <v>156.13400000000001</v>
      </c>
      <c r="CC17" s="316">
        <f>(CB17/BX17-1)*100</f>
        <v>27.145986530834953</v>
      </c>
      <c r="CD17" s="317">
        <f>+CD$10</f>
        <v>7.1328911253430993</v>
      </c>
      <c r="CE17" s="1803"/>
      <c r="CF17" s="1804">
        <f>80.673+110.496</f>
        <v>191.16899999999998</v>
      </c>
      <c r="CG17" s="316">
        <f>(CF17/CB17-1)*100</f>
        <v>22.439058757221343</v>
      </c>
      <c r="CH17" s="317">
        <f>+CH$10</f>
        <v>1.657290476851303</v>
      </c>
    </row>
    <row r="18" spans="1:86" ht="12.75">
      <c r="A18" s="310" t="str">
        <f>$A$12</f>
        <v>3Q</v>
      </c>
      <c r="B18" s="310" t="str">
        <f>$B$12</f>
        <v>Oct</v>
      </c>
      <c r="C18" s="310"/>
      <c r="D18" s="319">
        <f>13.02+5.678+13.246</f>
        <v>31.944000000000003</v>
      </c>
      <c r="E18" s="316"/>
      <c r="F18" s="317"/>
      <c r="G18" s="318"/>
      <c r="H18" s="319">
        <f>6.086+6.56+7.415</f>
        <v>20.061</v>
      </c>
      <c r="I18" s="316">
        <f>(H18/D18-1)*100</f>
        <v>-37.199474079639373</v>
      </c>
      <c r="J18" s="317">
        <f>+J$12</f>
        <v>42.10215248517666</v>
      </c>
      <c r="K18" s="318"/>
      <c r="L18" s="319">
        <f>13.02+5.678+13.246</f>
        <v>31.944000000000003</v>
      </c>
      <c r="M18" s="316">
        <f>(L18/H18-1)*100</f>
        <v>59.234335277403936</v>
      </c>
      <c r="N18" s="317">
        <f>+N$12</f>
        <v>49.390211178790878</v>
      </c>
      <c r="O18" s="310"/>
      <c r="P18" s="319">
        <f>24.508+14.893+15.724</f>
        <v>55.125</v>
      </c>
      <c r="Q18" s="316">
        <f>(P18/L18-1)*100</f>
        <v>72.567618332081125</v>
      </c>
      <c r="R18" s="317">
        <f>+R$12</f>
        <v>26.976151024055529</v>
      </c>
      <c r="S18" s="310"/>
      <c r="T18" s="319">
        <f>29.693+29.558+17.74</f>
        <v>76.991</v>
      </c>
      <c r="U18" s="316">
        <f>(T18/P18-1)*100</f>
        <v>39.666213151927444</v>
      </c>
      <c r="V18" s="317">
        <f>+V$12</f>
        <v>28.607298588590613</v>
      </c>
      <c r="W18" s="310"/>
      <c r="X18" s="319">
        <f>22.182+30.81+16.352</f>
        <v>69.343999999999994</v>
      </c>
      <c r="Y18" s="316">
        <f>(X18/T18-1)*100</f>
        <v>-9.9323297528282612</v>
      </c>
      <c r="Z18" s="317">
        <f>+Z$12</f>
        <v>2.9794395298892828</v>
      </c>
      <c r="AA18" s="310"/>
      <c r="AB18" s="319">
        <v>84.74</v>
      </c>
      <c r="AC18" s="316">
        <f>(AB18/X18-1)*100</f>
        <v>22.202353484079374</v>
      </c>
      <c r="AD18" s="317">
        <f>+AD$12</f>
        <v>-0.18531672069512783</v>
      </c>
      <c r="AE18" s="310"/>
      <c r="AF18" s="319">
        <v>87.454999999999998</v>
      </c>
      <c r="AG18" s="316">
        <f>(AF18/AB18-1)*100</f>
        <v>3.2039178664149182</v>
      </c>
      <c r="AH18" s="317">
        <f>+AH$12</f>
        <v>28.299892990904208</v>
      </c>
      <c r="AI18" s="310"/>
      <c r="AJ18" s="319">
        <v>98.62</v>
      </c>
      <c r="AK18" s="316">
        <f>(AJ18/AF18-1)*100</f>
        <v>12.766565662340646</v>
      </c>
      <c r="AL18" s="317">
        <f>+AL$12</f>
        <v>21.051951166112381</v>
      </c>
      <c r="AM18" s="310"/>
      <c r="AN18" s="319">
        <f>25.762+34.414+46.188</f>
        <v>106.364</v>
      </c>
      <c r="AO18" s="316">
        <f>(AN18/AJ18-1)*100</f>
        <v>7.8523626039342931</v>
      </c>
      <c r="AP18" s="317">
        <f>+AP$12</f>
        <v>19.936887108192771</v>
      </c>
      <c r="AQ18" s="310"/>
      <c r="AR18" s="319">
        <f>33.603+39.468+48.935</f>
        <v>122.006</v>
      </c>
      <c r="AS18" s="316">
        <f>(AR18/AN18-1)*100</f>
        <v>14.706103568876694</v>
      </c>
      <c r="AT18" s="317">
        <f>+AT$12</f>
        <v>6.9156529606916761</v>
      </c>
      <c r="AU18" s="310"/>
      <c r="AV18" s="319">
        <f>44.634+45.308+51.798</f>
        <v>141.74</v>
      </c>
      <c r="AW18" s="316">
        <f>(AV18/AR18-1)*100</f>
        <v>16.174614363228045</v>
      </c>
      <c r="AX18" s="317">
        <f>+AX$12</f>
        <v>1.2886144405951816</v>
      </c>
      <c r="AY18" s="310"/>
      <c r="AZ18" s="319">
        <f>46.584+52.188+54.362</f>
        <v>153.13400000000001</v>
      </c>
      <c r="BA18" s="316">
        <f>(AZ18/AV18-1)*100</f>
        <v>8.0386623394948629</v>
      </c>
      <c r="BB18" s="317">
        <f>+BB$12</f>
        <v>-2.3904694205581722</v>
      </c>
      <c r="BC18" s="310"/>
      <c r="BD18" s="319">
        <f>40.346+52.757+50.91</f>
        <v>144.01299999999998</v>
      </c>
      <c r="BE18" s="316">
        <f>(BD18/AZ18-1)*100</f>
        <v>-5.9562213486228028</v>
      </c>
      <c r="BF18" s="317">
        <f>+$BF$12</f>
        <v>1.2007972706929548</v>
      </c>
      <c r="BG18" s="310"/>
      <c r="BH18" s="319">
        <f>41.138+64.378+47.254</f>
        <v>152.76999999999998</v>
      </c>
      <c r="BI18" s="316">
        <f>(BH18/BD18-1)*100</f>
        <v>6.0807010478220791</v>
      </c>
      <c r="BJ18" s="317">
        <f>+BJ$12</f>
        <v>10.011425134490359</v>
      </c>
      <c r="BK18" s="310"/>
      <c r="BL18" s="319">
        <f>47.432+65.326+59.203</f>
        <v>171.96100000000001</v>
      </c>
      <c r="BM18" s="316">
        <f>(BL18/BH18-1)*100</f>
        <v>12.562021339268203</v>
      </c>
      <c r="BN18" s="317">
        <f>+$BF$12</f>
        <v>1.2007972706929548</v>
      </c>
      <c r="BP18" s="319">
        <f>59.277+112.078+46.51</f>
        <v>217.86500000000001</v>
      </c>
      <c r="BQ18" s="316">
        <f>(BP18/BL18-1)*100</f>
        <v>26.694424898668888</v>
      </c>
      <c r="BR18" s="317">
        <f>+BR$12</f>
        <v>-5.8293624378552238</v>
      </c>
      <c r="BT18" s="319">
        <f>55.875+73.095+53.445</f>
        <v>182.41499999999999</v>
      </c>
      <c r="BU18" s="316">
        <f>(BT18/BP18-1)*100</f>
        <v>-16.271544304959495</v>
      </c>
      <c r="BV18" s="317">
        <f>+BV$12</f>
        <v>-0.35168347320965188</v>
      </c>
      <c r="BW18" s="317"/>
      <c r="BX18" s="1804">
        <f>63.775+78.091</f>
        <v>141.86599999999999</v>
      </c>
      <c r="BY18" s="1801">
        <f>(BX18/BT18-1)*100</f>
        <v>-22.228983362113862</v>
      </c>
      <c r="BZ18" s="1802">
        <f>+BZ$10</f>
        <v>8.2632105972646244</v>
      </c>
      <c r="CA18" s="1803"/>
      <c r="CB18" s="1804">
        <f>74.812+77.768</f>
        <v>152.57999999999998</v>
      </c>
      <c r="CC18" s="316">
        <f>(CB18/BX18-1)*100</f>
        <v>7.5521971437835678</v>
      </c>
      <c r="CD18" s="317">
        <f>+CD$10</f>
        <v>7.1328911253430993</v>
      </c>
      <c r="CE18" s="1803"/>
      <c r="CF18" s="1804">
        <f>77.113+61.533</f>
        <v>138.64600000000002</v>
      </c>
      <c r="CG18" s="316">
        <f>(CF18/CB18-1)*100</f>
        <v>-9.1322584873508745</v>
      </c>
      <c r="CH18" s="317">
        <f>+CH$10</f>
        <v>1.657290476851303</v>
      </c>
    </row>
    <row r="19" spans="1:86" ht="12.75">
      <c r="A19" s="310" t="str">
        <f>$A$13</f>
        <v>4Q</v>
      </c>
      <c r="B19" s="310" t="str">
        <f>$B$13</f>
        <v>Jan</v>
      </c>
      <c r="C19" s="310"/>
      <c r="D19" s="320">
        <f>+SUM(bal!I11:I13)</f>
        <v>17.835999999999999</v>
      </c>
      <c r="E19" s="316"/>
      <c r="F19" s="317"/>
      <c r="G19" s="318"/>
      <c r="H19" s="320">
        <f>+SUM(bal!K11:K13)</f>
        <v>19.515999999999998</v>
      </c>
      <c r="I19" s="316">
        <f>(H19/D19-1)*100</f>
        <v>9.4191522762951294</v>
      </c>
      <c r="J19" s="317">
        <f>+J$13</f>
        <v>38.651268705270027</v>
      </c>
      <c r="K19" s="318"/>
      <c r="L19" s="320">
        <f>+SUM(bal!M11:M13)</f>
        <v>33.695</v>
      </c>
      <c r="M19" s="316">
        <f>(L19/H19-1)*100</f>
        <v>72.653207624513243</v>
      </c>
      <c r="N19" s="317">
        <f>+N$13</f>
        <v>33.935065483536441</v>
      </c>
      <c r="O19" s="310"/>
      <c r="P19" s="320">
        <f>+SUM(bal!O11:O13)</f>
        <v>73.22399999999999</v>
      </c>
      <c r="Q19" s="316">
        <f>(P19/L19-1)*100</f>
        <v>117.31414156403024</v>
      </c>
      <c r="R19" s="317">
        <f>+R$13</f>
        <v>48.457212928089689</v>
      </c>
      <c r="S19" s="310"/>
      <c r="T19" s="320">
        <f>+SUM(bal!Q11:Q13)</f>
        <v>61.450999999999993</v>
      </c>
      <c r="U19" s="316">
        <f>(T19/P19-1)*100</f>
        <v>-16.07806183764886</v>
      </c>
      <c r="V19" s="317">
        <f>+V$13</f>
        <v>9.5734588208640439</v>
      </c>
      <c r="W19" s="310"/>
      <c r="X19" s="319">
        <v>68.088999999999999</v>
      </c>
      <c r="Y19" s="316">
        <f>(X19/T19-1)*100</f>
        <v>10.802102488161314</v>
      </c>
      <c r="Z19" s="317">
        <f>+Z$13</f>
        <v>5.8699116950247543</v>
      </c>
      <c r="AA19" s="310"/>
      <c r="AB19" s="319">
        <v>67.224999999999994</v>
      </c>
      <c r="AC19" s="316">
        <f>(AB19/X19-1)*100</f>
        <v>-1.268927433212419</v>
      </c>
      <c r="AD19" s="317">
        <f>+AD$13</f>
        <v>-0.19814710082717291</v>
      </c>
      <c r="AE19" s="310"/>
      <c r="AF19" s="319">
        <v>91.600999999999999</v>
      </c>
      <c r="AG19" s="316">
        <f>(AF19/AB19-1)*100</f>
        <v>36.260319821494981</v>
      </c>
      <c r="AH19" s="317">
        <f>+AH$12</f>
        <v>28.299892990904208</v>
      </c>
      <c r="AI19" s="310"/>
      <c r="AJ19" s="576">
        <v>106.232</v>
      </c>
      <c r="AK19" s="316">
        <f>(AJ19/AF19-1)*100</f>
        <v>15.972533050949234</v>
      </c>
      <c r="AL19" s="317">
        <f>+AL$12</f>
        <v>21.051951166112381</v>
      </c>
      <c r="AM19" s="310"/>
      <c r="AN19" s="319">
        <f>26.045+33.72+51.886</f>
        <v>111.65100000000001</v>
      </c>
      <c r="AO19" s="316">
        <f>(AN19/AJ19-1)*100</f>
        <v>5.101099480382576</v>
      </c>
      <c r="AP19" s="317">
        <f>+AP$13</f>
        <v>26.563901855487781</v>
      </c>
      <c r="AQ19" s="310"/>
      <c r="AR19" s="319">
        <f>31.92+35.486+47.004</f>
        <v>114.41</v>
      </c>
      <c r="AS19" s="316">
        <f>(AR19/AN19-1)*100</f>
        <v>2.4710929593106945</v>
      </c>
      <c r="AT19" s="317">
        <f>+AT$13</f>
        <v>2.2638989484931038</v>
      </c>
      <c r="AU19" s="310"/>
      <c r="AV19" s="319">
        <f>41.471+59.66+45.447</f>
        <v>146.578</v>
      </c>
      <c r="AW19" s="316">
        <f>(AV19/AR19-1)*100</f>
        <v>28.11642338956386</v>
      </c>
      <c r="AX19" s="317">
        <f>+AX$13</f>
        <v>-9.0102380849526931</v>
      </c>
      <c r="AY19" s="310"/>
      <c r="AZ19" s="319">
        <f>34.746+47.039+60.156</f>
        <v>141.941</v>
      </c>
      <c r="BA19" s="316">
        <f>(AZ19/AV19-1)*100</f>
        <v>-3.1635033906861842</v>
      </c>
      <c r="BB19" s="317">
        <f>+BB$13</f>
        <v>5.5280204656442011</v>
      </c>
      <c r="BC19" s="310"/>
      <c r="BD19" s="319">
        <f>36.721+53.727+48.059</f>
        <v>138.50700000000001</v>
      </c>
      <c r="BE19" s="316">
        <f>(BD19/AZ19-1)*100</f>
        <v>-2.4193150675280606</v>
      </c>
      <c r="BF19" s="317">
        <f>+$BF$13</f>
        <v>-5.1473088500399111</v>
      </c>
      <c r="BG19" s="310"/>
      <c r="BH19" s="319">
        <f>40.31+74.947+48.761</f>
        <v>164.018</v>
      </c>
      <c r="BI19" s="316">
        <f>(BH19/BD19-1)*100</f>
        <v>18.418563682701961</v>
      </c>
      <c r="BJ19" s="317">
        <f>+BJ$13</f>
        <v>13.441446131853208</v>
      </c>
      <c r="BK19" s="310"/>
      <c r="BL19" s="319">
        <f>46.321+73.805+58.23</f>
        <v>178.35599999999999</v>
      </c>
      <c r="BM19" s="316">
        <f>(BL19/BH19-1)*100</f>
        <v>8.7417234693753176</v>
      </c>
      <c r="BN19" s="317">
        <f>+$BF$12</f>
        <v>1.2007972706929548</v>
      </c>
      <c r="BP19" s="319">
        <f>73.882+83.724+45.478</f>
        <v>203.084</v>
      </c>
      <c r="BQ19" s="316">
        <f>(BP19/BL19-1)*100</f>
        <v>13.864406019421827</v>
      </c>
      <c r="BR19" s="317">
        <f>+BR$13</f>
        <v>-6.7450693924102083</v>
      </c>
      <c r="BT19" s="319">
        <f>67.894+73.848+53.894</f>
        <v>195.63600000000002</v>
      </c>
      <c r="BU19" s="316">
        <f>(BT19/BP19-1)*100</f>
        <v>-3.6674479525713344</v>
      </c>
      <c r="BV19" s="317">
        <f>+BV$13</f>
        <v>2.8939039480391227</v>
      </c>
      <c r="BW19" s="317"/>
      <c r="BX19" s="1804">
        <f>80.912+77.218</f>
        <v>158.13</v>
      </c>
      <c r="BY19" s="1801">
        <f>(BX19/BT19-1)*100</f>
        <v>-19.171318162301432</v>
      </c>
      <c r="BZ19" s="1802">
        <f>+BZ$10</f>
        <v>8.2632105972646244</v>
      </c>
      <c r="CA19" s="1803"/>
      <c r="CB19" s="1804">
        <f>86.634+77.536</f>
        <v>164.17000000000002</v>
      </c>
      <c r="CC19" s="316">
        <f>(CB19/BX19-1)*100</f>
        <v>3.8196420666540387</v>
      </c>
      <c r="CD19" s="317">
        <f>+CD$10</f>
        <v>7.1328911253430993</v>
      </c>
      <c r="CE19" s="1803"/>
      <c r="CF19" s="1804">
        <f>78.304+78.4</f>
        <v>156.70400000000001</v>
      </c>
      <c r="CG19" s="316">
        <f>(CF19/CB19-1)*100</f>
        <v>-4.5477249192909852</v>
      </c>
      <c r="CH19" s="317">
        <f>+CH$10</f>
        <v>1.657290476851303</v>
      </c>
    </row>
    <row r="20" spans="1:86" ht="12.75">
      <c r="A20" s="310"/>
      <c r="B20" s="310"/>
      <c r="C20" s="310"/>
      <c r="D20" s="310"/>
      <c r="E20" s="310"/>
      <c r="F20" s="310"/>
      <c r="G20" s="310"/>
      <c r="H20" s="310"/>
      <c r="I20" s="310"/>
      <c r="J20" s="310"/>
      <c r="K20" s="310"/>
      <c r="L20" s="310"/>
      <c r="M20" s="310"/>
      <c r="N20" s="310"/>
      <c r="O20" s="310"/>
      <c r="P20" s="310"/>
      <c r="Q20" s="310"/>
      <c r="R20" s="310"/>
      <c r="S20" s="310"/>
      <c r="T20" s="310"/>
      <c r="U20" s="310"/>
      <c r="V20" s="310"/>
      <c r="W20" s="310"/>
      <c r="X20" s="310"/>
      <c r="Y20" s="310"/>
      <c r="Z20" s="310"/>
      <c r="AA20" s="310"/>
      <c r="AB20" s="310"/>
      <c r="AC20" s="310"/>
      <c r="AD20" s="310"/>
      <c r="AE20" s="310"/>
      <c r="AF20" s="310"/>
      <c r="AG20" s="310"/>
      <c r="AH20" s="310"/>
      <c r="AI20" s="310"/>
      <c r="AJ20" s="310"/>
      <c r="AK20" s="310"/>
      <c r="AL20" s="310"/>
      <c r="AM20" s="310"/>
      <c r="AN20" s="310"/>
      <c r="AO20" s="310"/>
      <c r="AP20" s="310"/>
      <c r="AQ20" s="310"/>
      <c r="AR20" s="310"/>
      <c r="AS20" s="310"/>
      <c r="AT20" s="310"/>
      <c r="AU20" s="310"/>
      <c r="AV20" s="310"/>
      <c r="AW20" s="310"/>
      <c r="AX20" s="310"/>
      <c r="AY20" s="310"/>
      <c r="AZ20" s="310"/>
      <c r="BA20" s="310"/>
      <c r="BB20" s="310"/>
      <c r="BC20" s="310"/>
      <c r="BD20" s="310"/>
      <c r="BE20" s="310"/>
      <c r="BF20" s="310"/>
      <c r="BG20" s="310"/>
      <c r="BH20" s="310"/>
      <c r="BI20" s="310"/>
      <c r="BJ20" s="310"/>
      <c r="BK20" s="310"/>
      <c r="BL20" s="310"/>
      <c r="BM20" s="310"/>
      <c r="BN20" s="310"/>
    </row>
    <row r="21" spans="1:86" ht="12.75">
      <c r="A21" s="675" t="s">
        <v>571</v>
      </c>
      <c r="B21" s="676"/>
      <c r="C21" s="677"/>
      <c r="D21" s="678"/>
      <c r="E21" s="679"/>
      <c r="F21" s="679"/>
      <c r="G21" s="679"/>
      <c r="H21" s="679"/>
      <c r="I21" s="679"/>
      <c r="J21" s="679"/>
      <c r="K21" s="679"/>
      <c r="L21" s="679"/>
      <c r="M21" s="679"/>
      <c r="N21" s="679"/>
      <c r="O21" s="677"/>
      <c r="P21" s="679"/>
      <c r="Q21" s="679"/>
      <c r="R21" s="679"/>
      <c r="S21" s="677"/>
      <c r="T21" s="679"/>
      <c r="U21" s="679"/>
      <c r="V21" s="679"/>
      <c r="W21" s="677"/>
      <c r="X21" s="679"/>
      <c r="Y21" s="679"/>
      <c r="Z21" s="679"/>
      <c r="AA21" s="677"/>
      <c r="AB21" s="679"/>
      <c r="AC21" s="679"/>
      <c r="AD21" s="679"/>
      <c r="AE21" s="677"/>
      <c r="AF21" s="679"/>
      <c r="AG21" s="679"/>
      <c r="AH21" s="679"/>
      <c r="AI21" s="677"/>
      <c r="AJ21" s="679"/>
      <c r="AK21" s="679"/>
      <c r="AL21" s="679"/>
      <c r="AM21" s="677"/>
      <c r="AN21" s="679"/>
      <c r="AO21" s="679"/>
      <c r="AP21" s="679"/>
      <c r="AQ21" s="677"/>
      <c r="AR21" s="679"/>
      <c r="AS21" s="679"/>
      <c r="AT21" s="679"/>
      <c r="AU21" s="677"/>
      <c r="AV21" s="679"/>
      <c r="AW21" s="679"/>
      <c r="AX21" s="679"/>
      <c r="AY21" s="677"/>
      <c r="AZ21" s="679"/>
      <c r="BA21" s="679"/>
      <c r="BB21" s="679"/>
      <c r="BC21" s="677"/>
      <c r="BD21" s="679"/>
      <c r="BE21" s="679"/>
      <c r="BF21" s="679"/>
      <c r="BG21" s="677"/>
      <c r="BH21" s="679"/>
      <c r="BI21" s="679"/>
      <c r="BJ21" s="679"/>
      <c r="BK21" s="677"/>
      <c r="BL21" s="679"/>
      <c r="BM21" s="679"/>
      <c r="BN21" s="679"/>
    </row>
    <row r="22" spans="1:86" ht="12.75">
      <c r="A22" s="310" t="str">
        <f>$A$10</f>
        <v>1Q</v>
      </c>
      <c r="B22" s="310" t="str">
        <f>$B$10</f>
        <v>Apr</v>
      </c>
      <c r="C22" s="310"/>
      <c r="D22" s="315">
        <v>23.318999999999999</v>
      </c>
      <c r="E22" s="316"/>
      <c r="F22" s="317"/>
      <c r="G22" s="318"/>
      <c r="H22" s="315">
        <v>23.989000000000001</v>
      </c>
      <c r="I22" s="316">
        <f>(H22/D22-1)*100</f>
        <v>2.8731935331703928</v>
      </c>
      <c r="J22" s="317">
        <f>+J$10</f>
        <v>63.561491009318829</v>
      </c>
      <c r="K22" s="318"/>
      <c r="L22" s="315">
        <v>23.318999999999999</v>
      </c>
      <c r="M22" s="316">
        <f>(L22/H22-1)*100</f>
        <v>-2.7929467672683339</v>
      </c>
      <c r="N22" s="317">
        <f>+N$10</f>
        <v>45.850301923887081</v>
      </c>
      <c r="O22" s="310"/>
      <c r="P22" s="315">
        <v>36.758000000000003</v>
      </c>
      <c r="Q22" s="316">
        <f>(P22/L22-1)*100</f>
        <v>57.631116257129399</v>
      </c>
      <c r="R22" s="317">
        <f>+R$10</f>
        <v>22.416852356193772</v>
      </c>
      <c r="S22" s="310"/>
      <c r="T22" s="315">
        <v>42.823</v>
      </c>
      <c r="U22" s="316">
        <f>(T22/P22-1)*100</f>
        <v>16.499809565264691</v>
      </c>
      <c r="V22" s="317">
        <f>+V$10</f>
        <v>41.319895055590194</v>
      </c>
      <c r="W22" s="310"/>
      <c r="X22" s="315">
        <v>70.644000000000005</v>
      </c>
      <c r="Y22" s="316">
        <f>(X22/T22-1)*100</f>
        <v>64.967424047824778</v>
      </c>
      <c r="Z22" s="317">
        <f>+Z$10</f>
        <v>10.473150253629516</v>
      </c>
      <c r="AA22" s="310"/>
      <c r="AB22" s="315">
        <v>60.768999999999998</v>
      </c>
      <c r="AC22" s="316">
        <f>(AB22/X22-1)*100</f>
        <v>-13.978540286507002</v>
      </c>
      <c r="AD22" s="317">
        <f>+AD$10</f>
        <v>5.0253154991309668</v>
      </c>
      <c r="AE22" s="310"/>
      <c r="AF22" s="315">
        <v>68.777000000000001</v>
      </c>
      <c r="AG22" s="316">
        <f>(AF22/AB22-1)*100</f>
        <v>13.177771561157826</v>
      </c>
      <c r="AH22" s="317">
        <f>+AH$10</f>
        <v>13.832754284617877</v>
      </c>
      <c r="AI22" s="310"/>
      <c r="AJ22" s="315">
        <v>87.501999999999995</v>
      </c>
      <c r="AK22" s="316">
        <f>(AJ22/AF22-1)*100</f>
        <v>27.225671372697271</v>
      </c>
      <c r="AL22" s="317">
        <f>+AL$10</f>
        <v>37.397887005989801</v>
      </c>
      <c r="AM22" s="310"/>
      <c r="AN22" s="315">
        <v>121.033</v>
      </c>
      <c r="AO22" s="316">
        <f>(AN22/AJ22-1)*100</f>
        <v>38.32026696532651</v>
      </c>
      <c r="AP22" s="317">
        <f>+AP$10</f>
        <v>14.447825410699778</v>
      </c>
      <c r="AQ22" s="310"/>
      <c r="AR22" s="315">
        <v>138.54499999999999</v>
      </c>
      <c r="AS22" s="316">
        <f>(AR22/AN22-1)*100</f>
        <v>14.46878124147959</v>
      </c>
      <c r="AT22" s="317">
        <f>+AT$10</f>
        <v>17.219214896598189</v>
      </c>
      <c r="AU22" s="310"/>
      <c r="AV22" s="315">
        <v>116.268</v>
      </c>
      <c r="AW22" s="316">
        <f>(AV22/AR22-1)*100</f>
        <v>-16.079252228517802</v>
      </c>
      <c r="AX22" s="317">
        <f>+AX$10</f>
        <v>4.5585627365746451</v>
      </c>
      <c r="AY22" s="310"/>
      <c r="AZ22" s="315">
        <v>91.671000000000006</v>
      </c>
      <c r="BA22" s="316">
        <f>(AZ22/AV22-1)*100</f>
        <v>-21.155433997316543</v>
      </c>
      <c r="BB22" s="317">
        <f>+BB$10</f>
        <v>-6.0319974012263078</v>
      </c>
      <c r="BC22" s="310"/>
      <c r="BD22" s="659">
        <v>143.477</v>
      </c>
      <c r="BE22" s="316">
        <f>(BD22/AZ22-1)*100</f>
        <v>56.512964841662019</v>
      </c>
      <c r="BF22" s="317">
        <f>+BF$10</f>
        <v>7.219962804086566</v>
      </c>
      <c r="BG22" s="310"/>
      <c r="BH22" s="659">
        <v>155.18299999999999</v>
      </c>
      <c r="BI22" s="316">
        <f>(BH22/BD22-1)*100</f>
        <v>8.1587989712636819</v>
      </c>
      <c r="BJ22" s="317">
        <f>+BJ$10</f>
        <v>-6.5159970238095166</v>
      </c>
      <c r="BK22" s="310"/>
      <c r="BL22" s="659">
        <v>133.86099999999999</v>
      </c>
      <c r="BM22" s="316">
        <f>(BL22/BH22-1)*100</f>
        <v>-13.739907077450496</v>
      </c>
      <c r="BN22" s="317">
        <f>+BN$10</f>
        <v>17.511822565347444</v>
      </c>
      <c r="BP22" s="659">
        <v>161.77799999999999</v>
      </c>
      <c r="BQ22" s="316">
        <f>(BP22/BL22-1)*100</f>
        <v>20.855215484719224</v>
      </c>
      <c r="BR22" s="317">
        <f>BR10</f>
        <v>-4.1227890700513026</v>
      </c>
      <c r="BT22" s="659">
        <v>195.703</v>
      </c>
      <c r="BU22" s="316">
        <f>(BT22/BP22-1)*100</f>
        <v>20.970094821298325</v>
      </c>
      <c r="BV22" s="317">
        <f>BV10</f>
        <v>-4.9078923937086794</v>
      </c>
      <c r="BW22" s="317"/>
      <c r="BX22" s="659">
        <v>203.239</v>
      </c>
      <c r="BY22" s="316">
        <f>(BX22/BT22-1)*100</f>
        <v>3.8507329984721839</v>
      </c>
      <c r="BZ22" s="317">
        <f>BZ10</f>
        <v>8.2632105972646244</v>
      </c>
      <c r="CB22" s="659">
        <v>202.69200000000001</v>
      </c>
      <c r="CC22" s="1801">
        <f>(CB22/BX22-1)*100</f>
        <v>-0.26914125733742411</v>
      </c>
      <c r="CD22" s="1802">
        <f>CD10</f>
        <v>7.1328911253430993</v>
      </c>
      <c r="CF22" s="659">
        <v>208.857</v>
      </c>
      <c r="CG22" s="1801">
        <f>(CF22/CB22-1)*100</f>
        <v>3.0415605943993729</v>
      </c>
      <c r="CH22" s="1802">
        <f>CH10</f>
        <v>1.657290476851303</v>
      </c>
    </row>
    <row r="23" spans="1:86" ht="12.75">
      <c r="A23" s="310" t="str">
        <f>$A$11</f>
        <v>2Q</v>
      </c>
      <c r="B23" s="310" t="str">
        <f>$B$11</f>
        <v>Jul</v>
      </c>
      <c r="C23" s="310"/>
      <c r="D23" s="319">
        <v>29.800999999999998</v>
      </c>
      <c r="E23" s="316"/>
      <c r="F23" s="317"/>
      <c r="G23" s="318"/>
      <c r="H23" s="319">
        <v>24.007000000000001</v>
      </c>
      <c r="I23" s="316">
        <f>(H23/D23-1)*100</f>
        <v>-19.442300593939787</v>
      </c>
      <c r="J23" s="317">
        <f>+J$11</f>
        <v>45.92903817360925</v>
      </c>
      <c r="K23" s="318"/>
      <c r="L23" s="319">
        <v>29.800999999999998</v>
      </c>
      <c r="M23" s="316">
        <f>(L23/H23-1)*100</f>
        <v>24.134627400341557</v>
      </c>
      <c r="N23" s="317">
        <f>+N$11</f>
        <v>42.034979440233514</v>
      </c>
      <c r="O23" s="310"/>
      <c r="P23" s="319">
        <v>49.703000000000003</v>
      </c>
      <c r="Q23" s="316">
        <f>(P23/L23-1)*100</f>
        <v>66.782993859266497</v>
      </c>
      <c r="R23" s="317">
        <f>+R$11</f>
        <v>17.020192404609659</v>
      </c>
      <c r="S23" s="310"/>
      <c r="T23" s="319">
        <v>45.384</v>
      </c>
      <c r="U23" s="316">
        <f>(T23/P23-1)*100</f>
        <v>-8.6896163209464241</v>
      </c>
      <c r="V23" s="317">
        <f>+V$11</f>
        <v>39.915875909789108</v>
      </c>
      <c r="W23" s="310"/>
      <c r="X23" s="319">
        <v>80.063000000000002</v>
      </c>
      <c r="Y23" s="316">
        <f>(X23/T23-1)*100</f>
        <v>76.412392032434354</v>
      </c>
      <c r="Z23" s="317">
        <f>+Z$11</f>
        <v>9.1685135024214048</v>
      </c>
      <c r="AA23" s="310"/>
      <c r="AB23" s="319">
        <v>64.525000000000006</v>
      </c>
      <c r="AC23" s="316">
        <f>(AB23/X23-1)*100</f>
        <v>-19.407216816756801</v>
      </c>
      <c r="AD23" s="317">
        <f>+AD$11</f>
        <v>5.5936716791979979</v>
      </c>
      <c r="AE23" s="310"/>
      <c r="AF23" s="319">
        <v>70.731999999999999</v>
      </c>
      <c r="AG23" s="316">
        <f>(AF23/AB23-1)*100</f>
        <v>9.6195273149941798</v>
      </c>
      <c r="AH23" s="317">
        <f>+AH$11</f>
        <v>17.310824642862443</v>
      </c>
      <c r="AI23" s="310"/>
      <c r="AJ23" s="319">
        <v>145.93899999999999</v>
      </c>
      <c r="AK23" s="316">
        <f>(AJ23/AF23-1)*100</f>
        <v>106.3266979584912</v>
      </c>
      <c r="AL23" s="317">
        <f>+AL$11</f>
        <v>30.466714887633373</v>
      </c>
      <c r="AM23" s="310"/>
      <c r="AN23" s="319">
        <v>175.934</v>
      </c>
      <c r="AO23" s="316">
        <f>(AN23/AJ23-1)*100</f>
        <v>20.553107805315918</v>
      </c>
      <c r="AP23" s="317">
        <f>+AP$11</f>
        <v>16.759713725216518</v>
      </c>
      <c r="AQ23" s="310"/>
      <c r="AR23" s="319">
        <v>146.43100000000001</v>
      </c>
      <c r="AS23" s="316">
        <f>(AR23/AN23-1)*100</f>
        <v>-16.769356690577141</v>
      </c>
      <c r="AT23" s="317">
        <f>+AT$11</f>
        <v>16.745582956737692</v>
      </c>
      <c r="AU23" s="310"/>
      <c r="AV23" s="319">
        <v>145.50700000000001</v>
      </c>
      <c r="AW23" s="316">
        <f>(AV23/AR23-1)*100</f>
        <v>-0.63101392464710582</v>
      </c>
      <c r="AX23" s="317">
        <f>+AX$11</f>
        <v>-2.0441161622266391</v>
      </c>
      <c r="AY23" s="310"/>
      <c r="AZ23" s="319">
        <v>151.97800000000001</v>
      </c>
      <c r="BA23" s="316">
        <f>(AZ23/AV23-1)*100</f>
        <v>4.4472087253534243</v>
      </c>
      <c r="BB23" s="317">
        <f>+BB$11</f>
        <v>-6.0998961985438864</v>
      </c>
      <c r="BC23" s="310"/>
      <c r="BD23" s="319">
        <v>144.929</v>
      </c>
      <c r="BE23" s="316">
        <f>(BD23/AZ23-1)*100</f>
        <v>-4.6381713142691794</v>
      </c>
      <c r="BF23" s="317">
        <f>+BF$11</f>
        <v>0.30040290786303991</v>
      </c>
      <c r="BG23" s="310"/>
      <c r="BH23" s="319">
        <v>187.572</v>
      </c>
      <c r="BI23" s="316">
        <f>(BH23/BD23-1)*100</f>
        <v>29.423372823934479</v>
      </c>
      <c r="BJ23" s="317">
        <f>+BJ$11</f>
        <v>3.1413152552405288</v>
      </c>
      <c r="BK23" s="310"/>
      <c r="BL23" s="319">
        <v>171.655</v>
      </c>
      <c r="BM23" s="316">
        <f>(BL23/BH23-1)*100</f>
        <v>-8.4858081163499914</v>
      </c>
      <c r="BN23" s="317">
        <f>+BN$11</f>
        <v>10.545193687230991</v>
      </c>
      <c r="BP23" s="319">
        <v>292.12</v>
      </c>
      <c r="BQ23" s="316">
        <f>(BP23/BL23-1)*100</f>
        <v>70.178555824182226</v>
      </c>
      <c r="BR23" s="317">
        <f>BR11</f>
        <v>-1.6719392169586844</v>
      </c>
      <c r="BT23" s="319">
        <v>254.80199999999999</v>
      </c>
      <c r="BU23" s="316">
        <f>(BT23/BP23-1)*100</f>
        <v>-12.774887032726278</v>
      </c>
      <c r="BV23" s="317">
        <f>BV11</f>
        <v>-2.298597715151518</v>
      </c>
      <c r="BW23" s="317"/>
      <c r="BX23" s="319">
        <v>263.14499999999998</v>
      </c>
      <c r="BY23" s="316">
        <f>(BX23/BT23-1)*100</f>
        <v>3.2743071090493681</v>
      </c>
      <c r="BZ23" s="317">
        <f>BZ11</f>
        <v>12.219759497322658</v>
      </c>
      <c r="CB23" s="1804">
        <v>286.69099999999997</v>
      </c>
      <c r="CC23" s="1801">
        <f>(CB23/BX23-1)*100</f>
        <v>8.9479184480039553</v>
      </c>
      <c r="CD23" s="1802">
        <f>CD11</f>
        <v>3.1558962063032769</v>
      </c>
      <c r="CF23" s="1804">
        <v>275.47899999999998</v>
      </c>
      <c r="CG23" s="1801">
        <f>(CF23/CB23-1)*100</f>
        <v>-3.9108308248253287</v>
      </c>
      <c r="CH23" s="1802">
        <f>CH11</f>
        <v>2.6699684169833482</v>
      </c>
    </row>
    <row r="24" spans="1:86" ht="12.75">
      <c r="A24" s="310" t="str">
        <f>$A$12</f>
        <v>3Q</v>
      </c>
      <c r="B24" s="310" t="str">
        <f>$B$12</f>
        <v>Oct</v>
      </c>
      <c r="C24" s="310"/>
      <c r="D24" s="319">
        <v>39.396000000000001</v>
      </c>
      <c r="E24" s="316"/>
      <c r="F24" s="317"/>
      <c r="G24" s="318"/>
      <c r="H24" s="319">
        <v>35.765999999999998</v>
      </c>
      <c r="I24" s="316">
        <f>(H24/D24-1)*100</f>
        <v>-9.2141334145598552</v>
      </c>
      <c r="J24" s="317">
        <f>+J$12</f>
        <v>42.10215248517666</v>
      </c>
      <c r="K24" s="318"/>
      <c r="L24" s="319">
        <v>39.396000000000001</v>
      </c>
      <c r="M24" s="316">
        <f>(L24/H24-1)*100</f>
        <v>10.149303808085897</v>
      </c>
      <c r="N24" s="317">
        <f>+N$12</f>
        <v>49.390211178790878</v>
      </c>
      <c r="O24" s="310"/>
      <c r="P24" s="319">
        <v>56.588000000000001</v>
      </c>
      <c r="Q24" s="316">
        <f>(P24/L24-1)*100</f>
        <v>43.638948116560059</v>
      </c>
      <c r="R24" s="317">
        <f>+R$12</f>
        <v>26.976151024055529</v>
      </c>
      <c r="S24" s="310"/>
      <c r="T24" s="319">
        <v>77.197999999999993</v>
      </c>
      <c r="U24" s="316">
        <f>(T24/P24-1)*100</f>
        <v>36.421149360288396</v>
      </c>
      <c r="V24" s="317">
        <f>+V$12</f>
        <v>28.607298588590613</v>
      </c>
      <c r="W24" s="310"/>
      <c r="X24" s="319">
        <v>94.150999999999996</v>
      </c>
      <c r="Y24" s="316">
        <f>(X24/T24-1)*100</f>
        <v>21.96041348221458</v>
      </c>
      <c r="Z24" s="317">
        <f>+Z$12</f>
        <v>2.9794395298892828</v>
      </c>
      <c r="AA24" s="310"/>
      <c r="AB24" s="319">
        <v>98.018000000000001</v>
      </c>
      <c r="AC24" s="316">
        <f>(AB24/X24-1)*100</f>
        <v>4.1072319996601214</v>
      </c>
      <c r="AD24" s="317">
        <f>+AD$12</f>
        <v>-0.18531672069512783</v>
      </c>
      <c r="AE24" s="310"/>
      <c r="AF24" s="319">
        <v>84.302999999999997</v>
      </c>
      <c r="AG24" s="316">
        <f>(AF24/AB24-1)*100</f>
        <v>-13.99232793976617</v>
      </c>
      <c r="AH24" s="317">
        <f>+AH$12</f>
        <v>28.299892990904208</v>
      </c>
      <c r="AI24" s="310"/>
      <c r="AJ24" s="319">
        <v>153.96</v>
      </c>
      <c r="AK24" s="316">
        <f>(AJ24/AF24-1)*100</f>
        <v>82.62695277748125</v>
      </c>
      <c r="AL24" s="317">
        <f>+AL$12</f>
        <v>21.051951166112381</v>
      </c>
      <c r="AM24" s="310"/>
      <c r="AN24" s="319">
        <v>213.04900000000001</v>
      </c>
      <c r="AO24" s="316">
        <f>(AN24/AJ24-1)*100</f>
        <v>38.379449207586383</v>
      </c>
      <c r="AP24" s="317">
        <f>+AP$12</f>
        <v>19.936887108192771</v>
      </c>
      <c r="AQ24" s="310"/>
      <c r="AR24" s="319">
        <v>207.48099999999999</v>
      </c>
      <c r="AS24" s="316">
        <f>(AR24/AN24-1)*100</f>
        <v>-2.6134832831883781</v>
      </c>
      <c r="AT24" s="317">
        <f>+AT$12</f>
        <v>6.9156529606916761</v>
      </c>
      <c r="AU24" s="310"/>
      <c r="AV24" s="319">
        <v>191.571</v>
      </c>
      <c r="AW24" s="316">
        <f>(AV24/AR24-1)*100</f>
        <v>-7.6681720253902741</v>
      </c>
      <c r="AX24" s="317">
        <f>+AX$12</f>
        <v>1.2886144405951816</v>
      </c>
      <c r="AY24" s="310"/>
      <c r="AZ24" s="319">
        <f>198.978</f>
        <v>198.97800000000001</v>
      </c>
      <c r="BA24" s="316">
        <f>(AZ24/AV24-1)*100</f>
        <v>3.866451602800014</v>
      </c>
      <c r="BB24" s="317">
        <f>+BB$12</f>
        <v>-2.3904694205581722</v>
      </c>
      <c r="BC24" s="310"/>
      <c r="BD24" s="319">
        <v>196.50399999999999</v>
      </c>
      <c r="BE24" s="316">
        <f>(BD24/AZ24-1)*100</f>
        <v>-1.2433535365718895</v>
      </c>
      <c r="BF24" s="317">
        <f>+$BF$12</f>
        <v>1.2007972706929548</v>
      </c>
      <c r="BG24" s="310"/>
      <c r="BH24" s="319">
        <v>222.89400000000001</v>
      </c>
      <c r="BI24" s="316">
        <f>(BH24/BD24-1)*100</f>
        <v>13.429752066115718</v>
      </c>
      <c r="BJ24" s="317">
        <f>+$BF$12</f>
        <v>1.2007972706929548</v>
      </c>
      <c r="BK24" s="310"/>
      <c r="BL24" s="319">
        <v>213.197</v>
      </c>
      <c r="BM24" s="316">
        <f>(BL24/BH24-1)*100</f>
        <v>-4.3504984432061855</v>
      </c>
      <c r="BN24" s="317">
        <f>+$BF$12</f>
        <v>1.2007972706929548</v>
      </c>
      <c r="BP24" s="319">
        <v>353.22800000000001</v>
      </c>
      <c r="BQ24" s="316">
        <f>(BP24/BL24-1)*100</f>
        <v>65.681505837324167</v>
      </c>
      <c r="BR24" s="317">
        <f>BR12</f>
        <v>-5.8293624378552238</v>
      </c>
      <c r="BT24" s="319">
        <v>309.34800000000001</v>
      </c>
      <c r="BU24" s="316">
        <f>(BT24/BP24-1)*100</f>
        <v>-12.422571257091731</v>
      </c>
      <c r="BV24" s="317">
        <f>BV12</f>
        <v>-0.35168347320965188</v>
      </c>
      <c r="BW24" s="317"/>
      <c r="BX24" s="319">
        <v>304.98899999999998</v>
      </c>
      <c r="BY24" s="316">
        <f>(BX24/BT24-1)*100</f>
        <v>-1.4090926723302033</v>
      </c>
      <c r="BZ24" s="317">
        <f>BZ12</f>
        <v>7.5831392150206733</v>
      </c>
      <c r="CB24" s="319">
        <v>314.11099999999999</v>
      </c>
      <c r="CC24" s="1801">
        <f>(CB24/BX24-1)*100</f>
        <v>2.9909275416490466</v>
      </c>
      <c r="CD24" s="1802">
        <f>CD12</f>
        <v>2.343341979736091</v>
      </c>
      <c r="CF24" s="319">
        <v>330.71600000000001</v>
      </c>
      <c r="CG24" s="1801">
        <f>(CF24/CB24-1)*100</f>
        <v>5.2863478197197944</v>
      </c>
      <c r="CH24" s="1802">
        <f>CH12</f>
        <v>2.1075707334290872</v>
      </c>
    </row>
    <row r="25" spans="1:86" ht="12.75">
      <c r="A25" s="310" t="str">
        <f>$A$13</f>
        <v>4Q</v>
      </c>
      <c r="B25" s="310" t="str">
        <f>$B$13</f>
        <v>Jan</v>
      </c>
      <c r="C25" s="310"/>
      <c r="D25" s="320">
        <f>+bal!I29</f>
        <v>24.606000000000002</v>
      </c>
      <c r="E25" s="316"/>
      <c r="F25" s="317"/>
      <c r="G25" s="321"/>
      <c r="H25" s="320">
        <f>+bal!K29</f>
        <v>18.550999999999998</v>
      </c>
      <c r="I25" s="316">
        <f>(H25/D25-1)*100</f>
        <v>-24.607819231081862</v>
      </c>
      <c r="J25" s="317">
        <f>+J$13</f>
        <v>38.651268705270027</v>
      </c>
      <c r="K25" s="321"/>
      <c r="L25" s="320">
        <f>+bal!M29</f>
        <v>30.7</v>
      </c>
      <c r="M25" s="316">
        <f>(L25/H25-1)*100</f>
        <v>65.489731011805304</v>
      </c>
      <c r="N25" s="317">
        <f>+N$13</f>
        <v>33.935065483536441</v>
      </c>
      <c r="O25" s="310"/>
      <c r="P25" s="320">
        <f>+bal!O29</f>
        <v>42.037999999999997</v>
      </c>
      <c r="Q25" s="316">
        <f>(P25/L25-1)*100</f>
        <v>36.931596091205201</v>
      </c>
      <c r="R25" s="317">
        <f>+R$13</f>
        <v>48.457212928089689</v>
      </c>
      <c r="S25" s="310"/>
      <c r="T25" s="320">
        <f>+bal!Q29</f>
        <v>39.067</v>
      </c>
      <c r="U25" s="316">
        <f>(T25/P25-1)*100</f>
        <v>-7.06741519577524</v>
      </c>
      <c r="V25" s="317">
        <f>+V$13</f>
        <v>9.5734588208640439</v>
      </c>
      <c r="W25" s="310"/>
      <c r="X25" s="319">
        <v>50.607999999999997</v>
      </c>
      <c r="Y25" s="316">
        <f>(X25/T25-1)*100</f>
        <v>29.54155681265518</v>
      </c>
      <c r="Z25" s="317">
        <f>+Z$13</f>
        <v>5.8699116950247543</v>
      </c>
      <c r="AA25" s="310"/>
      <c r="AB25" s="319">
        <v>71.33</v>
      </c>
      <c r="AC25" s="316">
        <f>(AB25/X25-1)*100</f>
        <v>40.94609547897565</v>
      </c>
      <c r="AD25" s="317">
        <f>+AD$13</f>
        <v>-0.19814710082717291</v>
      </c>
      <c r="AE25" s="310"/>
      <c r="AF25" s="319">
        <v>108.929</v>
      </c>
      <c r="AG25" s="316">
        <f>(AF25/AB25-1)*100</f>
        <v>52.711341651479039</v>
      </c>
      <c r="AH25" s="317">
        <f>+AH$12</f>
        <v>28.299892990904208</v>
      </c>
      <c r="AI25" s="310"/>
      <c r="AJ25" s="319">
        <v>139.197</v>
      </c>
      <c r="AK25" s="316">
        <f>(AJ25/AF25-1)*100</f>
        <v>27.786907067906608</v>
      </c>
      <c r="AL25" s="317">
        <f>+AL$12</f>
        <v>21.051951166112381</v>
      </c>
      <c r="AM25" s="310"/>
      <c r="AN25" s="319">
        <v>171.15</v>
      </c>
      <c r="AO25" s="316">
        <f>(AN25/AJ25-1)*100</f>
        <v>22.955236104226383</v>
      </c>
      <c r="AP25" s="317">
        <f>+AP$13</f>
        <v>26.563901855487781</v>
      </c>
      <c r="AQ25" s="310"/>
      <c r="AR25" s="319">
        <v>157.928</v>
      </c>
      <c r="AS25" s="316">
        <f>(AR25/AN25-1)*100</f>
        <v>-7.7253870873502777</v>
      </c>
      <c r="AT25" s="317">
        <f>+AT$13</f>
        <v>2.2638989484931038</v>
      </c>
      <c r="AU25" s="310"/>
      <c r="AV25" s="319">
        <f>152.068</f>
        <v>152.06800000000001</v>
      </c>
      <c r="AW25" s="316">
        <f>(AV25/AR25-1)*100</f>
        <v>-3.7105516437870301</v>
      </c>
      <c r="AX25" s="317">
        <f>+AX$13</f>
        <v>-9.0102380849526931</v>
      </c>
      <c r="AY25" s="310"/>
      <c r="AZ25" s="319">
        <v>158.52600000000001</v>
      </c>
      <c r="BA25" s="316">
        <f>(AZ25/AV25-1)*100</f>
        <v>4.2467843333245714</v>
      </c>
      <c r="BB25" s="317">
        <f>+BB$13</f>
        <v>5.5280204656442011</v>
      </c>
      <c r="BC25" s="310"/>
      <c r="BD25" s="319">
        <v>167.72300000000001</v>
      </c>
      <c r="BE25" s="316">
        <f>(BD25/AZ25-1)*100</f>
        <v>5.8015719818830913</v>
      </c>
      <c r="BF25" s="317">
        <f>+$BF$13</f>
        <v>-5.1473088500399111</v>
      </c>
      <c r="BG25" s="310"/>
      <c r="BH25" s="319">
        <v>183.78299999999999</v>
      </c>
      <c r="BI25" s="316">
        <f>(BH25/BD25-1)*100</f>
        <v>9.5753116746063238</v>
      </c>
      <c r="BJ25" s="317">
        <f>+$BF$12</f>
        <v>1.2007972706929548</v>
      </c>
      <c r="BK25" s="310"/>
      <c r="BL25" s="319">
        <v>176.874</v>
      </c>
      <c r="BM25" s="316">
        <f>(BL25/BH25-1)*100</f>
        <v>-3.7593248559442349</v>
      </c>
      <c r="BN25" s="317">
        <f>+$BF$12</f>
        <v>1.2007972706929548</v>
      </c>
      <c r="BP25" s="319">
        <v>203.87200000000001</v>
      </c>
      <c r="BQ25" s="316">
        <f>(BP25/BL25-1)*100</f>
        <v>15.263973223876892</v>
      </c>
      <c r="BR25" s="317">
        <f>BR13</f>
        <v>-6.7450693924102083</v>
      </c>
      <c r="BT25" s="319">
        <v>191.14599999999999</v>
      </c>
      <c r="BU25" s="316">
        <f>(BT25/BP25-1)*100</f>
        <v>-6.2421519384712081</v>
      </c>
      <c r="BV25" s="317">
        <f>BV13</f>
        <v>2.8939039480391227</v>
      </c>
      <c r="BW25" s="317"/>
      <c r="BX25" s="319">
        <v>182.78899999999999</v>
      </c>
      <c r="BY25" s="316">
        <f>(BX25/BT25-1)*100</f>
        <v>-4.3720506837705226</v>
      </c>
      <c r="BZ25" s="317">
        <f>BZ13</f>
        <v>3.1697443586014007</v>
      </c>
      <c r="CB25" s="319">
        <v>246.20400000000001</v>
      </c>
      <c r="CC25" s="1801">
        <f>(CB25/BX25-1)*100</f>
        <v>34.693006690774617</v>
      </c>
      <c r="CD25" s="1802">
        <f>CD13</f>
        <v>-0.77607005791134887</v>
      </c>
      <c r="CF25" s="319">
        <v>236.703</v>
      </c>
      <c r="CG25" s="1801">
        <f>(CF25/CB25-1)*100</f>
        <v>-3.8589949797728784</v>
      </c>
      <c r="CH25" s="1802">
        <f>CH13</f>
        <v>11.982454253649589</v>
      </c>
    </row>
    <row r="26" spans="1:86" ht="12.75">
      <c r="A26" s="310"/>
      <c r="B26" s="310"/>
      <c r="C26" s="310"/>
      <c r="D26" s="310"/>
      <c r="E26" s="310"/>
      <c r="F26" s="310"/>
      <c r="G26" s="310"/>
      <c r="H26" s="310"/>
      <c r="I26" s="310"/>
      <c r="J26" s="310"/>
      <c r="K26" s="310"/>
      <c r="L26" s="310"/>
      <c r="M26" s="310"/>
      <c r="N26" s="310"/>
      <c r="O26" s="310"/>
      <c r="P26" s="310"/>
      <c r="Q26" s="310"/>
      <c r="R26" s="310"/>
      <c r="S26" s="310"/>
      <c r="T26" s="310"/>
      <c r="U26" s="310"/>
      <c r="V26" s="310"/>
      <c r="W26" s="310"/>
      <c r="X26" s="310"/>
      <c r="Y26" s="310"/>
      <c r="Z26" s="310"/>
      <c r="AA26" s="310"/>
      <c r="AB26" s="310"/>
      <c r="AC26" s="310"/>
      <c r="AD26" s="310"/>
      <c r="AE26" s="310"/>
      <c r="AF26" s="310"/>
      <c r="AG26" s="310"/>
      <c r="AH26" s="310"/>
      <c r="AI26" s="310"/>
      <c r="AJ26" s="310"/>
      <c r="AK26" s="310"/>
      <c r="AL26" s="310"/>
      <c r="AM26" s="310"/>
      <c r="AN26" s="310"/>
      <c r="AO26" s="310"/>
      <c r="AP26" s="310"/>
      <c r="AQ26" s="310"/>
      <c r="AR26" s="310"/>
      <c r="AS26" s="310"/>
      <c r="AT26" s="310"/>
      <c r="AU26" s="310"/>
      <c r="AV26" s="310"/>
      <c r="AW26" s="310"/>
      <c r="AX26" s="310"/>
      <c r="AY26" s="310"/>
      <c r="AZ26" s="310"/>
      <c r="BA26" s="310"/>
      <c r="BB26" s="310"/>
      <c r="BC26" s="310"/>
      <c r="BD26" s="310"/>
      <c r="BE26" s="310"/>
      <c r="BF26" s="310"/>
      <c r="BG26" s="310"/>
      <c r="BH26" s="310"/>
      <c r="BI26" s="310"/>
      <c r="BJ26" s="310"/>
      <c r="BK26" s="310"/>
      <c r="BL26" s="310"/>
      <c r="BM26" s="310"/>
      <c r="BN26" s="310"/>
    </row>
    <row r="27" spans="1:86" ht="12.75">
      <c r="A27" s="675" t="s">
        <v>575</v>
      </c>
      <c r="B27" s="676"/>
      <c r="C27" s="677"/>
      <c r="D27" s="678"/>
      <c r="E27" s="679"/>
      <c r="F27" s="679"/>
      <c r="G27" s="679"/>
      <c r="H27" s="679"/>
      <c r="I27" s="679"/>
      <c r="J27" s="679"/>
      <c r="K27" s="679"/>
      <c r="L27" s="679"/>
      <c r="M27" s="679"/>
      <c r="N27" s="679"/>
      <c r="O27" s="677"/>
      <c r="P27" s="679"/>
      <c r="Q27" s="679"/>
      <c r="R27" s="679"/>
      <c r="S27" s="677"/>
      <c r="T27" s="679"/>
      <c r="U27" s="679"/>
      <c r="V27" s="679"/>
      <c r="W27" s="677"/>
      <c r="X27" s="679"/>
      <c r="Y27" s="679"/>
      <c r="Z27" s="679"/>
      <c r="AA27" s="677"/>
      <c r="AB27" s="679"/>
      <c r="AC27" s="679"/>
      <c r="AD27" s="679"/>
      <c r="AE27" s="677"/>
      <c r="AF27" s="679"/>
      <c r="AG27" s="679"/>
      <c r="AH27" s="679"/>
      <c r="AI27" s="677"/>
      <c r="AJ27" s="679"/>
      <c r="AK27" s="679"/>
      <c r="AL27" s="679"/>
      <c r="AM27" s="677"/>
      <c r="AN27" s="679"/>
      <c r="AO27" s="679"/>
      <c r="AP27" s="679"/>
      <c r="AQ27" s="677"/>
      <c r="AR27" s="679"/>
      <c r="AS27" s="679"/>
      <c r="AT27" s="679"/>
      <c r="AU27" s="677"/>
      <c r="AV27" s="679"/>
      <c r="AW27" s="679"/>
      <c r="AX27" s="679"/>
      <c r="AY27" s="677"/>
      <c r="AZ27" s="679"/>
      <c r="BA27" s="679"/>
      <c r="BB27" s="679"/>
      <c r="BC27" s="677"/>
      <c r="BD27" s="679"/>
      <c r="BE27" s="679"/>
      <c r="BF27" s="679"/>
      <c r="BG27" s="677"/>
      <c r="BH27" s="679"/>
      <c r="BI27" s="679"/>
      <c r="BJ27" s="679"/>
      <c r="BK27" s="677"/>
      <c r="BL27" s="679"/>
      <c r="BM27" s="679"/>
      <c r="BN27" s="679"/>
    </row>
    <row r="28" spans="1:86" ht="12.75">
      <c r="A28" s="310" t="str">
        <f>$A$10</f>
        <v>1Q</v>
      </c>
      <c r="B28" s="310" t="str">
        <f>$B$10</f>
        <v>Apr</v>
      </c>
      <c r="C28" s="310"/>
      <c r="D28" s="315">
        <f>55.818-D22</f>
        <v>32.498999999999995</v>
      </c>
      <c r="E28" s="316"/>
      <c r="F28" s="317"/>
      <c r="G28" s="318"/>
      <c r="H28" s="315">
        <f>50.976-H22</f>
        <v>26.986999999999998</v>
      </c>
      <c r="I28" s="316">
        <f>(H28/D28-1)*100</f>
        <v>-16.960521862211142</v>
      </c>
      <c r="J28" s="317">
        <f>+J$10</f>
        <v>63.561491009318829</v>
      </c>
      <c r="K28" s="318"/>
      <c r="L28" s="315">
        <f>55.818-L22</f>
        <v>32.498999999999995</v>
      </c>
      <c r="M28" s="316">
        <f>(L28/H28-1)*100</f>
        <v>20.424648905028331</v>
      </c>
      <c r="N28" s="317">
        <f>+N$10</f>
        <v>45.850301923887081</v>
      </c>
      <c r="O28" s="310"/>
      <c r="P28" s="315">
        <f>73.266-P22</f>
        <v>36.508000000000003</v>
      </c>
      <c r="Q28" s="316">
        <f>(P28/L28-1)*100</f>
        <v>12.335764177359332</v>
      </c>
      <c r="R28" s="317">
        <f>+R$10</f>
        <v>22.416852356193772</v>
      </c>
      <c r="S28" s="310"/>
      <c r="T28" s="315">
        <f>131.68-T22-4.189</f>
        <v>84.668000000000006</v>
      </c>
      <c r="U28" s="316">
        <f>(T28/P28-1)*100</f>
        <v>131.91629231949159</v>
      </c>
      <c r="V28" s="317">
        <f>+V$10</f>
        <v>41.319895055590194</v>
      </c>
      <c r="W28" s="310"/>
      <c r="X28" s="315">
        <f>19.8+27.57+0.883+12.021+9.184</f>
        <v>69.458000000000013</v>
      </c>
      <c r="Y28" s="316">
        <f>(X28/T28-1)*100</f>
        <v>-17.96428402702319</v>
      </c>
      <c r="Z28" s="317">
        <f>+Z$10</f>
        <v>10.473150253629516</v>
      </c>
      <c r="AA28" s="310"/>
      <c r="AB28" s="315">
        <f>14.962+27.291+18.449+16.195+9.931</f>
        <v>86.827999999999989</v>
      </c>
      <c r="AC28" s="316">
        <f>(AB28/X28-1)*100</f>
        <v>25.007918454317668</v>
      </c>
      <c r="AD28" s="317">
        <f>+AD$10</f>
        <v>5.0253154991309668</v>
      </c>
      <c r="AE28" s="310"/>
      <c r="AF28" s="315">
        <f>22.546+40.173+18.152+18.181+4.832+13.091+9.966</f>
        <v>126.94099999999999</v>
      </c>
      <c r="AG28" s="316">
        <f>(AF28/AB28-1)*100</f>
        <v>46.198230985396414</v>
      </c>
      <c r="AH28" s="317">
        <f>+AH$10</f>
        <v>13.832754284617877</v>
      </c>
      <c r="AI28" s="310"/>
      <c r="AJ28" s="315">
        <f>28.765+44.835+25.636+22.287+10.457+14.618</f>
        <v>146.59799999999998</v>
      </c>
      <c r="AK28" s="316">
        <f>(AJ28/AF28-1)*100</f>
        <v>15.485146642928594</v>
      </c>
      <c r="AL28" s="317">
        <f>+AL$10</f>
        <v>37.397887005989801</v>
      </c>
      <c r="AM28" s="310"/>
      <c r="AN28" s="315">
        <f>30.609+49.202+37.237+29.973+10.389+16.116</f>
        <v>173.52600000000001</v>
      </c>
      <c r="AO28" s="316">
        <f>(AN28/AJ28-1)*100</f>
        <v>18.368599844472655</v>
      </c>
      <c r="AP28" s="317">
        <f>+AP$10</f>
        <v>14.447825410699778</v>
      </c>
      <c r="AQ28" s="310"/>
      <c r="AR28" s="315">
        <f>21.573+54.03+11.193+40.287+12.757+16.874</f>
        <v>156.714</v>
      </c>
      <c r="AS28" s="316">
        <f>(AR28/AN28-1)*100</f>
        <v>-9.6884616714498222</v>
      </c>
      <c r="AT28" s="317">
        <f>+AT$10</f>
        <v>17.219214896598189</v>
      </c>
      <c r="AU28" s="310"/>
      <c r="AV28" s="315">
        <f>19.461+59.467+13.297+36.512+13.995+16.333</f>
        <v>159.065</v>
      </c>
      <c r="AW28" s="316">
        <f>(AV28/AR28-1)*100</f>
        <v>1.5001850504741121</v>
      </c>
      <c r="AX28" s="317">
        <f>+AX$10</f>
        <v>4.5585627365746451</v>
      </c>
      <c r="AY28" s="310"/>
      <c r="AZ28" s="315">
        <f>17.52+65.065+12.567+27.284+16.056+19.226</f>
        <v>157.71799999999999</v>
      </c>
      <c r="BA28" s="316">
        <f>(AZ28/AV28-1)*100</f>
        <v>-0.84682362556188773</v>
      </c>
      <c r="BB28" s="317">
        <f>+BB$10</f>
        <v>-6.0319974012263078</v>
      </c>
      <c r="BC28" s="310"/>
      <c r="BD28" s="659">
        <f>22.15+66.907+12.437+26.866+17.365+17.35</f>
        <v>163.07499999999999</v>
      </c>
      <c r="BE28" s="316">
        <f>(BD28/AZ28-1)*100</f>
        <v>3.3965685590737982</v>
      </c>
      <c r="BF28" s="317">
        <f>+BF$10</f>
        <v>7.219962804086566</v>
      </c>
      <c r="BG28" s="310"/>
      <c r="BH28" s="659">
        <f>14.915+70.873+12.242+29.187+15.981+24.566</f>
        <v>167.76400000000001</v>
      </c>
      <c r="BI28" s="316">
        <f>(BH28/BD28-1)*100</f>
        <v>2.8753640962747351</v>
      </c>
      <c r="BJ28" s="317">
        <f>+BJ$10</f>
        <v>-6.5159970238095166</v>
      </c>
      <c r="BK28" s="310"/>
      <c r="BL28" s="659">
        <f>21.97+76.55+14.333</f>
        <v>112.85299999999999</v>
      </c>
      <c r="BM28" s="316">
        <f>(BL28/BH28-1)*100</f>
        <v>-32.731098447819562</v>
      </c>
      <c r="BN28" s="317">
        <f>+BN$10</f>
        <v>17.511822565347444</v>
      </c>
      <c r="BP28" s="659">
        <f>27.993+74.034+7.948</f>
        <v>109.97499999999999</v>
      </c>
      <c r="BQ28" s="316">
        <f>(BP28/BL28-1)*100</f>
        <v>-2.5502201979566319</v>
      </c>
      <c r="BR28" s="317">
        <f>BR10</f>
        <v>-4.1227890700513026</v>
      </c>
      <c r="BT28" s="659">
        <f>31.219+74.023+7.756</f>
        <v>112.99799999999999</v>
      </c>
      <c r="BU28" s="316">
        <f>(BT28/BP28-1)*100</f>
        <v>2.7488065469424727</v>
      </c>
      <c r="BV28" s="317">
        <f>BV10</f>
        <v>-4.9078923937086794</v>
      </c>
      <c r="BW28" s="317"/>
      <c r="BX28" s="659">
        <f>40.379+78.741+6.504</f>
        <v>125.62400000000001</v>
      </c>
      <c r="BY28" s="1801">
        <f>(BX28/BT28-1)*100</f>
        <v>11.173649091134363</v>
      </c>
      <c r="BZ28" s="1802">
        <f>BZ10</f>
        <v>8.2632105972646244</v>
      </c>
      <c r="CA28" s="1803"/>
      <c r="CB28" s="659">
        <f>34.838+77.477+6.915</f>
        <v>119.23</v>
      </c>
      <c r="CC28" s="316">
        <f>(CB28/BX28-1)*100</f>
        <v>-5.0897917595364</v>
      </c>
      <c r="CD28" s="317">
        <f>CD10</f>
        <v>7.1328911253430993</v>
      </c>
      <c r="CE28" s="1803"/>
      <c r="CF28" s="659">
        <f>31.106+78.0108+12.446</f>
        <v>121.56280000000001</v>
      </c>
      <c r="CG28" s="316">
        <f>(CF28/CB28-1)*100</f>
        <v>1.9565545584165012</v>
      </c>
      <c r="CH28" s="317">
        <f>CH10</f>
        <v>1.657290476851303</v>
      </c>
    </row>
    <row r="29" spans="1:86" ht="12.75">
      <c r="A29" s="310" t="str">
        <f>$A$11</f>
        <v>2Q</v>
      </c>
      <c r="B29" s="310" t="str">
        <f>$B$11</f>
        <v>Jul</v>
      </c>
      <c r="C29" s="310"/>
      <c r="D29" s="319">
        <f>70.282-D23</f>
        <v>40.480999999999995</v>
      </c>
      <c r="E29" s="316"/>
      <c r="F29" s="317"/>
      <c r="G29" s="318"/>
      <c r="H29" s="319">
        <f>50.324-H23</f>
        <v>26.316999999999997</v>
      </c>
      <c r="I29" s="316">
        <f>(H29/D29-1)*100</f>
        <v>-34.989254218028208</v>
      </c>
      <c r="J29" s="317">
        <f>+J$11</f>
        <v>45.92903817360925</v>
      </c>
      <c r="K29" s="318"/>
      <c r="L29" s="319">
        <f>70.282-L23</f>
        <v>40.480999999999995</v>
      </c>
      <c r="M29" s="316">
        <f>(L29/H29-1)*100</f>
        <v>53.820724246684648</v>
      </c>
      <c r="N29" s="317">
        <f>+N$11</f>
        <v>42.034979440233514</v>
      </c>
      <c r="O29" s="310"/>
      <c r="P29" s="319">
        <f>93.141-P23</f>
        <v>43.438000000000002</v>
      </c>
      <c r="Q29" s="316">
        <f>(P29/L29-1)*100</f>
        <v>7.3046614461105497</v>
      </c>
      <c r="R29" s="317">
        <f>+R$11</f>
        <v>17.020192404609659</v>
      </c>
      <c r="S29" s="310"/>
      <c r="T29" s="319">
        <f>20.15+23.495+9.509+7.064+11.815</f>
        <v>72.033000000000001</v>
      </c>
      <c r="U29" s="316">
        <f>(T29/P29-1)*100</f>
        <v>65.829458078180394</v>
      </c>
      <c r="V29" s="317">
        <f>+V$11</f>
        <v>39.915875909789108</v>
      </c>
      <c r="W29" s="310"/>
      <c r="X29" s="319">
        <f>16.452+26.387+1.557+10.238+9.821</f>
        <v>64.454999999999998</v>
      </c>
      <c r="Y29" s="316">
        <f>(X29/T29-1)*100</f>
        <v>-10.520178251634672</v>
      </c>
      <c r="Z29" s="317">
        <f>+Z$11</f>
        <v>9.1685135024214048</v>
      </c>
      <c r="AA29" s="310"/>
      <c r="AB29" s="319">
        <f>17.762+27.874+14.852+13.593+10.103</f>
        <v>84.183999999999997</v>
      </c>
      <c r="AC29" s="316">
        <f>(AB29/X29-1)*100</f>
        <v>30.608951982002953</v>
      </c>
      <c r="AD29" s="317">
        <f>+AD$11</f>
        <v>5.5936716791979979</v>
      </c>
      <c r="AE29" s="310"/>
      <c r="AF29" s="319">
        <f>26.415+29.984+18.64+15.388+4.832+15.661</f>
        <v>110.92</v>
      </c>
      <c r="AG29" s="316">
        <f>(AF29/AB29-1)*100</f>
        <v>31.759004086287177</v>
      </c>
      <c r="AH29" s="317">
        <f>+AH$11</f>
        <v>17.310824642862443</v>
      </c>
      <c r="AI29" s="310"/>
      <c r="AJ29" s="319">
        <f>28.154+47.268+17.655</f>
        <v>93.076999999999998</v>
      </c>
      <c r="AK29" s="316">
        <f>(AJ29/AF29-1)*100</f>
        <v>-16.086368553912735</v>
      </c>
      <c r="AL29" s="317">
        <f>+AL$11</f>
        <v>30.466714887633373</v>
      </c>
      <c r="AM29" s="310"/>
      <c r="AN29" s="319">
        <f>26.542+49.954+38.934+25.371+10.402+15.026</f>
        <v>166.22900000000001</v>
      </c>
      <c r="AO29" s="316">
        <f>(AN29/AJ29-1)*100</f>
        <v>78.592992898353003</v>
      </c>
      <c r="AP29" s="317">
        <f>+AP$11</f>
        <v>16.759713725216518</v>
      </c>
      <c r="AQ29" s="310"/>
      <c r="AR29" s="319">
        <f>35.099+56.259+13.29+30.093+12.787+19.307</f>
        <v>166.83499999999998</v>
      </c>
      <c r="AS29" s="316">
        <f>(AR29/AN29-1)*100</f>
        <v>0.36455732754210324</v>
      </c>
      <c r="AT29" s="317">
        <f>+AT$11</f>
        <v>16.745582956737692</v>
      </c>
      <c r="AU29" s="310"/>
      <c r="AV29" s="319">
        <f>27.157+62.97+12.159+29.771+13.988+19.163</f>
        <v>165.20800000000003</v>
      </c>
      <c r="AW29" s="316">
        <f>(AV29/AR29-1)*100</f>
        <v>-0.97521503281682298</v>
      </c>
      <c r="AX29" s="317">
        <f>+AX$11</f>
        <v>-2.0441161622266391</v>
      </c>
      <c r="AY29" s="310"/>
      <c r="AZ29" s="319">
        <f>29.97+66.637+16.093+20.92+17.639+18.845</f>
        <v>170.10400000000001</v>
      </c>
      <c r="BA29" s="316">
        <f>(AZ29/AV29-1)*100</f>
        <v>2.9635368747276125</v>
      </c>
      <c r="BB29" s="317">
        <f>+BB$11</f>
        <v>-6.0998961985438864</v>
      </c>
      <c r="BC29" s="310"/>
      <c r="BD29" s="319">
        <f>31.356+83.617+13.801+21.201+16.909+19.413</f>
        <v>186.297</v>
      </c>
      <c r="BE29" s="316">
        <f>(BD29/AZ29-1)*100</f>
        <v>9.5194704416121887</v>
      </c>
      <c r="BF29" s="317">
        <f>+BF$11</f>
        <v>0.30040290786303991</v>
      </c>
      <c r="BG29" s="310"/>
      <c r="BH29" s="319">
        <f>24.928+72.477+13.998+26.542+15.938+21.037</f>
        <v>174.92</v>
      </c>
      <c r="BI29" s="316">
        <f>(BH29/BD29-1)*100</f>
        <v>-6.1069153019103979</v>
      </c>
      <c r="BJ29" s="317">
        <f>+BJ$11</f>
        <v>3.1413152552405288</v>
      </c>
      <c r="BK29" s="310"/>
      <c r="BL29" s="1804">
        <f>54.168+78.514+15.822</f>
        <v>148.50399999999999</v>
      </c>
      <c r="BM29" s="316">
        <f>(BL29/BH29-1)*100</f>
        <v>-15.101760804939401</v>
      </c>
      <c r="BN29" s="317">
        <f>+BN$11</f>
        <v>10.545193687230991</v>
      </c>
      <c r="BP29" s="319">
        <f>20.496+74.052+9.614</f>
        <v>104.16200000000001</v>
      </c>
      <c r="BQ29" s="316">
        <f>(BP29/BL29-1)*100</f>
        <v>-29.859128373646492</v>
      </c>
      <c r="BR29" s="317">
        <f>BR11</f>
        <v>-1.6719392169586844</v>
      </c>
      <c r="BT29" s="319">
        <f>25.917+75.649+6.225</f>
        <v>107.791</v>
      </c>
      <c r="BU29" s="316">
        <f>(BT29/BP29-1)*100</f>
        <v>3.4839960830245209</v>
      </c>
      <c r="BV29" s="317">
        <f>BV11</f>
        <v>-2.298597715151518</v>
      </c>
      <c r="BW29" s="317"/>
      <c r="BX29" s="1804">
        <f>37.851+77.127+14.656</f>
        <v>129.63399999999999</v>
      </c>
      <c r="BY29" s="1801">
        <f>(BX29/BT29-1)*100</f>
        <v>20.264215008674192</v>
      </c>
      <c r="BZ29" s="1802">
        <f>BZ11</f>
        <v>12.219759497322658</v>
      </c>
      <c r="CA29" s="1803"/>
      <c r="CB29" s="1804">
        <f>35.908+78.621+10.25</f>
        <v>124.779</v>
      </c>
      <c r="CC29" s="316">
        <f>(CB29/BX29-1)*100</f>
        <v>-3.745159448909996</v>
      </c>
      <c r="CD29" s="317">
        <f>CD11</f>
        <v>3.1558962063032769</v>
      </c>
      <c r="CE29" s="1803"/>
      <c r="CF29" s="1804">
        <f>22.708+78.697+13.289</f>
        <v>114.694</v>
      </c>
      <c r="CG29" s="316">
        <f>(CF29/CB29-1)*100</f>
        <v>-8.0822894878144531</v>
      </c>
      <c r="CH29" s="317">
        <f>CH11</f>
        <v>2.6699684169833482</v>
      </c>
    </row>
    <row r="30" spans="1:86" ht="12.75">
      <c r="A30" s="310" t="str">
        <f>$A$12</f>
        <v>3Q</v>
      </c>
      <c r="B30" s="310" t="str">
        <f>$B$12</f>
        <v>Oct</v>
      </c>
      <c r="C30" s="310"/>
      <c r="D30" s="319">
        <f>92.655-D24</f>
        <v>53.259</v>
      </c>
      <c r="E30" s="316"/>
      <c r="F30" s="317"/>
      <c r="G30" s="318"/>
      <c r="H30" s="319">
        <f>71.499-H24</f>
        <v>35.732999999999997</v>
      </c>
      <c r="I30" s="316">
        <f>(H30/D30-1)*100</f>
        <v>-32.907114290542452</v>
      </c>
      <c r="J30" s="317">
        <f>+J$12</f>
        <v>42.10215248517666</v>
      </c>
      <c r="K30" s="318"/>
      <c r="L30" s="319">
        <f>92.655-L24</f>
        <v>53.259</v>
      </c>
      <c r="M30" s="316">
        <f>(L30/H30-1)*100</f>
        <v>49.047099319956367</v>
      </c>
      <c r="N30" s="317">
        <f>+N$12</f>
        <v>49.390211178790878</v>
      </c>
      <c r="O30" s="310"/>
      <c r="P30" s="319">
        <f>124.326-56.588</f>
        <v>67.738</v>
      </c>
      <c r="Q30" s="316">
        <f>(P30/L30-1)*100</f>
        <v>27.186015509115833</v>
      </c>
      <c r="R30" s="317">
        <f>+R$12</f>
        <v>26.976151024055529</v>
      </c>
      <c r="S30" s="310"/>
      <c r="T30" s="319">
        <f>24.873+28.522+3.777+7.212+8.046</f>
        <v>72.430000000000007</v>
      </c>
      <c r="U30" s="316">
        <f>(T30/P30-1)*100</f>
        <v>6.9266881218813747</v>
      </c>
      <c r="V30" s="317">
        <f>+V$12</f>
        <v>28.607298588590613</v>
      </c>
      <c r="W30" s="310"/>
      <c r="X30" s="319">
        <f>19.093+26.998+8.277+10.216+8.4</f>
        <v>72.984000000000009</v>
      </c>
      <c r="Y30" s="316">
        <f>(X30/T30-1)*100</f>
        <v>0.76487643241751613</v>
      </c>
      <c r="Z30" s="317">
        <f>+Z$12</f>
        <v>2.9794395298892828</v>
      </c>
      <c r="AA30" s="310"/>
      <c r="AB30" s="319">
        <f>18.073+29.079+17.769+13.507+13.269</f>
        <v>91.697000000000003</v>
      </c>
      <c r="AC30" s="316">
        <f>(AB30/X30-1)*100</f>
        <v>25.639866272059606</v>
      </c>
      <c r="AD30" s="317">
        <f>+AD$12</f>
        <v>-0.18531672069512783</v>
      </c>
      <c r="AE30" s="310"/>
      <c r="AF30" s="319">
        <f>39.985+31.749+27.646+15.451+15.715</f>
        <v>130.54599999999999</v>
      </c>
      <c r="AG30" s="316">
        <f>(AF30/AB30-1)*100</f>
        <v>42.366707743982879</v>
      </c>
      <c r="AH30" s="317">
        <f>+AH$12</f>
        <v>28.299892990904208</v>
      </c>
      <c r="AI30" s="310"/>
      <c r="AJ30" s="319">
        <f>41.895+49.473+17.257+19.065+10.422+15.858</f>
        <v>153.97</v>
      </c>
      <c r="AK30" s="316">
        <f>(AJ30/AF30-1)*100</f>
        <v>17.943100516293107</v>
      </c>
      <c r="AL30" s="317">
        <f>+AL$12</f>
        <v>21.051951166112381</v>
      </c>
      <c r="AM30" s="310"/>
      <c r="AN30" s="319">
        <f>46.716+52.033+32.261+25.672+10.408+18.987</f>
        <v>186.07699999999997</v>
      </c>
      <c r="AO30" s="316">
        <f>(AN30/AJ30-1)*100</f>
        <v>20.852763525362072</v>
      </c>
      <c r="AP30" s="317">
        <f>+AP$12</f>
        <v>19.936887108192771</v>
      </c>
      <c r="AQ30" s="310"/>
      <c r="AR30" s="319">
        <f>35.003+58.731+41.324+30.355+12.861+17.357</f>
        <v>195.63099999999997</v>
      </c>
      <c r="AS30" s="316">
        <f>(AR30/AN30-1)*100</f>
        <v>5.1344335946946762</v>
      </c>
      <c r="AT30" s="317">
        <f>+AT$12</f>
        <v>6.9156529606916761</v>
      </c>
      <c r="AU30" s="310"/>
      <c r="AV30" s="319">
        <f>18.531+64.294+11.072+28.494+13.866+19.786</f>
        <v>156.04300000000001</v>
      </c>
      <c r="AW30" s="316">
        <f>(AV30/AR30-1)*100</f>
        <v>-20.236056657687161</v>
      </c>
      <c r="AX30" s="317">
        <f>+AX$12</f>
        <v>1.2886144405951816</v>
      </c>
      <c r="AY30" s="310"/>
      <c r="AZ30" s="319">
        <f>23.932+67.983+22.574+19.632+17.605+20.293</f>
        <v>172.01900000000001</v>
      </c>
      <c r="BA30" s="316">
        <f>(AZ30/AV30-1)*100</f>
        <v>10.238203572092308</v>
      </c>
      <c r="BB30" s="317">
        <f>+BB$12</f>
        <v>-2.3904694205581722</v>
      </c>
      <c r="BC30" s="310"/>
      <c r="BD30" s="319">
        <f>30.289+71.133+11.62+20.266+16.465+21.285</f>
        <v>171.05799999999999</v>
      </c>
      <c r="BE30" s="316">
        <f>(BD30/AZ30-1)*100</f>
        <v>-0.55865921787709993</v>
      </c>
      <c r="BF30" s="317">
        <f>+$BF$12</f>
        <v>1.2007972706929548</v>
      </c>
      <c r="BG30" s="310"/>
      <c r="BH30" s="319">
        <f>18.677+74.888+19.522+22.456+15.512+22.57</f>
        <v>173.62499999999997</v>
      </c>
      <c r="BI30" s="316">
        <f>(BH30/BD30-1)*100</f>
        <v>1.5006605946521034</v>
      </c>
      <c r="BJ30" s="317">
        <f>+$BF$12</f>
        <v>1.2007972706929548</v>
      </c>
      <c r="BK30" s="310"/>
      <c r="BL30" s="1804">
        <f>51.992+76.769+38.133</f>
        <v>166.89400000000001</v>
      </c>
      <c r="BM30" s="316">
        <f>(BL30/BH30-1)*100</f>
        <v>-3.8767458603311544</v>
      </c>
      <c r="BN30" s="317">
        <f>+$BF$12</f>
        <v>1.2007972706929548</v>
      </c>
      <c r="BP30" s="1804">
        <f>32.522+75.68+9.002</f>
        <v>117.20399999999999</v>
      </c>
      <c r="BQ30" s="316">
        <f>(BP30/BL30-1)*100</f>
        <v>-29.77338909727133</v>
      </c>
      <c r="BR30" s="317">
        <f>BR12</f>
        <v>-5.8293624378552238</v>
      </c>
      <c r="BT30" s="1804">
        <f>49.562+77.102+27.472</f>
        <v>154.136</v>
      </c>
      <c r="BU30" s="316">
        <f>(BT30/BP30-1)*100</f>
        <v>31.510869936179663</v>
      </c>
      <c r="BV30" s="317">
        <f>BV12</f>
        <v>-0.35168347320965188</v>
      </c>
      <c r="BW30" s="317"/>
      <c r="BX30" s="1804">
        <f>66.466+77.892+43.721</f>
        <v>188.07900000000001</v>
      </c>
      <c r="BY30" s="1801">
        <f>(BX30/BT30-1)*100</f>
        <v>22.021461566408895</v>
      </c>
      <c r="BZ30" s="1802">
        <f>BZ12</f>
        <v>7.5831392150206733</v>
      </c>
      <c r="CA30" s="1803"/>
      <c r="CB30" s="1804">
        <f>56.939+79.255+29.373</f>
        <v>165.56699999999998</v>
      </c>
      <c r="CC30" s="316">
        <f>(CB30/BX30-1)*100</f>
        <v>-11.969438374300179</v>
      </c>
      <c r="CD30" s="317">
        <f>CD12</f>
        <v>2.343341979736091</v>
      </c>
      <c r="CE30" s="1803"/>
      <c r="CF30" s="1804">
        <f>43.561+80.58+17.262</f>
        <v>141.40299999999999</v>
      </c>
      <c r="CG30" s="316">
        <f>(CF30/CB30-1)*100</f>
        <v>-14.594695802907577</v>
      </c>
      <c r="CH30" s="317">
        <f>CH12</f>
        <v>2.1075707334290872</v>
      </c>
    </row>
    <row r="31" spans="1:86" ht="12.75">
      <c r="A31" s="310" t="str">
        <f>$A$13</f>
        <v>4Q</v>
      </c>
      <c r="B31" s="310" t="str">
        <f>$B$13</f>
        <v>Jan</v>
      </c>
      <c r="C31" s="310"/>
      <c r="D31" s="320">
        <f>+SUM(bal!I31:I36)</f>
        <v>29.381</v>
      </c>
      <c r="E31" s="316"/>
      <c r="F31" s="317"/>
      <c r="G31" s="321"/>
      <c r="H31" s="320">
        <f>+SUM(bal!K31:K36)</f>
        <v>41.2</v>
      </c>
      <c r="I31" s="316">
        <f>(H31/D31-1)*100</f>
        <v>40.226677104251053</v>
      </c>
      <c r="J31" s="317">
        <f>+J$13</f>
        <v>38.651268705270027</v>
      </c>
      <c r="K31" s="321"/>
      <c r="L31" s="320">
        <f>+SUM(bal!M31:M36)</f>
        <v>57.725000000000001</v>
      </c>
      <c r="M31" s="316">
        <f>(L31/H31-1)*100</f>
        <v>40.109223300970868</v>
      </c>
      <c r="N31" s="317">
        <f>+N$13</f>
        <v>33.935065483536441</v>
      </c>
      <c r="O31" s="310"/>
      <c r="P31" s="320">
        <f>+SUM(bal!O31:O36)</f>
        <v>102.80900000000001</v>
      </c>
      <c r="Q31" s="316">
        <f>(P31/L31-1)*100</f>
        <v>78.101342572542237</v>
      </c>
      <c r="R31" s="317">
        <f>+R$13</f>
        <v>48.457212928089689</v>
      </c>
      <c r="S31" s="310"/>
      <c r="T31" s="320">
        <f>+SUM(bal!Q31:Q36)</f>
        <v>106.831</v>
      </c>
      <c r="U31" s="316">
        <f>(T31/P31-1)*100</f>
        <v>3.9121088620645894</v>
      </c>
      <c r="V31" s="317">
        <f>+V$13</f>
        <v>9.5734588208640439</v>
      </c>
      <c r="W31" s="310"/>
      <c r="X31" s="319">
        <f>141.586-X25-4.225</f>
        <v>86.753000000000014</v>
      </c>
      <c r="Y31" s="316">
        <f>(X31/T31-1)*100</f>
        <v>-18.794170231487108</v>
      </c>
      <c r="Z31" s="317">
        <f>+Z$13</f>
        <v>5.8699116950247543</v>
      </c>
      <c r="AA31" s="310"/>
      <c r="AB31" s="319">
        <f>189.035-AB25-4.832</f>
        <v>112.873</v>
      </c>
      <c r="AC31" s="316">
        <f>(AB31/X31-1)*100</f>
        <v>30.108468871393491</v>
      </c>
      <c r="AD31" s="317">
        <f>+AD$13</f>
        <v>-0.19814710082717291</v>
      </c>
      <c r="AE31" s="310"/>
      <c r="AF31" s="319">
        <f>36.008+34.242+33.926+32.724+19.376</f>
        <v>156.27600000000001</v>
      </c>
      <c r="AG31" s="316">
        <f>(AF31/AB31-1)*100</f>
        <v>38.45295154731425</v>
      </c>
      <c r="AH31" s="317">
        <f>+AH$12</f>
        <v>28.299892990904208</v>
      </c>
      <c r="AI31" s="310"/>
      <c r="AJ31" s="576">
        <f>51.891+52.506+43.273+43.045+10.406+15.01</f>
        <v>216.13099999999997</v>
      </c>
      <c r="AK31" s="316">
        <f>(AJ31/AF31-1)*100</f>
        <v>38.300826742430026</v>
      </c>
      <c r="AL31" s="317">
        <f>+AL$12</f>
        <v>21.051951166112381</v>
      </c>
      <c r="AM31" s="310"/>
      <c r="AN31" s="319">
        <f>58.371+57.543+91.934+54.554+12.803+18.263</f>
        <v>293.46800000000002</v>
      </c>
      <c r="AO31" s="316">
        <f>(AN31/AJ31-1)*100</f>
        <v>35.782465264122251</v>
      </c>
      <c r="AP31" s="317">
        <f>+AP$13</f>
        <v>26.563901855487781</v>
      </c>
      <c r="AQ31" s="310"/>
      <c r="AR31" s="319">
        <f>49.494+62.161+22.803+54.554+12.953+16.285</f>
        <v>218.25</v>
      </c>
      <c r="AS31" s="316">
        <f>(AR31/AN31-1)*100</f>
        <v>-25.630733163411346</v>
      </c>
      <c r="AT31" s="317">
        <f>+AT$13</f>
        <v>2.2638989484931038</v>
      </c>
      <c r="AU31" s="310"/>
      <c r="AV31" s="319">
        <f>29.417+64.695+6.259+42.299+13.726+18.299</f>
        <v>174.69499999999999</v>
      </c>
      <c r="AW31" s="316">
        <f>(AV31/AR31-1)*100</f>
        <v>-19.956471935853383</v>
      </c>
      <c r="AX31" s="317">
        <f>+AX$13</f>
        <v>-9.0102380849526931</v>
      </c>
      <c r="AY31" s="310"/>
      <c r="AZ31" s="319">
        <f>55.144+68.866+20.585+39.389+17.388+19.057</f>
        <v>220.429</v>
      </c>
      <c r="BA31" s="316">
        <f>(AZ31/AV31-1)*100</f>
        <v>26.179341137410916</v>
      </c>
      <c r="BB31" s="317">
        <f>+BB$13</f>
        <v>5.5280204656442011</v>
      </c>
      <c r="BC31" s="310"/>
      <c r="BD31" s="319">
        <f>34.954+70.39+32.468+41.001+16.203+25.098</f>
        <v>220.11400000000003</v>
      </c>
      <c r="BE31" s="316">
        <f>(BD31/AZ31-1)*100</f>
        <v>-0.14290315702560896</v>
      </c>
      <c r="BF31" s="317">
        <f>+$BF$13</f>
        <v>-5.1473088500399111</v>
      </c>
      <c r="BG31" s="310"/>
      <c r="BH31" s="319">
        <f>42.625+76.921+20.135</f>
        <v>139.68100000000001</v>
      </c>
      <c r="BI31" s="316">
        <f>(BH31/BD31-1)*100</f>
        <v>-36.54151939449558</v>
      </c>
      <c r="BJ31" s="317">
        <f>+$BF$12</f>
        <v>1.2007972706929548</v>
      </c>
      <c r="BK31" s="310"/>
      <c r="BL31" s="319">
        <f>65.533+77.873+29.155</f>
        <v>172.56100000000001</v>
      </c>
      <c r="BM31" s="316">
        <f>(BL31/BH31-1)*100</f>
        <v>23.53935037693029</v>
      </c>
      <c r="BN31" s="317">
        <f>+$BF$12</f>
        <v>1.2007972706929548</v>
      </c>
      <c r="BP31" s="319">
        <f>23.56+76.397+5.778</f>
        <v>105.73500000000001</v>
      </c>
      <c r="BQ31" s="316">
        <f>(BP31/BL31-1)*100</f>
        <v>-38.726015727771625</v>
      </c>
      <c r="BR31" s="317">
        <f>BR13</f>
        <v>-6.7450693924102083</v>
      </c>
      <c r="BT31" s="319">
        <f>44.884+78.567+33.11</f>
        <v>156.56099999999998</v>
      </c>
      <c r="BU31" s="316">
        <f>(BT31/BP31-1)*100</f>
        <v>48.069229677968472</v>
      </c>
      <c r="BV31" s="317">
        <f>BV13</f>
        <v>2.8939039480391227</v>
      </c>
      <c r="BW31" s="317"/>
      <c r="BX31" s="1804">
        <f>79.302+77.482+22.223</f>
        <v>179.00700000000001</v>
      </c>
      <c r="BY31" s="1801">
        <f>(BX31/BT31-1)*100</f>
        <v>14.336903826623516</v>
      </c>
      <c r="BZ31" s="1802">
        <f>BZ13</f>
        <v>3.1697443586014007</v>
      </c>
      <c r="CA31" s="1803"/>
      <c r="CB31" s="1804">
        <f>54.184+78.619+12.22</f>
        <v>145.023</v>
      </c>
      <c r="CC31" s="316">
        <f>(CB31/BX31-1)*100</f>
        <v>-18.984732440630815</v>
      </c>
      <c r="CD31" s="317">
        <f>CD13</f>
        <v>-0.77607005791134887</v>
      </c>
      <c r="CE31" s="1803"/>
      <c r="CF31" s="1804">
        <f>54.324+83.312+12.781</f>
        <v>150.417</v>
      </c>
      <c r="CG31" s="316">
        <f>(CF31/CB31-1)*100</f>
        <v>3.7194100246167983</v>
      </c>
      <c r="CH31" s="317">
        <f>CH13</f>
        <v>11.982454253649589</v>
      </c>
    </row>
    <row r="32" spans="1:86" ht="12.75">
      <c r="A32" s="310"/>
      <c r="B32" s="310"/>
      <c r="C32" s="310"/>
      <c r="D32" s="310"/>
      <c r="E32" s="310"/>
      <c r="F32" s="310"/>
      <c r="G32" s="310"/>
      <c r="H32" s="310"/>
      <c r="I32" s="310"/>
      <c r="J32" s="310"/>
      <c r="K32" s="310"/>
      <c r="L32" s="310"/>
      <c r="M32" s="310"/>
      <c r="N32" s="310"/>
      <c r="O32" s="310"/>
      <c r="P32" s="310"/>
      <c r="Q32" s="310"/>
      <c r="R32" s="310"/>
      <c r="S32" s="310"/>
      <c r="T32" s="310"/>
      <c r="U32" s="310"/>
      <c r="V32" s="310"/>
      <c r="W32" s="310"/>
      <c r="X32" s="310"/>
      <c r="Y32" s="310"/>
      <c r="Z32" s="310"/>
      <c r="AA32" s="310"/>
      <c r="AB32" s="310"/>
      <c r="AC32" s="310"/>
      <c r="AD32" s="310"/>
      <c r="AE32" s="310"/>
      <c r="AF32" s="310"/>
      <c r="AG32" s="310"/>
      <c r="AH32" s="310"/>
      <c r="AI32" s="310"/>
      <c r="AJ32" s="310"/>
      <c r="AK32" s="310"/>
      <c r="AL32" s="310"/>
      <c r="AM32" s="310"/>
      <c r="AN32" s="310"/>
      <c r="AO32" s="310"/>
      <c r="AP32" s="310"/>
      <c r="AQ32" s="310"/>
      <c r="AR32" s="310"/>
      <c r="AS32" s="310"/>
      <c r="AT32" s="310"/>
      <c r="AU32" s="310"/>
      <c r="AV32" s="310"/>
      <c r="AW32" s="310"/>
      <c r="AX32" s="310"/>
      <c r="AY32" s="310"/>
      <c r="AZ32" s="310"/>
      <c r="BA32" s="310"/>
      <c r="BB32" s="310"/>
      <c r="BC32" s="310"/>
      <c r="BD32" s="310"/>
      <c r="BE32" s="310"/>
      <c r="BF32" s="310"/>
      <c r="BG32" s="310"/>
      <c r="BH32" s="310"/>
      <c r="BI32" s="310"/>
      <c r="BJ32" s="310"/>
      <c r="BK32" s="310"/>
      <c r="BL32" s="310"/>
      <c r="BM32" s="310"/>
      <c r="BN32" s="310"/>
      <c r="BX32" s="1803"/>
      <c r="BY32" s="1803"/>
      <c r="BZ32" s="1803"/>
      <c r="CA32" s="1803"/>
      <c r="CB32" s="1803"/>
      <c r="CE32" s="1803"/>
      <c r="CF32" s="1803"/>
    </row>
    <row r="33" spans="1:86" ht="12.75">
      <c r="A33" s="676" t="s">
        <v>576</v>
      </c>
      <c r="B33" s="676"/>
      <c r="C33" s="677"/>
      <c r="D33" s="676"/>
      <c r="E33" s="677"/>
      <c r="F33" s="677"/>
      <c r="G33" s="677"/>
      <c r="H33" s="677"/>
      <c r="I33" s="677"/>
      <c r="J33" s="677"/>
      <c r="K33" s="677"/>
      <c r="L33" s="677"/>
      <c r="M33" s="677"/>
      <c r="N33" s="677"/>
      <c r="O33" s="677"/>
      <c r="P33" s="677"/>
      <c r="Q33" s="677"/>
      <c r="R33" s="677"/>
      <c r="S33" s="677"/>
      <c r="T33" s="677"/>
      <c r="U33" s="677"/>
      <c r="V33" s="677"/>
      <c r="W33" s="677"/>
      <c r="X33" s="677"/>
      <c r="Y33" s="677"/>
      <c r="Z33" s="677"/>
      <c r="AA33" s="677"/>
      <c r="AB33" s="677"/>
      <c r="AC33" s="677"/>
      <c r="AD33" s="677"/>
      <c r="AE33" s="677"/>
      <c r="AF33" s="677"/>
      <c r="AG33" s="677"/>
      <c r="AH33" s="677"/>
      <c r="AI33" s="677"/>
      <c r="AJ33" s="677"/>
      <c r="AK33" s="677"/>
      <c r="AL33" s="677"/>
      <c r="AM33" s="677"/>
      <c r="AN33" s="677"/>
      <c r="AO33" s="677"/>
      <c r="AP33" s="677"/>
      <c r="AQ33" s="677"/>
      <c r="AR33" s="677"/>
      <c r="AS33" s="677"/>
      <c r="AT33" s="677"/>
      <c r="AU33" s="677"/>
      <c r="AV33" s="677"/>
      <c r="AW33" s="677"/>
      <c r="AX33" s="677"/>
      <c r="AY33" s="677"/>
      <c r="AZ33" s="677"/>
      <c r="BA33" s="677"/>
      <c r="BB33" s="677"/>
      <c r="BC33" s="677"/>
      <c r="BD33" s="677"/>
      <c r="BE33" s="677"/>
      <c r="BF33" s="677"/>
      <c r="BG33" s="677"/>
      <c r="BH33" s="677"/>
      <c r="BI33" s="677"/>
      <c r="BJ33" s="677"/>
      <c r="BK33" s="677"/>
      <c r="BL33" s="677"/>
      <c r="BM33" s="677"/>
      <c r="BN33" s="677"/>
    </row>
    <row r="34" spans="1:86" ht="12.75">
      <c r="A34" s="310" t="str">
        <f>$A$10</f>
        <v>1Q</v>
      </c>
      <c r="B34" s="310" t="str">
        <f>$B$10</f>
        <v>Apr</v>
      </c>
      <c r="C34" s="310"/>
      <c r="D34" s="322">
        <f>D10+D16-D22-D28</f>
        <v>11.034999999999997</v>
      </c>
      <c r="E34" s="316"/>
      <c r="F34" s="317"/>
      <c r="G34" s="321"/>
      <c r="H34" s="322">
        <f>H10+H16-H22-H28</f>
        <v>8.1539999999999928</v>
      </c>
      <c r="I34" s="316">
        <f>IF(D34&lt;0,"NM",(H34/D34-1)*100)</f>
        <v>-26.107838695061215</v>
      </c>
      <c r="J34" s="317">
        <f>+J$10</f>
        <v>63.561491009318829</v>
      </c>
      <c r="K34" s="321"/>
      <c r="L34" s="322">
        <f>L10+L16-L22-L28</f>
        <v>32.13600000000001</v>
      </c>
      <c r="M34" s="316">
        <f>IF(H34&lt;0,"NM",(L34/H34-1)*100)</f>
        <v>294.11331861663035</v>
      </c>
      <c r="N34" s="317">
        <f>+N$10</f>
        <v>45.850301923887081</v>
      </c>
      <c r="O34" s="310"/>
      <c r="P34" s="322">
        <f>P10+P16-P22-P28</f>
        <v>55.339000000000006</v>
      </c>
      <c r="Q34" s="316">
        <f>IF(L34&lt;0,"NM",(P34/L34-1)*100)</f>
        <v>72.202514314164759</v>
      </c>
      <c r="R34" s="317">
        <f>+R$10</f>
        <v>22.416852356193772</v>
      </c>
      <c r="S34" s="310"/>
      <c r="T34" s="322">
        <f>T10+T16-T22-T28</f>
        <v>53.720999999999975</v>
      </c>
      <c r="U34" s="323">
        <f>IF(P34&lt;0,"NM",(T34/P34-1)*100)</f>
        <v>-2.9237969605522829</v>
      </c>
      <c r="V34" s="317">
        <f>+V$10</f>
        <v>41.319895055590194</v>
      </c>
      <c r="W34" s="310"/>
      <c r="X34" s="322">
        <f>X10+X16-X22-X28</f>
        <v>54.464000000000013</v>
      </c>
      <c r="Y34" s="323">
        <f>IF(T34&lt;0,"NM",(X34/T34-1)*100)</f>
        <v>1.3830717968765338</v>
      </c>
      <c r="Z34" s="317">
        <f>+Z$10</f>
        <v>10.473150253629516</v>
      </c>
      <c r="AA34" s="310"/>
      <c r="AB34" s="322">
        <f>AB10+AB16-AB22-AB28</f>
        <v>73.009</v>
      </c>
      <c r="AC34" s="323">
        <f>IF(X34&lt;0,"NM",(AB34/X34-1)*100)</f>
        <v>34.050014688601607</v>
      </c>
      <c r="AD34" s="317">
        <f>+AD$10</f>
        <v>5.0253154991309668</v>
      </c>
      <c r="AE34" s="310"/>
      <c r="AF34" s="322">
        <f>AF10+AF16-AF22-AF28</f>
        <v>34.182000000000002</v>
      </c>
      <c r="AG34" s="323">
        <f>IF(AB34&lt;0,"NM",(AF34/AB34-1)*100)</f>
        <v>-53.181114657097069</v>
      </c>
      <c r="AH34" s="317">
        <f>+AH$10</f>
        <v>13.832754284617877</v>
      </c>
      <c r="AI34" s="310"/>
      <c r="AJ34" s="322">
        <f>AJ10+AJ16-AJ22-AJ28</f>
        <v>102.38000000000002</v>
      </c>
      <c r="AK34" s="323">
        <f>IF(AF34&lt;0,"NM",(AJ34/AF34-1)*100)</f>
        <v>199.51436428529638</v>
      </c>
      <c r="AL34" s="317">
        <f>+AL$10</f>
        <v>37.397887005989801</v>
      </c>
      <c r="AM34" s="310"/>
      <c r="AN34" s="322">
        <f>AN10+AN16-AN22-AN28</f>
        <v>22.262999999999977</v>
      </c>
      <c r="AO34" s="323">
        <f>IF(AJ34&lt;0,"NM",(AN34/AJ34-1)*100)</f>
        <v>-78.254541902715403</v>
      </c>
      <c r="AP34" s="317">
        <f>+AP$10</f>
        <v>14.447825410699778</v>
      </c>
      <c r="AQ34" s="310"/>
      <c r="AR34" s="322">
        <f>AR10+AR16-AR22-AR28</f>
        <v>116.39800000000008</v>
      </c>
      <c r="AS34" s="323">
        <f>IF(AN34&lt;0,"NM",(AR34/AN34-1)*100)</f>
        <v>422.83160400664872</v>
      </c>
      <c r="AT34" s="317">
        <f>+AT$10</f>
        <v>17.219214896598189</v>
      </c>
      <c r="AU34" s="310"/>
      <c r="AV34" s="322">
        <f>AV10+AV16-AV22-AV28</f>
        <v>162.01299999999998</v>
      </c>
      <c r="AW34" s="323">
        <f>IF(AR34&lt;0,"NM",(AV34/AR34-1)*100)</f>
        <v>39.188817677279552</v>
      </c>
      <c r="AX34" s="317">
        <f>+AX$10</f>
        <v>4.5585627365746451</v>
      </c>
      <c r="AY34" s="310"/>
      <c r="AZ34" s="322">
        <f>AZ10+AZ16-AZ22-AZ28</f>
        <v>153.49900000000005</v>
      </c>
      <c r="BA34" s="323">
        <f>IF(AV34&lt;0,"NM",(AZ34/AV34-1)*100)</f>
        <v>-5.2551338472838101</v>
      </c>
      <c r="BB34" s="317">
        <f>+BB$10</f>
        <v>-6.0319974012263078</v>
      </c>
      <c r="BC34" s="310"/>
      <c r="BD34" s="322">
        <f>BD10+BD16-BD22-BD28</f>
        <v>149.74899999999997</v>
      </c>
      <c r="BE34" s="323">
        <f>IF(AZ34&lt;0,"NM",(BD34/AZ34-1)*100)</f>
        <v>-2.4430126580629707</v>
      </c>
      <c r="BF34" s="317">
        <f>+BF$10</f>
        <v>7.219962804086566</v>
      </c>
      <c r="BG34" s="310"/>
      <c r="BH34" s="322">
        <f>BH10+BH16-BH22-BH28</f>
        <v>173.81500000000005</v>
      </c>
      <c r="BI34" s="323">
        <f>IF(BD34&lt;0,"NM",(BH34/BD34-1)*100)</f>
        <v>16.070891959211806</v>
      </c>
      <c r="BJ34" s="317">
        <f>+BJ$10</f>
        <v>-6.5159970238095166</v>
      </c>
      <c r="BK34" s="310"/>
      <c r="BL34" s="322">
        <f>BL10+BL16-BL22-BL28</f>
        <v>291.23700000000002</v>
      </c>
      <c r="BM34" s="323">
        <f>IF(BH34&lt;0,"NM",(BL34/BH34-1)*100)</f>
        <v>67.555734545349907</v>
      </c>
      <c r="BN34" s="317">
        <f>+BN$10</f>
        <v>17.511822565347444</v>
      </c>
      <c r="BP34" s="322">
        <f>BP10+BP16-BP22-BP28</f>
        <v>264.10899999999992</v>
      </c>
      <c r="BQ34" s="323">
        <f>IF(BL34&lt;0,"NM",(BP34/BL34-1)*100)</f>
        <v>-9.314750529637406</v>
      </c>
      <c r="BR34" s="317">
        <f>$BR10</f>
        <v>-4.1227890700513026</v>
      </c>
      <c r="BT34" s="322">
        <f>BT10+BT16-BT22-BT28</f>
        <v>224.55200000000008</v>
      </c>
      <c r="BU34" s="323">
        <f>IF(BP34&lt;0,"NM",(BT34/BP34-1)*100)</f>
        <v>-14.9775282175162</v>
      </c>
      <c r="BV34" s="317">
        <f>BV10</f>
        <v>-4.9078923937086794</v>
      </c>
      <c r="BW34" s="317"/>
      <c r="BX34" s="322">
        <f>BX10+BX16-BX22-BX28</f>
        <v>145.29499999999996</v>
      </c>
      <c r="BY34" s="323">
        <f>IF(BT34&lt;0,"NM",(BX34/BT34-1)*100)</f>
        <v>-35.295610816202974</v>
      </c>
      <c r="BZ34" s="317">
        <f>BZ10</f>
        <v>8.2632105972646244</v>
      </c>
      <c r="CB34" s="322">
        <f>CB10+CB16-CB22-CB28</f>
        <v>168.42899999999997</v>
      </c>
      <c r="CC34" s="323">
        <f>IF(BX34&lt;0,"NM",(CB34/BX34-1)*100)</f>
        <v>15.922089541966367</v>
      </c>
      <c r="CD34" s="317">
        <f>CD10</f>
        <v>7.1328911253430993</v>
      </c>
      <c r="CF34" s="322">
        <f>CF10+CF16-CF22-CF28</f>
        <v>208.05520000000004</v>
      </c>
      <c r="CG34" s="323">
        <f>IF(CB34&lt;0,"NM",(CF34/CB34-1)*100)</f>
        <v>23.526946072232271</v>
      </c>
      <c r="CH34" s="317">
        <f>CH10</f>
        <v>1.657290476851303</v>
      </c>
    </row>
    <row r="35" spans="1:86" ht="12.75">
      <c r="A35" s="310" t="str">
        <f>$A$11</f>
        <v>2Q</v>
      </c>
      <c r="B35" s="310" t="str">
        <f>$B$11</f>
        <v>Jul</v>
      </c>
      <c r="C35" s="310"/>
      <c r="D35" s="320">
        <f>D11+D17-D23-D29</f>
        <v>13.334999999999994</v>
      </c>
      <c r="E35" s="316"/>
      <c r="F35" s="317"/>
      <c r="G35" s="321"/>
      <c r="H35" s="320">
        <f>H11+H17-H23-H29</f>
        <v>23.234000000000005</v>
      </c>
      <c r="I35" s="316">
        <f>IF(D35&lt;0,"NM",(H35/D35-1)*100)</f>
        <v>74.233220847394193</v>
      </c>
      <c r="J35" s="317">
        <f>+J$11</f>
        <v>45.92903817360925</v>
      </c>
      <c r="K35" s="321"/>
      <c r="L35" s="320">
        <f>L11+L17-L23-L29</f>
        <v>45.957000000000008</v>
      </c>
      <c r="M35" s="316">
        <f>IF(H35&lt;0,"NM",(L35/H35-1)*100)</f>
        <v>97.800636997503659</v>
      </c>
      <c r="N35" s="317">
        <f>+N$11</f>
        <v>42.034979440233514</v>
      </c>
      <c r="O35" s="310"/>
      <c r="P35" s="320">
        <f>P11+P17-P23-P29</f>
        <v>60.286999999999992</v>
      </c>
      <c r="Q35" s="316">
        <f>IF(L35&lt;0,"NM",(P35/L35-1)*100)</f>
        <v>31.181321670256935</v>
      </c>
      <c r="R35" s="317">
        <f>+R$11</f>
        <v>17.020192404609659</v>
      </c>
      <c r="S35" s="310"/>
      <c r="T35" s="320">
        <f>T11+T17-T23-T29</f>
        <v>101.53600000000002</v>
      </c>
      <c r="U35" s="316">
        <f>IF(P35&lt;0,"NM",(T35/P35-1)*100)</f>
        <v>68.421052631579002</v>
      </c>
      <c r="V35" s="317">
        <f>+V$11</f>
        <v>39.915875909789108</v>
      </c>
      <c r="W35" s="310"/>
      <c r="X35" s="320">
        <f>X11+X17-X23-X29</f>
        <v>71.753000000000029</v>
      </c>
      <c r="Y35" s="316">
        <f>IF(T35&lt;0,"NM",(X35/T35-1)*100)</f>
        <v>-29.332453514024571</v>
      </c>
      <c r="Z35" s="317">
        <f>+Z$11</f>
        <v>9.1685135024214048</v>
      </c>
      <c r="AA35" s="310"/>
      <c r="AB35" s="320">
        <f>AB11+AB17-AB23-AB29</f>
        <v>84.141999999999996</v>
      </c>
      <c r="AC35" s="316">
        <f>IF(X35&lt;0,"NM",(AB35/X35-1)*100)</f>
        <v>17.266177023957141</v>
      </c>
      <c r="AD35" s="317">
        <f>+AD$11</f>
        <v>5.5936716791979979</v>
      </c>
      <c r="AE35" s="310"/>
      <c r="AF35" s="320">
        <f>AF11+AF17-AF23-AF29</f>
        <v>73.894999999999968</v>
      </c>
      <c r="AG35" s="316">
        <f>IF(AB35&lt;0,"NM",(AF35/AB35-1)*100)</f>
        <v>-12.178222528582673</v>
      </c>
      <c r="AH35" s="317">
        <f>+AH$11</f>
        <v>17.310824642862443</v>
      </c>
      <c r="AI35" s="310"/>
      <c r="AJ35" s="320">
        <f>AJ11+AJ17-AJ23-AJ29</f>
        <v>115.79299999999998</v>
      </c>
      <c r="AK35" s="316">
        <f>IF(AF35&lt;0,"NM",(AJ35/AF35-1)*100)</f>
        <v>56.699370728736767</v>
      </c>
      <c r="AL35" s="317">
        <f>+AL$11</f>
        <v>30.466714887633373</v>
      </c>
      <c r="AM35" s="310"/>
      <c r="AN35" s="320">
        <f>AN11+AN17-AN23-AN29</f>
        <v>12.978999999999985</v>
      </c>
      <c r="AO35" s="316">
        <f>(AN35/AJ35-1)*100</f>
        <v>-88.791204995120609</v>
      </c>
      <c r="AP35" s="317">
        <f>+AP$11</f>
        <v>16.759713725216518</v>
      </c>
      <c r="AQ35" s="310"/>
      <c r="AR35" s="320">
        <f>AR11+AR17-AR23-AR29</f>
        <v>143.32699999999994</v>
      </c>
      <c r="AS35" s="630" t="s">
        <v>69</v>
      </c>
      <c r="AT35" s="317">
        <f>+AT$11</f>
        <v>16.745582956737692</v>
      </c>
      <c r="AU35" s="310"/>
      <c r="AV35" s="320">
        <f>AV11+AV17-AV23-AV29</f>
        <v>168.29300000000001</v>
      </c>
      <c r="AW35" s="630" t="s">
        <v>69</v>
      </c>
      <c r="AX35" s="317">
        <f>+AX$11</f>
        <v>-2.0441161622266391</v>
      </c>
      <c r="AY35" s="310"/>
      <c r="AZ35" s="320">
        <f>AZ11+AZ17-AZ23-AZ29</f>
        <v>179.57299999999995</v>
      </c>
      <c r="BA35" s="630" t="s">
        <v>69</v>
      </c>
      <c r="BB35" s="317">
        <f>+BB$11</f>
        <v>-6.0998961985438864</v>
      </c>
      <c r="BC35" s="310"/>
      <c r="BD35" s="320">
        <f>BD11+BD17-BD23-BD29</f>
        <v>200.26200000000009</v>
      </c>
      <c r="BE35" s="323">
        <f>IF(AZ35&lt;0,"NM",(BD35/AZ35-1)*100)</f>
        <v>11.521219782484081</v>
      </c>
      <c r="BF35" s="317">
        <f>+BF$11</f>
        <v>0.30040290786303991</v>
      </c>
      <c r="BG35" s="310"/>
      <c r="BH35" s="320">
        <f>BH11+BH17-BH23-BH29</f>
        <v>265.69299999999998</v>
      </c>
      <c r="BI35" s="323">
        <f>IF(BD35&lt;0,"NM",(BH35/BD35-1)*100)</f>
        <v>32.672698764618289</v>
      </c>
      <c r="BJ35" s="317">
        <f>+BJ$11</f>
        <v>3.1413152552405288</v>
      </c>
      <c r="BK35" s="310"/>
      <c r="BL35" s="320">
        <f>BL11+BL17-BL23-BL29</f>
        <v>314.24699999999996</v>
      </c>
      <c r="BM35" s="323">
        <f>IF(BH35&lt;0,"NM",(BL35/BH35-1)*100)</f>
        <v>18.274474675659501</v>
      </c>
      <c r="BN35" s="317">
        <f>+BN$11</f>
        <v>10.545193687230991</v>
      </c>
      <c r="BP35" s="320">
        <f>BP11+BP17-BP23-BP29</f>
        <v>268.16499999999996</v>
      </c>
      <c r="BQ35" s="323">
        <f>IF(BL35&lt;0,"NM",(BP35/BL35-1)*100)</f>
        <v>-14.664260915776438</v>
      </c>
      <c r="BR35" s="317">
        <f>$BR11</f>
        <v>-1.6719392169586844</v>
      </c>
      <c r="BT35" s="320">
        <f>BT11+BT17-BT23-BT29</f>
        <v>208.82299999999992</v>
      </c>
      <c r="BU35" s="323">
        <f>IF(BP35&lt;0,"NM",(BT35/BP35-1)*100)</f>
        <v>-22.128913169130961</v>
      </c>
      <c r="BV35" s="317">
        <f>BV11</f>
        <v>-2.298597715151518</v>
      </c>
      <c r="BW35" s="317"/>
      <c r="BX35" s="320">
        <f>BX11+BX17-BX23-BX29</f>
        <v>138.56100000000006</v>
      </c>
      <c r="BY35" s="323">
        <f>IF(BT35&lt;0,"NM",(BX35/BT35-1)*100)</f>
        <v>-33.646676850729982</v>
      </c>
      <c r="BZ35" s="317">
        <f>BZ11</f>
        <v>12.219759497322658</v>
      </c>
      <c r="CB35" s="320">
        <f>CB11+CB17-CB23-CB29</f>
        <v>166.81500000000011</v>
      </c>
      <c r="CC35" s="323">
        <f>IF(BX35&lt;0,"NM",(CB35/BX35-1)*100)</f>
        <v>20.391019117933638</v>
      </c>
      <c r="CD35" s="317">
        <f>CD11</f>
        <v>3.1558962063032769</v>
      </c>
      <c r="CF35" s="320">
        <f>CF11+CF17-CF23-CF29</f>
        <v>234.45399999999995</v>
      </c>
      <c r="CG35" s="323">
        <f>IF(CB35&lt;0,"NM",(CF35/CB35-1)*100)</f>
        <v>40.547312891526424</v>
      </c>
      <c r="CH35" s="317">
        <f>CH11</f>
        <v>2.6699684169833482</v>
      </c>
    </row>
    <row r="36" spans="1:86" ht="12.75">
      <c r="A36" s="310" t="str">
        <f>$A$12</f>
        <v>3Q</v>
      </c>
      <c r="B36" s="310" t="str">
        <f>$B$12</f>
        <v>Oct</v>
      </c>
      <c r="C36" s="310"/>
      <c r="D36" s="320">
        <f>D12+D18-D24-D30</f>
        <v>-1.7980000000000018</v>
      </c>
      <c r="E36" s="316"/>
      <c r="F36" s="317"/>
      <c r="G36" s="321"/>
      <c r="H36" s="320">
        <f>H12+H18-H24-H30</f>
        <v>23.496000000000009</v>
      </c>
      <c r="I36" s="323" t="str">
        <f>IF(D36&lt;0,"NM",(H36/D36-1)*100)</f>
        <v>NM</v>
      </c>
      <c r="J36" s="317">
        <f>+J$12</f>
        <v>42.10215248517666</v>
      </c>
      <c r="K36" s="321"/>
      <c r="L36" s="320">
        <f>L12+L18-L24-L30</f>
        <v>21.201000000000008</v>
      </c>
      <c r="M36" s="316">
        <f>IF(H36&lt;0,"NM",(L36/H36-1)*100)</f>
        <v>-9.767620020429014</v>
      </c>
      <c r="N36" s="317">
        <f>+N$12</f>
        <v>49.390211178790878</v>
      </c>
      <c r="O36" s="310"/>
      <c r="P36" s="320">
        <f>P12+P18-P24-P30</f>
        <v>42.185000000000002</v>
      </c>
      <c r="Q36" s="316">
        <f>IF(L36&lt;0,"NM",(P36/L36-1)*100)</f>
        <v>98.976463374369075</v>
      </c>
      <c r="R36" s="317">
        <f>+R$12</f>
        <v>26.976151024055529</v>
      </c>
      <c r="S36" s="310"/>
      <c r="T36" s="320">
        <f>T12+T18-T24-T30</f>
        <v>103.33100000000002</v>
      </c>
      <c r="U36" s="316">
        <f>IF(P36&lt;0,"NM",(T36/P36-1)*100)</f>
        <v>144.94725613369687</v>
      </c>
      <c r="V36" s="317">
        <f>+V$12</f>
        <v>28.607298588590613</v>
      </c>
      <c r="W36" s="310"/>
      <c r="X36" s="320">
        <f>X12+X18-X24-X30</f>
        <v>84.124999999999972</v>
      </c>
      <c r="Y36" s="316">
        <f>IF(T36&lt;0,"NM",(X36/T36-1)*100)</f>
        <v>-18.586871316449127</v>
      </c>
      <c r="Z36" s="317">
        <f>+Z$12</f>
        <v>2.9794395298892828</v>
      </c>
      <c r="AA36" s="310"/>
      <c r="AB36" s="320">
        <f>AB12+AB18-AB24-AB30</f>
        <v>88.820999999999998</v>
      </c>
      <c r="AC36" s="316">
        <f>IF(X36&lt;0,"NM",(AB36/X36-1)*100)</f>
        <v>5.5821693907875503</v>
      </c>
      <c r="AD36" s="317">
        <f>+AD$12</f>
        <v>-0.18531672069512783</v>
      </c>
      <c r="AE36" s="310"/>
      <c r="AF36" s="320">
        <f>AF12+AF18-AF24-AF30</f>
        <v>77.578000000000031</v>
      </c>
      <c r="AG36" s="316">
        <f>IF(AB36&lt;0,"NM",(AF36/AB36-1)*100)</f>
        <v>-12.658042580020457</v>
      </c>
      <c r="AH36" s="317">
        <f>+AH$12</f>
        <v>28.299892990904208</v>
      </c>
      <c r="AI36" s="310"/>
      <c r="AJ36" s="320">
        <f>AJ12+AJ18-AJ24-AJ30</f>
        <v>93.740000000000009</v>
      </c>
      <c r="AK36" s="316">
        <f>IF(AF36&lt;0,"NM",(AJ36/AF36-1)*100)</f>
        <v>20.833225914563378</v>
      </c>
      <c r="AL36" s="317">
        <f>+AL$12</f>
        <v>21.051951166112381</v>
      </c>
      <c r="AM36" s="310"/>
      <c r="AN36" s="320">
        <f>AN12+AN18-AN24-AN30</f>
        <v>55.869000000000028</v>
      </c>
      <c r="AO36" s="316">
        <f>(AN36/AJ36-1)*100</f>
        <v>-40.400042671218237</v>
      </c>
      <c r="AP36" s="317">
        <f>+AP$12</f>
        <v>19.936887108192771</v>
      </c>
      <c r="AQ36" s="310"/>
      <c r="AR36" s="320">
        <f>AR12+AR18-AR24-AR30</f>
        <v>111.96199999999999</v>
      </c>
      <c r="AS36" s="316">
        <f>(AR36/AN36-1)*100</f>
        <v>100.40093790832114</v>
      </c>
      <c r="AT36" s="317">
        <f>+AT$12</f>
        <v>6.9156529606916761</v>
      </c>
      <c r="AU36" s="310"/>
      <c r="AV36" s="320">
        <f>AV12+AV18-AV24-AV30</f>
        <v>216.03499999999997</v>
      </c>
      <c r="AW36" s="316">
        <f>(AV36/AR36-1)*100</f>
        <v>92.95385934513493</v>
      </c>
      <c r="AX36" s="317">
        <f>+AX$12</f>
        <v>1.2886144405951816</v>
      </c>
      <c r="AY36" s="310"/>
      <c r="AZ36" s="320">
        <f>AZ12+AZ18-AZ24-AZ30</f>
        <v>207.55199999999996</v>
      </c>
      <c r="BA36" s="316">
        <f>(AZ36/AV36-1)*100</f>
        <v>-3.9266785474575849</v>
      </c>
      <c r="BB36" s="317">
        <f>+BB$12</f>
        <v>-2.3904694205581722</v>
      </c>
      <c r="BC36" s="310"/>
      <c r="BD36" s="320">
        <f>BD12+BD18-BD24-BD30</f>
        <v>185.95999999999992</v>
      </c>
      <c r="BE36" s="316">
        <f>(BD36/AZ36-1)*100</f>
        <v>-10.403176071538722</v>
      </c>
      <c r="BF36" s="317">
        <f>+$BF$12</f>
        <v>1.2007972706929548</v>
      </c>
      <c r="BG36" s="310"/>
      <c r="BH36" s="320">
        <f>BH12+BH18-BH24-BH30</f>
        <v>328.00199999999995</v>
      </c>
      <c r="BI36" s="316">
        <f>(BH36/BD36-1)*100</f>
        <v>76.383093138309349</v>
      </c>
      <c r="BJ36" s="317">
        <f>+$BF$12</f>
        <v>1.2007972706929548</v>
      </c>
      <c r="BK36" s="310"/>
      <c r="BL36" s="320">
        <f>BL12+BL18-BL24-BL30</f>
        <v>273.07800000000009</v>
      </c>
      <c r="BM36" s="316">
        <f>(BL36/BH36-1)*100</f>
        <v>-16.745019847439913</v>
      </c>
      <c r="BN36" s="317">
        <f>+$BF$12</f>
        <v>1.2007972706929548</v>
      </c>
      <c r="BP36" s="320">
        <f>BP12+BP18-BP24-BP30</f>
        <v>266.33699999999999</v>
      </c>
      <c r="BQ36" s="323">
        <f>IF(BL36&lt;0,"NM",(BP36/BL36-1)*100)</f>
        <v>-2.468525476237593</v>
      </c>
      <c r="BR36" s="317">
        <f>$BR12</f>
        <v>-5.8293624378552238</v>
      </c>
      <c r="BT36" s="320">
        <f>BT12+BT18-BT24-BT30</f>
        <v>187.559</v>
      </c>
      <c r="BU36" s="323">
        <f>IF(BP36&lt;0,"NM",(BT36/BP36-1)*100)</f>
        <v>-29.578316193394084</v>
      </c>
      <c r="BV36" s="317">
        <f>BV12</f>
        <v>-0.35168347320965188</v>
      </c>
      <c r="BW36" s="317"/>
      <c r="BX36" s="320">
        <f>BX12+BX18-BX24-BX30</f>
        <v>128.52700000000004</v>
      </c>
      <c r="BY36" s="323">
        <f>IF(BT36&lt;0,"NM",(BX36/BT36-1)*100)</f>
        <v>-31.47382956829582</v>
      </c>
      <c r="BZ36" s="317">
        <f>BZ12</f>
        <v>7.5831392150206733</v>
      </c>
      <c r="CB36" s="320">
        <f>CB12+CB18-CB24-CB30</f>
        <v>165.50400000000005</v>
      </c>
      <c r="CC36" s="323">
        <f>IF(BX36&lt;0,"NM",(CB36/BX36-1)*100)</f>
        <v>28.769830463637991</v>
      </c>
      <c r="CD36" s="317">
        <f>CD12</f>
        <v>2.343341979736091</v>
      </c>
      <c r="CF36" s="320">
        <f>CF12+CF18-CF24-CF30</f>
        <v>200.54599999999996</v>
      </c>
      <c r="CG36" s="323">
        <f>IF(CB36&lt;0,"NM",(CF36/CB36-1)*100)</f>
        <v>21.172902165506514</v>
      </c>
      <c r="CH36" s="317">
        <f>CH12</f>
        <v>2.1075707334290872</v>
      </c>
    </row>
    <row r="37" spans="1:86" ht="12.75">
      <c r="A37" s="310" t="str">
        <f>$A$13</f>
        <v>4Q</v>
      </c>
      <c r="B37" s="310" t="str">
        <f>$B$13</f>
        <v>Jan</v>
      </c>
      <c r="C37" s="310"/>
      <c r="D37" s="320">
        <f>D13+D19-D25-D31</f>
        <v>12.207999999999991</v>
      </c>
      <c r="E37" s="316"/>
      <c r="F37" s="317"/>
      <c r="G37" s="321"/>
      <c r="H37" s="320">
        <f>H13+H19-H25-H31</f>
        <v>9.453000000000003</v>
      </c>
      <c r="I37" s="316">
        <f>IF(D37&lt;0,"NM",(H37/D37-1)*100)</f>
        <v>-22.567169069462565</v>
      </c>
      <c r="J37" s="317">
        <f>+J$13</f>
        <v>38.651268705270027</v>
      </c>
      <c r="K37" s="321"/>
      <c r="L37" s="320">
        <f>L13+L19-L25-L31</f>
        <v>5.6449999999999889</v>
      </c>
      <c r="M37" s="316">
        <f>IF(H37&lt;0,"NM",(L37/H37-1)*100)</f>
        <v>-40.283507881096078</v>
      </c>
      <c r="N37" s="317">
        <f>+N$13</f>
        <v>33.935065483536441</v>
      </c>
      <c r="O37" s="310"/>
      <c r="P37" s="320">
        <f>P13+P19-P25-P31</f>
        <v>12.440999999999974</v>
      </c>
      <c r="Q37" s="316">
        <f>IF(L37&lt;0,"NM",(P37/L37-1)*100)</f>
        <v>120.38972542072628</v>
      </c>
      <c r="R37" s="317">
        <f>+R$13</f>
        <v>48.457212928089689</v>
      </c>
      <c r="S37" s="310"/>
      <c r="T37" s="320">
        <f>T13+T19-T25-T31</f>
        <v>6.6489999999999867</v>
      </c>
      <c r="U37" s="316">
        <f>IF(P37&lt;0,"NM",(T37/P37-1)*100)</f>
        <v>-46.555743107467237</v>
      </c>
      <c r="V37" s="317">
        <f>+V$13</f>
        <v>9.5734588208640439</v>
      </c>
      <c r="W37" s="310"/>
      <c r="X37" s="320">
        <f>X13+X19-X25-X31</f>
        <v>55.435999999999979</v>
      </c>
      <c r="Y37" s="316">
        <f>IF(T37&lt;0,"NM",(X37/T37-1)*100)</f>
        <v>733.74943600541565</v>
      </c>
      <c r="Z37" s="317">
        <f>+Z$13</f>
        <v>5.8699116950247543</v>
      </c>
      <c r="AA37" s="310"/>
      <c r="AB37" s="320">
        <f>AB13+AB19-AB25-AB31</f>
        <v>3.6079999999999757</v>
      </c>
      <c r="AC37" s="316">
        <f>IF(X37&lt;0,"NM",(AB37/X37-1)*100)</f>
        <v>-93.491593910094565</v>
      </c>
      <c r="AD37" s="317">
        <f>+AD$13</f>
        <v>-0.19814710082717291</v>
      </c>
      <c r="AE37" s="310"/>
      <c r="AF37" s="320">
        <f>AF13+AF19-AF25-AF31</f>
        <v>-3.0279999999999916</v>
      </c>
      <c r="AG37" s="316">
        <f>IF(AB37&lt;0,"NM",(AF37/AB37-1)*100)</f>
        <v>-183.92461197339279</v>
      </c>
      <c r="AH37" s="317">
        <f>+AH$12</f>
        <v>28.299892990904208</v>
      </c>
      <c r="AI37" s="310"/>
      <c r="AJ37" s="320">
        <f>AJ13+AJ19-AJ25-AJ31</f>
        <v>-38.356999999999971</v>
      </c>
      <c r="AK37" s="316" t="str">
        <f>IF(AF37&lt;0,"NM",(AJ37/AF37-1)*100)</f>
        <v>NM</v>
      </c>
      <c r="AL37" s="317">
        <f>+AL$12</f>
        <v>21.051951166112381</v>
      </c>
      <c r="AM37" s="310"/>
      <c r="AN37" s="320">
        <f>AN13+AN19-AN25-AN31</f>
        <v>-89.323000000000008</v>
      </c>
      <c r="AO37" s="316">
        <f>(AN37/AJ37-1)*100</f>
        <v>132.87274812941595</v>
      </c>
      <c r="AP37" s="317">
        <f>+AP$13</f>
        <v>26.563901855487781</v>
      </c>
      <c r="AQ37" s="310"/>
      <c r="AR37" s="320">
        <f>AR13+AR19-AR25-AR31</f>
        <v>24.716999999999985</v>
      </c>
      <c r="AS37" s="316">
        <f>(AR37/AN37-1)*100</f>
        <v>-127.67148438811951</v>
      </c>
      <c r="AT37" s="317">
        <f>+AT$13</f>
        <v>2.2638989484931038</v>
      </c>
      <c r="AU37" s="310"/>
      <c r="AV37" s="320">
        <f>AV13+AV19-AV25-AV31</f>
        <v>114.74299999999999</v>
      </c>
      <c r="AW37" s="316">
        <f>(AV37/AR37-1)*100</f>
        <v>364.22705020835889</v>
      </c>
      <c r="AX37" s="317">
        <f>+AX$13</f>
        <v>-9.0102380849526931</v>
      </c>
      <c r="AY37" s="310"/>
      <c r="AZ37" s="320">
        <f>AZ13+AZ19-AZ25-AZ31</f>
        <v>89.439999999999969</v>
      </c>
      <c r="BA37" s="316">
        <f>(AZ37/AV37-1)*100</f>
        <v>-22.051889875635133</v>
      </c>
      <c r="BB37" s="317">
        <f>+BB$13</f>
        <v>5.5280204656442011</v>
      </c>
      <c r="BC37" s="310"/>
      <c r="BD37" s="320">
        <f>BD13+BD19-BD25-BD31</f>
        <v>51.877999999999986</v>
      </c>
      <c r="BE37" s="316">
        <f>(BD37/AZ37-1)*100</f>
        <v>-41.9968694096601</v>
      </c>
      <c r="BF37" s="317">
        <f>+$BF$13</f>
        <v>-5.1473088500399111</v>
      </c>
      <c r="BG37" s="310"/>
      <c r="BH37" s="320">
        <f>BH13+BH19-BH25-BH31</f>
        <v>208.06800000000001</v>
      </c>
      <c r="BI37" s="316">
        <f>(BH37/BD37-1)*100</f>
        <v>301.07174524846766</v>
      </c>
      <c r="BJ37" s="317">
        <f>+$BF$12</f>
        <v>1.2007972706929548</v>
      </c>
      <c r="BK37" s="310"/>
      <c r="BL37" s="320">
        <f>BL13+BL19-BL25-BL31</f>
        <v>161.37299999999996</v>
      </c>
      <c r="BM37" s="316">
        <f>(BL37/BH37-1)*100</f>
        <v>-22.442182363458119</v>
      </c>
      <c r="BN37" s="317">
        <f>+$BF$12</f>
        <v>1.2007972706929548</v>
      </c>
      <c r="BP37" s="320">
        <f>BP13+BP19-BP25-BP31</f>
        <v>185.47699999999998</v>
      </c>
      <c r="BQ37" s="323">
        <f>IF(BL37&lt;0,"NM",(BP37/BL37-1)*100)</f>
        <v>14.936823384333199</v>
      </c>
      <c r="BR37" s="317">
        <f>$BR13</f>
        <v>-6.7450693924102083</v>
      </c>
      <c r="BT37" s="320">
        <f>BT13+BT19-BT25-BT31</f>
        <v>126.90100000000001</v>
      </c>
      <c r="BU37" s="323">
        <f>IF(BP37&lt;0,"NM",(BT37/BP37-1)*100)</f>
        <v>-31.581274228071386</v>
      </c>
      <c r="BV37" s="317">
        <f>BV13</f>
        <v>2.8939039480391227</v>
      </c>
      <c r="BW37" s="317"/>
      <c r="BX37" s="320">
        <f>BX13+BX19-BX25-BX31</f>
        <v>101.512</v>
      </c>
      <c r="BY37" s="323">
        <f>IF(BT37&lt;0,"NM",(BX37/BT37-1)*100)</f>
        <v>-20.006934539522948</v>
      </c>
      <c r="BZ37" s="317">
        <f>BZ13</f>
        <v>3.1697443586014007</v>
      </c>
      <c r="CB37" s="320">
        <f>CB13+CB19-CB25-CB31</f>
        <v>131.38899999999998</v>
      </c>
      <c r="CC37" s="323">
        <f>IF(BX37&lt;0,"NM",(CB37/BX37-1)*100)</f>
        <v>29.431988336354298</v>
      </c>
      <c r="CD37" s="317">
        <f>CD13</f>
        <v>-0.77607005791134887</v>
      </c>
      <c r="CF37" s="320">
        <f>CF13+CF19-CF25-CF31</f>
        <v>167.79700000000005</v>
      </c>
      <c r="CG37" s="323">
        <f>IF(CB37&lt;0,"NM",(CF37/CB37-1)*100)</f>
        <v>27.710082274771921</v>
      </c>
      <c r="CH37" s="317">
        <f>CH13</f>
        <v>11.982454253649589</v>
      </c>
    </row>
    <row r="38" spans="1:86" ht="12.75">
      <c r="A38" s="310"/>
      <c r="B38" s="310"/>
      <c r="C38" s="310"/>
      <c r="D38" s="310"/>
      <c r="E38" s="310"/>
      <c r="F38" s="310"/>
      <c r="G38" s="310"/>
      <c r="H38" s="310"/>
      <c r="I38" s="310"/>
      <c r="J38" s="310"/>
      <c r="K38" s="310"/>
      <c r="L38" s="310"/>
      <c r="M38" s="310"/>
      <c r="N38" s="310"/>
      <c r="O38" s="310"/>
      <c r="P38" s="310"/>
      <c r="Q38" s="310"/>
      <c r="R38" s="310"/>
      <c r="S38" s="310"/>
      <c r="T38" s="310"/>
      <c r="U38" s="310"/>
      <c r="V38" s="310"/>
      <c r="W38" s="310"/>
      <c r="X38" s="310"/>
      <c r="Y38" s="310"/>
      <c r="Z38" s="310"/>
      <c r="AA38" s="310"/>
      <c r="AB38" s="310"/>
      <c r="AC38" s="310"/>
      <c r="AD38" s="310"/>
      <c r="AE38" s="310"/>
      <c r="AF38" s="310"/>
      <c r="AG38" s="310"/>
      <c r="AH38" s="310"/>
      <c r="AI38" s="310"/>
      <c r="AJ38" s="310"/>
      <c r="AK38" s="310"/>
      <c r="AL38" s="310"/>
      <c r="AM38" s="310"/>
      <c r="AN38" s="310"/>
      <c r="AO38" s="310"/>
      <c r="AP38" s="310"/>
      <c r="AQ38" s="310"/>
      <c r="AR38" s="310"/>
      <c r="AS38" s="310"/>
      <c r="AT38" s="310"/>
      <c r="AU38" s="310"/>
      <c r="AV38" s="310"/>
      <c r="AW38" s="310"/>
      <c r="AX38" s="310"/>
      <c r="AY38" s="310"/>
      <c r="AZ38" s="310"/>
      <c r="BA38" s="310"/>
      <c r="BB38" s="310"/>
      <c r="BC38" s="310"/>
      <c r="BD38" s="310"/>
      <c r="BE38" s="310"/>
      <c r="BF38" s="310"/>
      <c r="BG38" s="310"/>
      <c r="BH38" s="310"/>
      <c r="BI38" s="310"/>
      <c r="BJ38" s="310"/>
      <c r="BK38" s="310"/>
      <c r="BL38" s="310"/>
      <c r="BM38" s="310"/>
      <c r="BN38" s="310"/>
    </row>
    <row r="39" spans="1:86" ht="12.75">
      <c r="A39" s="676" t="s">
        <v>577</v>
      </c>
      <c r="B39" s="676"/>
      <c r="C39" s="677"/>
      <c r="D39" s="676"/>
      <c r="E39" s="677"/>
      <c r="F39" s="677"/>
      <c r="G39" s="677"/>
      <c r="H39" s="677"/>
      <c r="I39" s="677"/>
      <c r="J39" s="677"/>
      <c r="K39" s="677"/>
      <c r="L39" s="677"/>
      <c r="M39" s="677"/>
      <c r="N39" s="677"/>
      <c r="O39" s="677"/>
      <c r="P39" s="677"/>
      <c r="Q39" s="677"/>
      <c r="R39" s="677"/>
      <c r="S39" s="677"/>
      <c r="T39" s="677"/>
      <c r="U39" s="677"/>
      <c r="V39" s="677"/>
      <c r="W39" s="677"/>
      <c r="X39" s="677"/>
      <c r="Y39" s="677"/>
      <c r="Z39" s="677"/>
      <c r="AA39" s="677"/>
      <c r="AB39" s="677"/>
      <c r="AC39" s="677"/>
      <c r="AD39" s="677"/>
      <c r="AE39" s="677"/>
      <c r="AF39" s="677"/>
      <c r="AG39" s="677"/>
      <c r="AH39" s="677"/>
      <c r="AI39" s="677"/>
      <c r="AJ39" s="677"/>
      <c r="AK39" s="677"/>
      <c r="AL39" s="677"/>
      <c r="AM39" s="677"/>
      <c r="AN39" s="677"/>
      <c r="AO39" s="677"/>
      <c r="AP39" s="677"/>
      <c r="AQ39" s="677"/>
      <c r="AR39" s="677"/>
      <c r="AS39" s="677"/>
      <c r="AT39" s="677"/>
      <c r="AU39" s="677"/>
      <c r="AV39" s="677"/>
      <c r="AW39" s="677"/>
      <c r="AX39" s="677"/>
      <c r="AY39" s="677"/>
      <c r="AZ39" s="677"/>
      <c r="BA39" s="677"/>
      <c r="BB39" s="677"/>
      <c r="BC39" s="677"/>
      <c r="BD39" s="677"/>
      <c r="BE39" s="677"/>
      <c r="BF39" s="677"/>
      <c r="BG39" s="677"/>
      <c r="BH39" s="677"/>
      <c r="BI39" s="677"/>
      <c r="BJ39" s="677"/>
      <c r="BK39" s="677"/>
      <c r="BL39" s="677"/>
      <c r="BM39" s="677"/>
      <c r="BN39" s="677"/>
    </row>
    <row r="40" spans="1:86" ht="12.75">
      <c r="A40" s="310" t="str">
        <f>$A$10</f>
        <v>1Q</v>
      </c>
      <c r="B40" s="310" t="str">
        <f>$B$10</f>
        <v>Apr</v>
      </c>
      <c r="C40" s="310"/>
      <c r="D40" s="322"/>
      <c r="E40" s="316"/>
      <c r="F40" s="317"/>
      <c r="G40" s="321"/>
      <c r="H40" s="322">
        <f>H34-D34</f>
        <v>-2.8810000000000038</v>
      </c>
      <c r="I40" s="316"/>
      <c r="J40" s="317"/>
      <c r="K40" s="321"/>
      <c r="L40" s="322">
        <f>L34-H34</f>
        <v>23.982000000000017</v>
      </c>
      <c r="M40" s="316"/>
      <c r="N40" s="317"/>
      <c r="O40" s="310"/>
      <c r="P40" s="322">
        <f>P34-L34</f>
        <v>23.202999999999996</v>
      </c>
      <c r="Q40" s="316"/>
      <c r="R40" s="317"/>
      <c r="S40" s="310"/>
      <c r="T40" s="322">
        <f>T34-P34</f>
        <v>-1.6180000000000305</v>
      </c>
      <c r="U40" s="316"/>
      <c r="V40" s="317"/>
      <c r="W40" s="310"/>
      <c r="X40" s="322">
        <f>X34-T34</f>
        <v>0.74300000000003763</v>
      </c>
      <c r="Y40" s="316"/>
      <c r="Z40" s="317"/>
      <c r="AA40" s="310"/>
      <c r="AB40" s="322">
        <f>AB34-X34</f>
        <v>18.544999999999987</v>
      </c>
      <c r="AC40" s="316"/>
      <c r="AD40" s="317"/>
      <c r="AE40" s="310"/>
      <c r="AF40" s="322">
        <f>AF34-AB34</f>
        <v>-38.826999999999998</v>
      </c>
      <c r="AG40" s="316"/>
      <c r="AH40" s="317"/>
      <c r="AI40" s="310"/>
      <c r="AJ40" s="322">
        <f>AJ34-AF34</f>
        <v>68.198000000000022</v>
      </c>
      <c r="AK40" s="316"/>
      <c r="AL40" s="317"/>
      <c r="AM40" s="310"/>
      <c r="AN40" s="322">
        <f>AN34-AJ34</f>
        <v>-80.117000000000047</v>
      </c>
      <c r="AO40" s="316"/>
      <c r="AP40" s="317"/>
      <c r="AQ40" s="310"/>
      <c r="AR40" s="322">
        <f>AR34-AN34</f>
        <v>94.135000000000105</v>
      </c>
      <c r="AS40" s="316"/>
      <c r="AT40" s="317"/>
      <c r="AU40" s="310"/>
      <c r="AV40" s="322">
        <f>AV34-AR34</f>
        <v>45.614999999999895</v>
      </c>
      <c r="AW40" s="316"/>
      <c r="AX40" s="317"/>
      <c r="AY40" s="310"/>
      <c r="AZ40" s="322">
        <f>AZ34-AV34</f>
        <v>-8.5139999999999247</v>
      </c>
      <c r="BA40" s="316"/>
      <c r="BB40" s="317"/>
      <c r="BC40" s="310"/>
      <c r="BD40" s="322">
        <f>BD34-AZ34</f>
        <v>-3.7500000000000853</v>
      </c>
      <c r="BE40" s="316"/>
      <c r="BF40" s="317"/>
      <c r="BG40" s="310"/>
      <c r="BH40" s="322">
        <f>BH34-BD34</f>
        <v>24.066000000000088</v>
      </c>
      <c r="BI40" s="316"/>
      <c r="BJ40" s="317"/>
      <c r="BK40" s="310"/>
      <c r="BL40" s="322">
        <f>BL34-BH34</f>
        <v>117.42199999999997</v>
      </c>
      <c r="BM40" s="316"/>
      <c r="BN40" s="317"/>
      <c r="BP40" s="322">
        <f>BP34-BL34</f>
        <v>-27.1280000000001</v>
      </c>
      <c r="BT40" s="322">
        <f>BT34-BP34</f>
        <v>-39.556999999999846</v>
      </c>
      <c r="BX40" s="322">
        <f>BX34-BT34</f>
        <v>-79.257000000000119</v>
      </c>
      <c r="CB40" s="322">
        <f>CB34-BX34</f>
        <v>23.134000000000015</v>
      </c>
      <c r="CF40" s="322">
        <f>CF34-CB34</f>
        <v>39.626200000000068</v>
      </c>
    </row>
    <row r="41" spans="1:86" ht="12.75">
      <c r="A41" s="310" t="str">
        <f>$A$11</f>
        <v>2Q</v>
      </c>
      <c r="B41" s="310" t="str">
        <f>$B$11</f>
        <v>Jul</v>
      </c>
      <c r="C41" s="310"/>
      <c r="D41" s="320"/>
      <c r="E41" s="320"/>
      <c r="F41" s="320"/>
      <c r="G41" s="320"/>
      <c r="H41" s="320">
        <f>H35-D35</f>
        <v>9.8990000000000116</v>
      </c>
      <c r="I41" s="320"/>
      <c r="J41" s="320"/>
      <c r="K41" s="320"/>
      <c r="L41" s="320">
        <f>L35-H35</f>
        <v>22.723000000000003</v>
      </c>
      <c r="M41" s="321"/>
      <c r="N41" s="321"/>
      <c r="O41" s="310"/>
      <c r="P41" s="320">
        <f>P35-L35</f>
        <v>14.329999999999984</v>
      </c>
      <c r="Q41" s="321"/>
      <c r="R41" s="321"/>
      <c r="S41" s="310"/>
      <c r="T41" s="320">
        <f>T35-P35</f>
        <v>41.249000000000024</v>
      </c>
      <c r="U41" s="321"/>
      <c r="V41" s="321"/>
      <c r="W41" s="310"/>
      <c r="X41" s="320">
        <f>X35-T35</f>
        <v>-29.782999999999987</v>
      </c>
      <c r="Y41" s="321"/>
      <c r="Z41" s="321"/>
      <c r="AA41" s="310"/>
      <c r="AB41" s="320">
        <f>AB35-X35</f>
        <v>12.388999999999967</v>
      </c>
      <c r="AC41" s="321"/>
      <c r="AD41" s="321"/>
      <c r="AE41" s="310"/>
      <c r="AF41" s="320">
        <f>AF35-AB35</f>
        <v>-10.247000000000028</v>
      </c>
      <c r="AG41" s="321"/>
      <c r="AH41" s="321"/>
      <c r="AI41" s="310"/>
      <c r="AJ41" s="320">
        <f>AJ35-AF35</f>
        <v>41.89800000000001</v>
      </c>
      <c r="AK41" s="321"/>
      <c r="AL41" s="321"/>
      <c r="AM41" s="310"/>
      <c r="AN41" s="320">
        <f>AN35-AJ35</f>
        <v>-102.81399999999999</v>
      </c>
      <c r="AO41" s="316"/>
      <c r="AP41" s="317"/>
      <c r="AQ41" s="310"/>
      <c r="AR41" s="320">
        <f>AR35-AN35</f>
        <v>130.34799999999996</v>
      </c>
      <c r="AS41" s="316"/>
      <c r="AT41" s="317"/>
      <c r="AU41" s="310"/>
      <c r="AV41" s="320">
        <f>AV35-AR35</f>
        <v>24.966000000000065</v>
      </c>
      <c r="AW41" s="316"/>
      <c r="AX41" s="317"/>
      <c r="AY41" s="310"/>
      <c r="AZ41" s="320">
        <f>AZ35-AV35</f>
        <v>11.279999999999944</v>
      </c>
      <c r="BA41" s="316"/>
      <c r="BB41" s="317"/>
      <c r="BC41" s="310"/>
      <c r="BD41" s="320">
        <f>BD35-AZ35</f>
        <v>20.689000000000135</v>
      </c>
      <c r="BE41" s="316"/>
      <c r="BF41" s="317"/>
      <c r="BG41" s="310"/>
      <c r="BH41" s="320">
        <f>BH35-BD35</f>
        <v>65.430999999999898</v>
      </c>
      <c r="BI41" s="316"/>
      <c r="BJ41" s="317"/>
      <c r="BK41" s="310"/>
      <c r="BL41" s="320">
        <f>BL35-BH35</f>
        <v>48.553999999999974</v>
      </c>
      <c r="BM41" s="316"/>
      <c r="BN41" s="317"/>
      <c r="BP41" s="320">
        <f>BP35-BL35</f>
        <v>-46.081999999999994</v>
      </c>
      <c r="BT41" s="322">
        <f>BT35-BP35</f>
        <v>-59.342000000000041</v>
      </c>
      <c r="BX41" s="322">
        <f>BX35-BT35</f>
        <v>-70.261999999999858</v>
      </c>
      <c r="CB41" s="320">
        <f>CB35-BX35</f>
        <v>28.254000000000048</v>
      </c>
      <c r="CF41" s="320">
        <f>CF35-CB35</f>
        <v>67.638999999999839</v>
      </c>
    </row>
    <row r="42" spans="1:86" ht="12.75">
      <c r="A42" s="310" t="str">
        <f>$A$12</f>
        <v>3Q</v>
      </c>
      <c r="B42" s="310" t="str">
        <f>$B$12</f>
        <v>Oct</v>
      </c>
      <c r="C42" s="310"/>
      <c r="D42" s="320"/>
      <c r="E42" s="320"/>
      <c r="F42" s="320"/>
      <c r="G42" s="320"/>
      <c r="H42" s="320">
        <f>H36-D36</f>
        <v>25.294000000000011</v>
      </c>
      <c r="I42" s="320"/>
      <c r="J42" s="320"/>
      <c r="K42" s="320"/>
      <c r="L42" s="320">
        <f>L36-H36</f>
        <v>-2.2950000000000017</v>
      </c>
      <c r="M42" s="321"/>
      <c r="N42" s="321"/>
      <c r="O42" s="310"/>
      <c r="P42" s="320">
        <f>P36-L36</f>
        <v>20.983999999999995</v>
      </c>
      <c r="Q42" s="321"/>
      <c r="R42" s="321"/>
      <c r="S42" s="310"/>
      <c r="T42" s="320">
        <f>T36-P36</f>
        <v>61.146000000000015</v>
      </c>
      <c r="U42" s="321"/>
      <c r="V42" s="321"/>
      <c r="W42" s="310"/>
      <c r="X42" s="320">
        <f>X36-T36</f>
        <v>-19.206000000000046</v>
      </c>
      <c r="Y42" s="321"/>
      <c r="Z42" s="321"/>
      <c r="AA42" s="310"/>
      <c r="AB42" s="320">
        <f>AB36-X36</f>
        <v>4.6960000000000264</v>
      </c>
      <c r="AC42" s="321"/>
      <c r="AD42" s="321"/>
      <c r="AE42" s="310"/>
      <c r="AF42" s="320">
        <f>AF36-AB36</f>
        <v>-11.242999999999967</v>
      </c>
      <c r="AG42" s="321"/>
      <c r="AH42" s="321"/>
      <c r="AI42" s="310"/>
      <c r="AJ42" s="320">
        <f>AJ36-AF36</f>
        <v>16.161999999999978</v>
      </c>
      <c r="AK42" s="321"/>
      <c r="AL42" s="321"/>
      <c r="AM42" s="310"/>
      <c r="AN42" s="320">
        <f>AN36-AJ36</f>
        <v>-37.870999999999981</v>
      </c>
      <c r="AO42" s="321"/>
      <c r="AP42" s="321"/>
      <c r="AQ42" s="310"/>
      <c r="AR42" s="320">
        <f>AR36-AN36</f>
        <v>56.092999999999961</v>
      </c>
      <c r="AS42" s="321"/>
      <c r="AT42" s="321"/>
      <c r="AU42" s="310"/>
      <c r="AV42" s="320">
        <f>AV36-AR36</f>
        <v>104.07299999999998</v>
      </c>
      <c r="AW42" s="321"/>
      <c r="AX42" s="321"/>
      <c r="AY42" s="310"/>
      <c r="AZ42" s="320">
        <f>AZ36-AV36</f>
        <v>-8.4830000000000041</v>
      </c>
      <c r="BA42" s="321"/>
      <c r="BB42" s="321"/>
      <c r="BC42" s="310"/>
      <c r="BD42" s="320">
        <f>BD36-AZ36</f>
        <v>-21.592000000000041</v>
      </c>
      <c r="BE42" s="321"/>
      <c r="BF42" s="321"/>
      <c r="BG42" s="310"/>
      <c r="BH42" s="320">
        <f>BH36-BD36</f>
        <v>142.04200000000003</v>
      </c>
      <c r="BI42" s="321"/>
      <c r="BJ42" s="321"/>
      <c r="BK42" s="310"/>
      <c r="BL42" s="320">
        <f>BL36-BH36</f>
        <v>-54.923999999999864</v>
      </c>
      <c r="BM42" s="321"/>
      <c r="BN42" s="321"/>
      <c r="BP42" s="320">
        <f>BP36-BL36</f>
        <v>-6.7410000000000991</v>
      </c>
      <c r="BT42" s="322">
        <f>BT36-BP36</f>
        <v>-78.777999999999992</v>
      </c>
      <c r="BX42" s="322">
        <f>BX36-BT36</f>
        <v>-59.031999999999954</v>
      </c>
      <c r="CB42" s="320">
        <f>CB36-BX36</f>
        <v>36.977000000000004</v>
      </c>
      <c r="CF42" s="320">
        <f>CF36-CB36</f>
        <v>35.041999999999916</v>
      </c>
    </row>
    <row r="43" spans="1:86" ht="12.75">
      <c r="A43" s="310" t="str">
        <f>$A$13</f>
        <v>4Q</v>
      </c>
      <c r="B43" s="310" t="str">
        <f>$B$13</f>
        <v>Jan</v>
      </c>
      <c r="C43" s="310"/>
      <c r="D43" s="320"/>
      <c r="E43" s="320"/>
      <c r="F43" s="320"/>
      <c r="G43" s="320"/>
      <c r="H43" s="320">
        <f>H37-D37</f>
        <v>-2.7549999999999883</v>
      </c>
      <c r="I43" s="320"/>
      <c r="J43" s="320"/>
      <c r="K43" s="320"/>
      <c r="L43" s="320">
        <f>L37-H37</f>
        <v>-3.808000000000014</v>
      </c>
      <c r="M43" s="321"/>
      <c r="N43" s="321"/>
      <c r="O43" s="310"/>
      <c r="P43" s="320">
        <f>P37-L37</f>
        <v>6.7959999999999852</v>
      </c>
      <c r="Q43" s="321"/>
      <c r="R43" s="321"/>
      <c r="S43" s="310"/>
      <c r="T43" s="320">
        <f>T37-P37</f>
        <v>-5.7919999999999874</v>
      </c>
      <c r="U43" s="321"/>
      <c r="V43" s="321"/>
      <c r="W43" s="310"/>
      <c r="X43" s="320">
        <f>X37-T37</f>
        <v>48.786999999999992</v>
      </c>
      <c r="Y43" s="321"/>
      <c r="Z43" s="321"/>
      <c r="AA43" s="310"/>
      <c r="AB43" s="320">
        <f>AB37-X37</f>
        <v>-51.828000000000003</v>
      </c>
      <c r="AC43" s="321"/>
      <c r="AD43" s="321"/>
      <c r="AE43" s="310"/>
      <c r="AF43" s="320">
        <f>AF37-AB37</f>
        <v>-6.6359999999999673</v>
      </c>
      <c r="AG43" s="321"/>
      <c r="AH43" s="321"/>
      <c r="AI43" s="310"/>
      <c r="AJ43" s="320"/>
      <c r="AK43" s="321"/>
      <c r="AL43" s="321"/>
      <c r="AM43" s="310"/>
      <c r="AN43" s="320">
        <f>AN37-AJ37</f>
        <v>-50.966000000000037</v>
      </c>
      <c r="AO43" s="321"/>
      <c r="AP43" s="321"/>
      <c r="AQ43" s="310"/>
      <c r="AR43" s="320">
        <f>AR37-AN37</f>
        <v>114.03999999999999</v>
      </c>
      <c r="AS43" s="321"/>
      <c r="AT43" s="321"/>
      <c r="AU43" s="310"/>
      <c r="AV43" s="320">
        <f>AV37-AR37</f>
        <v>90.02600000000001</v>
      </c>
      <c r="AW43" s="321"/>
      <c r="AX43" s="321"/>
      <c r="AY43" s="310"/>
      <c r="AZ43" s="320">
        <f>AZ37-AV37</f>
        <v>-25.303000000000026</v>
      </c>
      <c r="BA43" s="321"/>
      <c r="BB43" s="321"/>
      <c r="BC43" s="310"/>
      <c r="BD43" s="320">
        <f>BD37-AZ37</f>
        <v>-37.561999999999983</v>
      </c>
      <c r="BE43" s="321"/>
      <c r="BF43" s="321"/>
      <c r="BG43" s="310"/>
      <c r="BH43" s="320">
        <f>BH37-BD37</f>
        <v>156.19000000000003</v>
      </c>
      <c r="BI43" s="321"/>
      <c r="BJ43" s="321"/>
      <c r="BK43" s="310"/>
      <c r="BL43" s="320">
        <f>BL37-BH37</f>
        <v>-46.69500000000005</v>
      </c>
      <c r="BM43" s="321"/>
      <c r="BN43" s="321"/>
      <c r="BP43" s="320">
        <f>BP37-BL37</f>
        <v>24.104000000000013</v>
      </c>
      <c r="BT43" s="322">
        <f>BT37-BP37</f>
        <v>-58.575999999999965</v>
      </c>
      <c r="BX43" s="322">
        <f>BX37-BT37</f>
        <v>-25.38900000000001</v>
      </c>
      <c r="CB43" s="320">
        <f>CB37-BX37</f>
        <v>29.876999999999981</v>
      </c>
      <c r="CF43" s="320">
        <f>CF37-CB37</f>
        <v>36.408000000000072</v>
      </c>
    </row>
    <row r="44" spans="1:86" ht="12.75">
      <c r="A44" s="310"/>
      <c r="B44" s="310"/>
      <c r="C44" s="310"/>
      <c r="D44" s="310"/>
      <c r="E44" s="310"/>
      <c r="F44" s="310"/>
      <c r="G44" s="310"/>
      <c r="H44" s="310"/>
      <c r="I44" s="310"/>
      <c r="J44" s="310"/>
      <c r="K44" s="310"/>
      <c r="L44" s="310"/>
      <c r="M44" s="310"/>
      <c r="N44" s="310"/>
      <c r="O44" s="310"/>
      <c r="P44" s="310"/>
      <c r="Q44" s="310"/>
      <c r="R44" s="310"/>
      <c r="S44" s="310"/>
      <c r="T44" s="310"/>
      <c r="U44" s="310"/>
      <c r="V44" s="310"/>
      <c r="W44" s="310"/>
      <c r="X44" s="310"/>
      <c r="Y44" s="310"/>
      <c r="Z44" s="310"/>
      <c r="AA44" s="310"/>
      <c r="AB44" s="310"/>
      <c r="AC44" s="310"/>
      <c r="AD44" s="310"/>
      <c r="AE44" s="310"/>
      <c r="AF44" s="310"/>
      <c r="AG44" s="310"/>
      <c r="AH44" s="310"/>
      <c r="AI44" s="310"/>
      <c r="AJ44" s="310"/>
      <c r="AK44" s="310"/>
      <c r="AL44" s="310"/>
      <c r="AM44" s="310"/>
      <c r="AN44" s="310"/>
      <c r="AO44" s="310"/>
      <c r="AP44" s="310"/>
      <c r="AQ44" s="310"/>
      <c r="AR44" s="310"/>
      <c r="AS44" s="310"/>
      <c r="AT44" s="310"/>
      <c r="AU44" s="310"/>
      <c r="AV44" s="310"/>
      <c r="AW44" s="310"/>
      <c r="AX44" s="310"/>
      <c r="AY44" s="310"/>
      <c r="AZ44" s="310"/>
      <c r="BA44" s="310"/>
      <c r="BB44" s="310"/>
      <c r="BC44" s="310"/>
      <c r="BD44" s="310"/>
      <c r="BE44" s="310"/>
      <c r="BF44" s="310"/>
      <c r="BG44" s="310"/>
      <c r="BH44" s="310"/>
      <c r="BI44" s="310"/>
      <c r="BJ44" s="310"/>
      <c r="BK44" s="310"/>
      <c r="BL44" s="310"/>
      <c r="BM44" s="310"/>
      <c r="BN44" s="310"/>
    </row>
    <row r="45" spans="1:86" ht="12.75">
      <c r="A45" s="310"/>
      <c r="B45" s="310"/>
      <c r="C45" s="310"/>
      <c r="D45" s="310"/>
      <c r="E45" s="310"/>
      <c r="F45" s="310"/>
      <c r="G45" s="310"/>
      <c r="H45" s="310"/>
      <c r="I45" s="310"/>
      <c r="J45" s="310"/>
      <c r="K45" s="310"/>
      <c r="L45" s="310"/>
      <c r="M45" s="310"/>
      <c r="N45" s="310"/>
      <c r="O45" s="310"/>
      <c r="P45" s="310"/>
      <c r="Q45" s="310"/>
      <c r="R45" s="310"/>
      <c r="S45" s="310"/>
      <c r="T45" s="310"/>
      <c r="U45" s="310"/>
      <c r="V45" s="310"/>
      <c r="W45" s="310"/>
      <c r="X45" s="310"/>
      <c r="Y45" s="310"/>
      <c r="Z45" s="310"/>
      <c r="AA45" s="310"/>
      <c r="AB45" s="310"/>
      <c r="AC45" s="310"/>
      <c r="AD45" s="310"/>
      <c r="AE45" s="310"/>
      <c r="AF45" s="310"/>
      <c r="AG45" s="310"/>
      <c r="AH45" s="310"/>
      <c r="AI45" s="310"/>
      <c r="AJ45" s="310"/>
      <c r="AK45" s="310"/>
      <c r="AL45" s="310"/>
      <c r="AM45" s="310"/>
      <c r="AN45" s="310"/>
      <c r="AO45" s="310"/>
      <c r="AP45" s="310"/>
      <c r="AQ45" s="310"/>
      <c r="AR45" s="310"/>
      <c r="AS45" s="310"/>
      <c r="AT45" s="310"/>
      <c r="AU45" s="310"/>
      <c r="AV45" s="310"/>
      <c r="AW45" s="310"/>
      <c r="AX45" s="310"/>
      <c r="AY45" s="310"/>
      <c r="AZ45" s="310"/>
      <c r="BA45" s="310"/>
      <c r="BB45" s="310"/>
      <c r="BC45" s="310"/>
      <c r="BD45" s="310"/>
      <c r="BE45" s="310"/>
      <c r="BF45" s="310"/>
      <c r="BG45" s="310"/>
      <c r="BH45" s="310"/>
      <c r="BI45" s="310"/>
      <c r="BJ45" s="310"/>
      <c r="BK45" s="310"/>
      <c r="BL45" s="310"/>
      <c r="BM45" s="310"/>
      <c r="BN45" s="310"/>
    </row>
    <row r="46" spans="1:86" ht="12.75">
      <c r="A46" s="310"/>
      <c r="B46" s="310"/>
      <c r="C46" s="310"/>
      <c r="D46" s="310"/>
      <c r="E46" s="310"/>
      <c r="F46" s="310"/>
      <c r="G46" s="310"/>
      <c r="H46" s="310"/>
      <c r="I46" s="310"/>
      <c r="J46" s="310"/>
      <c r="K46" s="310"/>
      <c r="L46" s="310"/>
      <c r="M46" s="310"/>
      <c r="N46" s="310"/>
      <c r="O46" s="310"/>
      <c r="P46" s="310"/>
      <c r="Q46" s="310"/>
      <c r="R46" s="310"/>
      <c r="S46" s="310"/>
      <c r="T46" s="310"/>
      <c r="U46" s="310"/>
      <c r="V46" s="310"/>
      <c r="W46" s="310"/>
      <c r="X46" s="310"/>
      <c r="Y46" s="310"/>
      <c r="Z46" s="310"/>
      <c r="AA46" s="310"/>
      <c r="AB46" s="310"/>
      <c r="AC46" s="310"/>
      <c r="AD46" s="310"/>
      <c r="AE46" s="310"/>
      <c r="AF46" s="310"/>
      <c r="AG46" s="310"/>
      <c r="AH46" s="310"/>
      <c r="AI46" s="310"/>
      <c r="AJ46" s="310"/>
      <c r="AK46" s="310"/>
      <c r="AL46" s="310"/>
      <c r="AM46" s="310"/>
      <c r="AN46" s="310"/>
      <c r="AO46" s="310"/>
      <c r="AP46" s="310"/>
      <c r="AQ46" s="310"/>
      <c r="AR46" s="310"/>
      <c r="AS46" s="310"/>
      <c r="AT46" s="310"/>
      <c r="AU46" s="310"/>
      <c r="AV46" s="310"/>
      <c r="AW46" s="310"/>
      <c r="AX46" s="310"/>
      <c r="AY46" s="310"/>
      <c r="AZ46" s="310"/>
      <c r="BA46" s="310"/>
      <c r="BB46" s="310"/>
      <c r="BC46" s="310"/>
      <c r="BD46" s="310"/>
      <c r="BE46" s="310"/>
      <c r="BF46" s="310"/>
      <c r="BG46" s="310"/>
      <c r="BH46" s="310"/>
      <c r="BI46" s="310"/>
      <c r="BJ46" s="310"/>
      <c r="BK46" s="310"/>
      <c r="BL46" s="310"/>
      <c r="BM46" s="310"/>
      <c r="BN46" s="310"/>
    </row>
    <row r="47" spans="1:86" ht="12.75">
      <c r="A47" s="310"/>
      <c r="B47" s="310"/>
      <c r="C47" s="310"/>
      <c r="D47" s="310"/>
      <c r="E47" s="310"/>
      <c r="F47" s="310"/>
      <c r="G47" s="310"/>
      <c r="H47" s="310"/>
      <c r="I47" s="310"/>
      <c r="J47" s="310"/>
      <c r="K47" s="310"/>
      <c r="L47" s="310"/>
      <c r="M47" s="310"/>
      <c r="N47" s="310"/>
      <c r="O47" s="310"/>
      <c r="P47" s="310"/>
      <c r="Q47" s="310"/>
      <c r="R47" s="310"/>
      <c r="S47" s="310"/>
      <c r="T47" s="310"/>
      <c r="U47" s="310"/>
      <c r="V47" s="310"/>
      <c r="W47" s="310"/>
      <c r="X47" s="310"/>
      <c r="Y47" s="310"/>
      <c r="Z47" s="310"/>
      <c r="AA47" s="310"/>
      <c r="AB47" s="310"/>
      <c r="AC47" s="310"/>
      <c r="AD47" s="310"/>
      <c r="AE47" s="310"/>
      <c r="AF47" s="310"/>
      <c r="AG47" s="310"/>
      <c r="AH47" s="310"/>
      <c r="AI47" s="310"/>
      <c r="AJ47" s="310"/>
      <c r="AK47" s="310"/>
      <c r="AL47" s="310"/>
      <c r="AM47" s="310"/>
      <c r="AN47" s="310"/>
      <c r="AO47" s="310"/>
      <c r="AP47" s="310"/>
      <c r="AQ47" s="310"/>
      <c r="AR47" s="310"/>
      <c r="AS47" s="310"/>
      <c r="AT47" s="310"/>
      <c r="AU47" s="310"/>
      <c r="AV47" s="310"/>
      <c r="AW47" s="310"/>
      <c r="AX47" s="310"/>
      <c r="AY47" s="310"/>
      <c r="AZ47" s="310"/>
      <c r="BA47" s="310"/>
      <c r="BB47" s="310"/>
      <c r="BC47" s="310"/>
      <c r="BD47" s="310"/>
      <c r="BE47" s="310"/>
      <c r="BF47" s="310"/>
      <c r="BG47" s="310"/>
      <c r="BH47" s="310"/>
      <c r="BI47" s="310"/>
      <c r="BJ47" s="310"/>
      <c r="BK47" s="310"/>
      <c r="BL47" s="310"/>
      <c r="BM47" s="310"/>
      <c r="BN47" s="310"/>
    </row>
    <row r="48" spans="1:86" ht="12.75">
      <c r="A48" s="112" t="s">
        <v>572</v>
      </c>
      <c r="B48" s="310"/>
      <c r="C48" s="310"/>
      <c r="D48" s="310"/>
      <c r="E48" s="310"/>
      <c r="F48" s="310"/>
      <c r="G48" s="310"/>
      <c r="H48" s="310"/>
      <c r="I48" s="310"/>
      <c r="J48" s="310"/>
      <c r="K48" s="310"/>
      <c r="L48" s="310"/>
      <c r="M48" s="310"/>
      <c r="N48" s="310"/>
      <c r="O48" s="310"/>
      <c r="P48" s="310"/>
      <c r="Q48" s="310"/>
      <c r="R48" s="310"/>
      <c r="S48" s="310"/>
      <c r="T48" s="310"/>
      <c r="U48" s="310"/>
      <c r="V48" s="310"/>
      <c r="W48" s="310"/>
      <c r="X48" s="310"/>
      <c r="Y48" s="310"/>
      <c r="Z48" s="310"/>
      <c r="AA48" s="310"/>
      <c r="AB48" s="310"/>
      <c r="AC48" s="310"/>
      <c r="AD48" s="310"/>
      <c r="AE48" s="310"/>
      <c r="AF48" s="310"/>
      <c r="AG48" s="310"/>
      <c r="AH48" s="310"/>
      <c r="AI48" s="310"/>
      <c r="AJ48" s="310"/>
      <c r="AK48" s="310"/>
      <c r="AL48" s="310"/>
      <c r="AM48" s="310"/>
      <c r="AN48" s="310"/>
      <c r="AO48" s="310"/>
      <c r="AP48" s="310"/>
      <c r="AQ48" s="310"/>
      <c r="AR48" s="310"/>
      <c r="AS48" s="310"/>
      <c r="AT48" s="310"/>
      <c r="AU48" s="310"/>
      <c r="AV48" s="310"/>
      <c r="AW48" s="310"/>
      <c r="AX48" s="310"/>
      <c r="AY48" s="310"/>
      <c r="AZ48" s="310"/>
      <c r="BA48" s="310"/>
      <c r="BB48" s="310"/>
      <c r="BC48" s="310"/>
      <c r="BD48" s="310"/>
      <c r="BE48" s="310"/>
      <c r="BF48" s="310"/>
      <c r="BG48" s="310"/>
      <c r="BH48" s="310"/>
      <c r="BI48" s="310"/>
      <c r="BJ48" s="310"/>
      <c r="BK48" s="310"/>
      <c r="BL48" s="310"/>
      <c r="BM48" s="310"/>
      <c r="BN48" s="310"/>
    </row>
  </sheetData>
  <phoneticPr fontId="6" type="noConversion"/>
  <dataValidations disablePrompts="1" count="1">
    <dataValidation type="custom" allowBlank="1" showInputMessage="1" showErrorMessage="1" sqref="A48">
      <formula1>-1</formula1>
    </dataValidation>
  </dataValidations>
  <printOptions horizontalCentered="1"/>
  <pageMargins left="0.25" right="0.25" top="0.5" bottom="0.25" header="0.5" footer="0.5"/>
  <pageSetup scale="60" orientation="portrait" r:id="rId1"/>
  <headerFooter alignWithMargins="0">
    <oddFooter>&amp;R&amp;8&amp;D/&amp;T
&amp;F/&amp;A</oddFooter>
  </headerFooter>
  <legacyDrawing r:id="rId2"/>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syncVertical="1" syncRef="B143" transitionEvaluation="1" codeName="Sheet13">
    <pageSetUpPr fitToPage="1"/>
  </sheetPr>
  <dimension ref="A1:AQ176"/>
  <sheetViews>
    <sheetView showGridLines="0" zoomScaleNormal="115" zoomScaleSheetLayoutView="100" workbookViewId="0">
      <pane xSplit="1" ySplit="8" topLeftCell="B143" activePane="bottomRight" state="frozen"/>
      <selection activeCell="CG130" sqref="CG130"/>
      <selection pane="topRight" activeCell="CG130" sqref="CG130"/>
      <selection pane="bottomLeft" activeCell="CG130" sqref="CG130"/>
      <selection pane="bottomRight" activeCell="AA175" sqref="AA175"/>
    </sheetView>
  </sheetViews>
  <sheetFormatPr defaultColWidth="9.75" defaultRowHeight="10.5" customHeight="1" outlineLevelRow="1"/>
  <cols>
    <col min="1" max="1" width="5.125" customWidth="1"/>
    <col min="2" max="2" width="10.25" customWidth="1"/>
    <col min="3" max="3" width="1.5" customWidth="1"/>
    <col min="4" max="4" width="8.5" customWidth="1"/>
    <col min="5" max="5" width="1.75" customWidth="1"/>
    <col min="6" max="6" width="7.875" customWidth="1"/>
    <col min="7" max="7" width="1.25" customWidth="1"/>
    <col min="8" max="8" width="7.875" customWidth="1"/>
    <col min="9" max="9" width="1.25" customWidth="1"/>
    <col min="10" max="10" width="7.5" customWidth="1"/>
    <col min="11" max="11" width="1.375" customWidth="1"/>
    <col min="12" max="12" width="8.5" bestFit="1" customWidth="1"/>
    <col min="13" max="13" width="1.375" customWidth="1"/>
    <col min="14" max="14" width="5.875" customWidth="1"/>
    <col min="15" max="15" width="1.375" customWidth="1"/>
    <col min="16" max="16" width="8.5" customWidth="1"/>
    <col min="17" max="17" width="1.375" customWidth="1"/>
    <col min="18" max="18" width="8.375" customWidth="1"/>
    <col min="19" max="19" width="1.375" customWidth="1"/>
    <col min="20" max="20" width="7.75" customWidth="1"/>
    <col min="21" max="21" width="1.25" customWidth="1"/>
    <col min="22" max="22" width="7.125" customWidth="1"/>
    <col min="23" max="23" width="1.25" customWidth="1"/>
    <col min="24" max="24" width="6.5" customWidth="1"/>
    <col min="25" max="25" width="1.375" customWidth="1"/>
    <col min="26" max="26" width="6" customWidth="1"/>
    <col min="27" max="27" width="1.375" customWidth="1"/>
    <col min="28" max="28" width="7.125" customWidth="1"/>
    <col min="29" max="29" width="1.125" customWidth="1"/>
    <col min="30" max="30" width="6.5" customWidth="1"/>
    <col min="31" max="31" width="6" customWidth="1"/>
    <col min="32" max="32" width="5.875" customWidth="1"/>
    <col min="33" max="33" width="1.125" customWidth="1"/>
    <col min="34" max="34" width="5.875" customWidth="1"/>
    <col min="35" max="36" width="3.25" customWidth="1"/>
    <col min="37" max="37" width="6.375" customWidth="1"/>
    <col min="38" max="38" width="1.25" customWidth="1"/>
  </cols>
  <sheetData>
    <row r="1" spans="1:43" ht="12" customHeight="1">
      <c r="A1" s="10" t="s">
        <v>85</v>
      </c>
      <c r="B1" s="10"/>
      <c r="C1" s="10"/>
      <c r="D1" s="11"/>
      <c r="E1" s="11"/>
      <c r="F1" s="11"/>
      <c r="G1" s="11"/>
      <c r="H1" s="11"/>
      <c r="I1" s="11"/>
      <c r="J1" s="11"/>
      <c r="K1" s="96"/>
      <c r="L1" s="11"/>
      <c r="M1" s="96"/>
      <c r="N1" s="11"/>
      <c r="O1" s="11"/>
      <c r="P1" s="11"/>
      <c r="Q1" s="11"/>
      <c r="R1" s="11"/>
      <c r="S1" s="11"/>
      <c r="T1" s="11"/>
      <c r="U1" s="11"/>
      <c r="V1" s="11"/>
      <c r="W1" s="11"/>
      <c r="X1" s="11"/>
      <c r="Y1" s="11"/>
      <c r="Z1" s="11"/>
      <c r="AA1" s="11"/>
      <c r="AB1" s="11"/>
      <c r="AC1" s="11"/>
      <c r="AD1" s="11"/>
      <c r="AE1" s="11"/>
      <c r="AF1" s="11"/>
      <c r="AG1" s="11"/>
      <c r="AH1" s="11"/>
      <c r="AI1" s="11"/>
      <c r="AJ1" s="11"/>
      <c r="AK1" s="11"/>
      <c r="AL1" s="11"/>
      <c r="AM1" s="11"/>
      <c r="AN1" s="11"/>
    </row>
    <row r="2" spans="1:43" ht="12" customHeight="1">
      <c r="A2" s="13" t="s">
        <v>74</v>
      </c>
      <c r="B2" s="13"/>
      <c r="C2" s="13"/>
      <c r="D2" s="14"/>
      <c r="E2" s="14"/>
      <c r="F2" s="14"/>
      <c r="G2" s="14"/>
      <c r="H2" s="14"/>
      <c r="I2" s="14"/>
      <c r="J2" s="14"/>
      <c r="K2" s="220"/>
      <c r="L2" s="14"/>
      <c r="M2" s="220"/>
      <c r="N2" s="14"/>
      <c r="O2" s="14"/>
      <c r="P2" s="14"/>
      <c r="Q2" s="14"/>
      <c r="R2" s="14"/>
      <c r="S2" s="14"/>
      <c r="T2" s="14"/>
      <c r="U2" s="14"/>
      <c r="V2" s="14"/>
      <c r="W2" s="14"/>
      <c r="X2" s="14"/>
      <c r="Y2" s="14"/>
      <c r="Z2" s="14"/>
      <c r="AA2" s="14"/>
      <c r="AB2" s="14"/>
      <c r="AC2" s="14"/>
      <c r="AD2" s="14"/>
      <c r="AE2" s="14"/>
      <c r="AF2" s="14"/>
      <c r="AG2" s="14"/>
      <c r="AH2" s="14"/>
      <c r="AI2" s="88"/>
      <c r="AJ2" s="88"/>
      <c r="AK2" s="88"/>
      <c r="AL2" s="88"/>
      <c r="AM2" s="11"/>
      <c r="AN2" s="11"/>
    </row>
    <row r="3" spans="1:43" ht="12.75" customHeight="1">
      <c r="A3" s="210" t="s">
        <v>195</v>
      </c>
      <c r="B3" s="210"/>
      <c r="C3" s="210"/>
      <c r="D3" s="141"/>
      <c r="E3" s="17"/>
      <c r="F3" s="17"/>
      <c r="G3" s="17"/>
      <c r="H3" s="17"/>
      <c r="I3" s="17"/>
      <c r="J3" s="17"/>
      <c r="K3" s="61"/>
      <c r="L3" s="17"/>
      <c r="M3" s="61"/>
      <c r="N3" s="17"/>
      <c r="O3" s="17"/>
      <c r="P3" s="17"/>
      <c r="Q3" s="17"/>
      <c r="R3" s="17"/>
      <c r="S3" s="17"/>
      <c r="T3" s="17"/>
      <c r="U3" s="17"/>
      <c r="V3" s="17"/>
      <c r="W3" s="17"/>
      <c r="X3" s="17"/>
      <c r="Y3" s="17"/>
      <c r="Z3" s="17"/>
      <c r="AA3" s="17"/>
      <c r="AB3" s="17"/>
      <c r="AC3" s="17"/>
      <c r="AD3" s="17"/>
      <c r="AE3" s="17"/>
      <c r="AF3" s="17"/>
      <c r="AG3" s="17"/>
      <c r="AH3" s="17"/>
      <c r="AI3" s="17"/>
      <c r="AJ3" s="17"/>
      <c r="AK3" s="17"/>
      <c r="AL3" s="17"/>
      <c r="AM3" s="17"/>
      <c r="AN3" s="17"/>
    </row>
    <row r="4" spans="1:43" ht="12.75">
      <c r="A4" s="17"/>
      <c r="B4" s="17"/>
      <c r="C4" s="17"/>
      <c r="D4" s="17"/>
      <c r="E4" s="17"/>
      <c r="F4" s="17"/>
      <c r="G4" s="17"/>
      <c r="H4" s="17"/>
      <c r="I4" s="17"/>
      <c r="J4" s="26"/>
      <c r="K4" s="97"/>
      <c r="L4" s="93" t="s">
        <v>693</v>
      </c>
      <c r="M4" s="93"/>
      <c r="N4" s="93"/>
      <c r="O4" s="17"/>
      <c r="P4" s="92"/>
      <c r="Q4" s="92" t="s">
        <v>218</v>
      </c>
      <c r="R4" s="92"/>
      <c r="S4" s="17"/>
      <c r="T4" s="93"/>
      <c r="U4" s="93"/>
      <c r="V4" s="93" t="s">
        <v>696</v>
      </c>
      <c r="W4" s="93"/>
      <c r="X4" s="93"/>
      <c r="Y4" s="92"/>
      <c r="Z4" s="93"/>
      <c r="AA4" s="93"/>
      <c r="AB4" s="93" t="s">
        <v>208</v>
      </c>
      <c r="AC4" s="93"/>
      <c r="AD4" s="93"/>
      <c r="AE4" s="17"/>
      <c r="AF4" s="33"/>
      <c r="AG4" s="92" t="s">
        <v>243</v>
      </c>
      <c r="AH4" s="33"/>
      <c r="AI4" s="33"/>
      <c r="AJ4" s="33"/>
      <c r="AK4" s="486" t="s">
        <v>218</v>
      </c>
      <c r="AL4" s="486"/>
      <c r="AM4" s="17"/>
      <c r="AN4" s="17"/>
    </row>
    <row r="5" spans="1:43" ht="12.75">
      <c r="A5" s="19"/>
      <c r="B5" s="19"/>
      <c r="C5" s="19"/>
      <c r="D5" s="19"/>
      <c r="E5" s="19"/>
      <c r="F5" s="98"/>
      <c r="G5" s="43" t="s">
        <v>37</v>
      </c>
      <c r="H5" s="98"/>
      <c r="I5" s="19"/>
      <c r="J5" s="92" t="s">
        <v>738</v>
      </c>
      <c r="K5" s="92"/>
      <c r="L5" s="93"/>
      <c r="M5" s="93" t="s">
        <v>217</v>
      </c>
      <c r="N5" s="93"/>
      <c r="O5" s="19"/>
      <c r="P5" s="93"/>
      <c r="Q5" s="93" t="s">
        <v>219</v>
      </c>
      <c r="R5" s="93"/>
      <c r="S5" s="19"/>
      <c r="T5" s="92" t="s">
        <v>209</v>
      </c>
      <c r="U5" s="92"/>
      <c r="V5" s="92" t="s">
        <v>37</v>
      </c>
      <c r="W5" s="92"/>
      <c r="X5" s="92" t="s">
        <v>210</v>
      </c>
      <c r="Y5" s="92"/>
      <c r="Z5" s="92" t="s">
        <v>211</v>
      </c>
      <c r="AA5" s="92"/>
      <c r="AB5" s="92" t="s">
        <v>37</v>
      </c>
      <c r="AC5" s="92"/>
      <c r="AD5" s="92" t="s">
        <v>210</v>
      </c>
      <c r="AE5" s="19"/>
      <c r="AF5" s="32"/>
      <c r="AG5" s="93" t="s">
        <v>242</v>
      </c>
      <c r="AH5" s="32"/>
      <c r="AI5" s="40"/>
      <c r="AJ5" s="40"/>
      <c r="AK5" s="488" t="s">
        <v>219</v>
      </c>
      <c r="AL5" s="488"/>
      <c r="AM5" s="19"/>
      <c r="AN5" s="19"/>
    </row>
    <row r="6" spans="1:43" ht="12.75">
      <c r="A6" s="19"/>
      <c r="B6" s="19"/>
      <c r="C6" s="19"/>
      <c r="D6" s="92" t="s">
        <v>38</v>
      </c>
      <c r="E6" s="19"/>
      <c r="F6" s="142" t="s">
        <v>39</v>
      </c>
      <c r="G6" s="19"/>
      <c r="H6" s="19"/>
      <c r="I6" s="19"/>
      <c r="J6" s="92" t="s">
        <v>216</v>
      </c>
      <c r="K6" s="92"/>
      <c r="L6" s="92" t="s">
        <v>40</v>
      </c>
      <c r="M6" s="92"/>
      <c r="N6" s="92" t="s">
        <v>40</v>
      </c>
      <c r="O6" s="19"/>
      <c r="P6" s="92"/>
      <c r="Q6" s="92"/>
      <c r="R6" s="92" t="s">
        <v>41</v>
      </c>
      <c r="S6" s="19"/>
      <c r="T6" s="92" t="s">
        <v>212</v>
      </c>
      <c r="U6" s="92"/>
      <c r="V6" s="92" t="s">
        <v>213</v>
      </c>
      <c r="W6" s="92"/>
      <c r="X6" s="92" t="s">
        <v>697</v>
      </c>
      <c r="Y6" s="92"/>
      <c r="Z6" s="92" t="s">
        <v>39</v>
      </c>
      <c r="AA6" s="92"/>
      <c r="AB6" s="92" t="s">
        <v>213</v>
      </c>
      <c r="AC6" s="92"/>
      <c r="AD6" s="92" t="s">
        <v>697</v>
      </c>
      <c r="AE6" s="19"/>
      <c r="AF6" s="40"/>
      <c r="AG6" s="19"/>
      <c r="AH6" s="92" t="s">
        <v>246</v>
      </c>
      <c r="AI6" s="92"/>
      <c r="AJ6" s="92"/>
      <c r="AK6" s="486" t="s">
        <v>424</v>
      </c>
      <c r="AL6" s="486"/>
      <c r="AM6" s="19"/>
      <c r="AN6" s="19" t="s">
        <v>328</v>
      </c>
      <c r="AP6" s="19" t="s">
        <v>330</v>
      </c>
      <c r="AQ6" s="19" t="s">
        <v>332</v>
      </c>
    </row>
    <row r="7" spans="1:43" ht="12.75">
      <c r="A7" s="19"/>
      <c r="B7" s="93" t="s">
        <v>738</v>
      </c>
      <c r="C7" s="19"/>
      <c r="D7" s="93" t="s">
        <v>42</v>
      </c>
      <c r="E7" s="19"/>
      <c r="F7" s="43" t="s">
        <v>43</v>
      </c>
      <c r="G7" s="19"/>
      <c r="H7" s="43" t="s">
        <v>746</v>
      </c>
      <c r="I7" s="19"/>
      <c r="J7" s="93" t="s">
        <v>44</v>
      </c>
      <c r="K7" s="92"/>
      <c r="L7" s="93" t="s">
        <v>45</v>
      </c>
      <c r="M7" s="92"/>
      <c r="N7" s="93" t="s">
        <v>43</v>
      </c>
      <c r="O7" s="19"/>
      <c r="P7" s="93" t="s">
        <v>220</v>
      </c>
      <c r="Q7" s="92"/>
      <c r="R7" s="93" t="s">
        <v>223</v>
      </c>
      <c r="S7" s="19"/>
      <c r="T7" s="93" t="s">
        <v>214</v>
      </c>
      <c r="U7" s="92"/>
      <c r="V7" s="93" t="s">
        <v>46</v>
      </c>
      <c r="W7" s="92"/>
      <c r="X7" s="93" t="s">
        <v>72</v>
      </c>
      <c r="Y7" s="92"/>
      <c r="Z7" s="93" t="s">
        <v>43</v>
      </c>
      <c r="AA7" s="92"/>
      <c r="AB7" s="93" t="s">
        <v>215</v>
      </c>
      <c r="AC7" s="92"/>
      <c r="AD7" s="93" t="s">
        <v>72</v>
      </c>
      <c r="AE7" s="19"/>
      <c r="AF7" s="93" t="s">
        <v>244</v>
      </c>
      <c r="AG7" s="19"/>
      <c r="AH7" s="93" t="s">
        <v>245</v>
      </c>
      <c r="AI7" s="327"/>
      <c r="AJ7" s="327"/>
      <c r="AK7" s="488" t="s">
        <v>425</v>
      </c>
      <c r="AL7" s="486"/>
      <c r="AM7" s="19"/>
      <c r="AN7" s="19" t="s">
        <v>329</v>
      </c>
      <c r="AP7" s="19" t="s">
        <v>331</v>
      </c>
      <c r="AQ7" s="19" t="s">
        <v>333</v>
      </c>
    </row>
    <row r="8" spans="1:43" ht="12.75">
      <c r="A8" s="17"/>
      <c r="B8" s="93"/>
      <c r="C8" s="17"/>
      <c r="D8" s="17"/>
      <c r="E8" s="17"/>
      <c r="F8" s="17"/>
      <c r="G8" s="17"/>
      <c r="H8" s="17"/>
      <c r="I8" s="17"/>
      <c r="J8" s="23"/>
      <c r="K8" s="221"/>
      <c r="L8" s="23"/>
      <c r="M8" s="221"/>
      <c r="N8" s="23"/>
      <c r="O8" s="17"/>
      <c r="P8" s="143"/>
      <c r="Q8" s="143"/>
      <c r="R8" s="143"/>
      <c r="S8" s="17"/>
      <c r="T8" s="17"/>
      <c r="U8" s="17"/>
      <c r="V8" s="17"/>
      <c r="W8" s="17"/>
      <c r="X8" s="17"/>
      <c r="Y8" s="17"/>
      <c r="Z8" s="17"/>
      <c r="AA8" s="17"/>
      <c r="AB8" s="17"/>
      <c r="AC8" s="17"/>
      <c r="AD8" s="17"/>
      <c r="AE8" s="17"/>
      <c r="AF8" s="17"/>
      <c r="AG8" s="17"/>
      <c r="AH8" s="17"/>
      <c r="AI8" s="17"/>
      <c r="AJ8" s="17"/>
      <c r="AK8" s="489"/>
      <c r="AL8" s="489"/>
      <c r="AM8" s="17"/>
      <c r="AN8" s="17"/>
    </row>
    <row r="9" spans="1:43" ht="12.75">
      <c r="A9" s="17"/>
      <c r="B9" s="17"/>
      <c r="C9" s="17"/>
      <c r="D9" s="17"/>
      <c r="E9" s="17"/>
      <c r="F9" s="17"/>
      <c r="G9" s="17"/>
      <c r="H9" s="17"/>
      <c r="I9" s="17"/>
      <c r="J9" s="23"/>
      <c r="K9" s="61"/>
      <c r="L9" s="17"/>
      <c r="M9" s="61"/>
      <c r="N9" s="17"/>
      <c r="O9" s="17"/>
      <c r="P9" s="17"/>
      <c r="Q9" s="17"/>
      <c r="R9" s="17"/>
      <c r="S9" s="17"/>
      <c r="T9" s="17"/>
      <c r="U9" s="17"/>
      <c r="V9" s="17"/>
      <c r="W9" s="17"/>
      <c r="X9" s="44"/>
      <c r="Y9" s="17"/>
      <c r="Z9" s="17"/>
      <c r="AA9" s="17"/>
      <c r="AB9" s="17"/>
      <c r="AC9" s="17"/>
      <c r="AD9" s="44"/>
      <c r="AE9" s="17"/>
      <c r="AF9" s="17"/>
      <c r="AG9" s="17"/>
      <c r="AH9" s="17"/>
      <c r="AI9" s="17"/>
      <c r="AJ9" s="17"/>
      <c r="AK9" s="487"/>
      <c r="AL9" s="487"/>
      <c r="AM9" s="17"/>
      <c r="AN9" s="17"/>
    </row>
    <row r="10" spans="1:43" ht="12.75" hidden="1" outlineLevel="1">
      <c r="A10" s="152" t="s">
        <v>151</v>
      </c>
      <c r="B10" s="152"/>
      <c r="C10" s="152"/>
      <c r="D10" s="144"/>
      <c r="E10" s="37"/>
      <c r="F10" s="37"/>
      <c r="G10" s="37"/>
      <c r="H10" s="144"/>
      <c r="I10" s="37"/>
      <c r="J10" s="145"/>
      <c r="K10" s="61"/>
      <c r="L10" s="37"/>
      <c r="M10" s="61"/>
      <c r="N10" s="37"/>
      <c r="O10" s="37"/>
      <c r="P10" s="146"/>
      <c r="Q10" s="147"/>
      <c r="R10" s="37"/>
      <c r="S10" s="37"/>
      <c r="T10" s="37"/>
      <c r="U10" s="37"/>
      <c r="V10" s="37"/>
      <c r="W10" s="37"/>
      <c r="X10" s="147"/>
      <c r="Y10" s="37"/>
      <c r="Z10" s="37"/>
      <c r="AA10" s="37"/>
      <c r="AB10" s="37"/>
      <c r="AC10" s="37"/>
      <c r="AD10" s="147"/>
      <c r="AE10" s="37"/>
      <c r="AF10" s="17"/>
      <c r="AG10" s="17"/>
      <c r="AH10" s="17"/>
      <c r="AI10" s="17"/>
      <c r="AJ10" s="17"/>
      <c r="AK10" s="487"/>
      <c r="AL10" s="487"/>
      <c r="AM10" s="17"/>
      <c r="AN10" s="17"/>
    </row>
    <row r="11" spans="1:43" ht="12.75" hidden="1" outlineLevel="1">
      <c r="A11" s="20" t="s">
        <v>734</v>
      </c>
      <c r="B11" s="290">
        <f>+'qtrP&amp;L'!C10</f>
        <v>48.417000000000002</v>
      </c>
      <c r="C11" s="20"/>
      <c r="D11" s="38"/>
      <c r="E11" s="17"/>
      <c r="F11" s="38"/>
      <c r="G11" s="17"/>
      <c r="H11" s="38"/>
      <c r="I11" s="17"/>
      <c r="J11" s="24"/>
      <c r="K11" s="61" t="s">
        <v>697</v>
      </c>
      <c r="L11" s="24"/>
      <c r="M11" s="61" t="s">
        <v>697</v>
      </c>
      <c r="N11" s="23"/>
      <c r="O11" s="17" t="s">
        <v>697</v>
      </c>
      <c r="P11" s="143"/>
      <c r="Q11" s="20" t="s">
        <v>47</v>
      </c>
      <c r="R11" s="148"/>
      <c r="S11" s="17" t="s">
        <v>47</v>
      </c>
      <c r="T11" s="17">
        <v>278</v>
      </c>
      <c r="U11" s="17"/>
      <c r="V11" s="41">
        <f>F11/T11*1000</f>
        <v>0</v>
      </c>
      <c r="W11" s="22"/>
      <c r="X11" s="24"/>
      <c r="Y11" s="17" t="s">
        <v>697</v>
      </c>
      <c r="Z11" s="17"/>
      <c r="AA11" s="17"/>
      <c r="AB11" s="222"/>
      <c r="AC11" s="22"/>
      <c r="AD11" s="24"/>
      <c r="AE11" s="17" t="s">
        <v>697</v>
      </c>
      <c r="AF11" s="17"/>
      <c r="AG11" s="17"/>
      <c r="AH11" s="17"/>
      <c r="AI11" s="17"/>
      <c r="AJ11" s="17"/>
      <c r="AK11" s="487"/>
      <c r="AL11" s="487"/>
      <c r="AM11" s="17"/>
      <c r="AN11" s="17"/>
    </row>
    <row r="12" spans="1:43" ht="12.75" hidden="1" outlineLevel="1">
      <c r="A12" s="20" t="s">
        <v>735</v>
      </c>
      <c r="B12" s="484">
        <f>+'qtrP&amp;L'!C11</f>
        <v>65.337000000000003</v>
      </c>
      <c r="C12" s="20"/>
      <c r="D12" s="23"/>
      <c r="E12" s="17"/>
      <c r="F12" s="25"/>
      <c r="G12" s="17"/>
      <c r="H12" s="25"/>
      <c r="I12" s="17"/>
      <c r="J12" s="24"/>
      <c r="K12" s="61"/>
      <c r="L12" s="24"/>
      <c r="M12" s="61"/>
      <c r="N12" s="23"/>
      <c r="O12" s="17"/>
      <c r="P12" s="143"/>
      <c r="Q12" s="20"/>
      <c r="R12" s="148"/>
      <c r="S12" s="17"/>
      <c r="T12" s="17">
        <v>282</v>
      </c>
      <c r="U12" s="17"/>
      <c r="V12" s="23">
        <f>F12/T12*1000</f>
        <v>0</v>
      </c>
      <c r="W12" s="17"/>
      <c r="X12" s="24"/>
      <c r="Y12" s="17"/>
      <c r="Z12" s="17"/>
      <c r="AA12" s="17"/>
      <c r="AB12" s="222"/>
      <c r="AC12" s="17"/>
      <c r="AD12" s="24"/>
      <c r="AE12" s="17"/>
      <c r="AF12" s="17"/>
      <c r="AG12" s="17"/>
      <c r="AH12" s="17"/>
      <c r="AI12" s="17"/>
      <c r="AJ12" s="17"/>
      <c r="AK12" s="487"/>
      <c r="AL12" s="487"/>
      <c r="AM12" s="17"/>
      <c r="AN12" s="17"/>
    </row>
    <row r="13" spans="1:43" ht="12.75" hidden="1" outlineLevel="1">
      <c r="A13" s="20" t="s">
        <v>736</v>
      </c>
      <c r="B13" s="484">
        <f>+'qtrP&amp;L'!C12</f>
        <v>85.885000000000005</v>
      </c>
      <c r="C13" s="20"/>
      <c r="D13" s="23"/>
      <c r="E13" s="17"/>
      <c r="F13" s="25"/>
      <c r="G13" s="17"/>
      <c r="H13" s="25"/>
      <c r="I13" s="17"/>
      <c r="J13" s="24"/>
      <c r="K13" s="61"/>
      <c r="L13" s="24"/>
      <c r="M13" s="61"/>
      <c r="N13" s="23"/>
      <c r="O13" s="17"/>
      <c r="P13" s="143"/>
      <c r="Q13" s="20"/>
      <c r="R13" s="148"/>
      <c r="S13" s="17"/>
      <c r="T13" s="17">
        <v>293</v>
      </c>
      <c r="U13" s="17"/>
      <c r="V13" s="23">
        <f>F13/T13*1000</f>
        <v>0</v>
      </c>
      <c r="W13" s="17"/>
      <c r="X13" s="24"/>
      <c r="Y13" s="17"/>
      <c r="Z13" s="17"/>
      <c r="AA13" s="17"/>
      <c r="AB13" s="222"/>
      <c r="AC13" s="17"/>
      <c r="AD13" s="24"/>
      <c r="AE13" s="17"/>
      <c r="AF13" s="17"/>
      <c r="AG13" s="17"/>
      <c r="AH13" s="17"/>
      <c r="AI13" s="17"/>
      <c r="AJ13" s="17"/>
      <c r="AK13" s="487"/>
      <c r="AL13" s="487"/>
      <c r="AM13" s="17"/>
      <c r="AN13" s="17"/>
    </row>
    <row r="14" spans="1:43" ht="12.75" hidden="1" outlineLevel="1">
      <c r="A14" s="20" t="s">
        <v>737</v>
      </c>
      <c r="B14" s="485">
        <f>+'qtrP&amp;L'!C13</f>
        <v>140.684</v>
      </c>
      <c r="C14" s="20"/>
      <c r="D14" s="35"/>
      <c r="E14" s="17"/>
      <c r="F14" s="25">
        <v>23.393999999999998</v>
      </c>
      <c r="G14" s="17"/>
      <c r="H14" s="35">
        <f>AVERAGEA(F13:F14)</f>
        <v>23.393999999999998</v>
      </c>
      <c r="I14" s="17"/>
      <c r="J14" s="82"/>
      <c r="K14" s="61"/>
      <c r="L14" s="23"/>
      <c r="M14" s="61"/>
      <c r="N14" s="23"/>
      <c r="O14" s="17"/>
      <c r="P14" s="143">
        <f>D14/H14</f>
        <v>0</v>
      </c>
      <c r="Q14" s="20"/>
      <c r="R14" s="148">
        <f>D18/F14</f>
        <v>1.7434384885013252</v>
      </c>
      <c r="S14" s="17"/>
      <c r="T14" s="17">
        <v>292</v>
      </c>
      <c r="U14" s="17"/>
      <c r="V14" s="23">
        <f>F14/T14*1000</f>
        <v>80.11643835616438</v>
      </c>
      <c r="W14" s="17"/>
      <c r="X14" s="23"/>
      <c r="Y14" s="17"/>
      <c r="Z14" s="226">
        <f>yrSales!C34</f>
        <v>1.2008160000000001</v>
      </c>
      <c r="AA14" s="17"/>
      <c r="AB14" s="227">
        <f>F14/Z14</f>
        <v>19.481752408362311</v>
      </c>
      <c r="AC14" s="17"/>
      <c r="AD14" s="23"/>
      <c r="AE14" s="17"/>
      <c r="AF14" s="17"/>
      <c r="AG14" s="17"/>
      <c r="AH14" s="17"/>
      <c r="AI14" s="17"/>
      <c r="AJ14" s="17"/>
      <c r="AK14" s="487"/>
      <c r="AL14" s="487"/>
      <c r="AM14" s="17"/>
      <c r="AN14" s="17"/>
    </row>
    <row r="15" spans="1:43" ht="12.75" hidden="1" outlineLevel="1">
      <c r="A15" s="20" t="s">
        <v>762</v>
      </c>
      <c r="B15" s="290">
        <f>+'qtrP&amp;L'!C14</f>
        <v>340.32299999999998</v>
      </c>
      <c r="C15" s="20"/>
      <c r="D15" s="38">
        <f>SUM(D11:D14)</f>
        <v>0</v>
      </c>
      <c r="E15" s="17"/>
      <c r="F15" s="17"/>
      <c r="G15" s="17"/>
      <c r="H15" s="38"/>
      <c r="I15" s="17"/>
      <c r="J15" s="23"/>
      <c r="K15" s="61"/>
      <c r="L15" s="23"/>
      <c r="M15" s="61"/>
      <c r="N15" s="23"/>
      <c r="O15" s="17"/>
      <c r="P15" s="150"/>
      <c r="Q15" s="151" t="s">
        <v>47</v>
      </c>
      <c r="R15" s="17"/>
      <c r="S15" s="17"/>
      <c r="T15" s="17"/>
      <c r="U15" s="17"/>
      <c r="V15" s="17"/>
      <c r="W15" s="17"/>
      <c r="X15" s="44"/>
      <c r="Y15" s="17"/>
      <c r="Z15" s="17"/>
      <c r="AA15" s="17"/>
      <c r="AB15" s="17"/>
      <c r="AC15" s="17"/>
      <c r="AD15" s="44"/>
      <c r="AE15" s="17"/>
      <c r="AF15" s="60"/>
      <c r="AG15" s="17"/>
      <c r="AH15" s="17"/>
      <c r="AI15" s="17"/>
      <c r="AJ15" s="17"/>
      <c r="AK15" s="487"/>
      <c r="AL15" s="487"/>
      <c r="AM15" s="17"/>
      <c r="AN15" s="17"/>
    </row>
    <row r="16" spans="1:43" ht="12.75" hidden="1" outlineLevel="1">
      <c r="A16" s="152"/>
      <c r="B16" s="152"/>
      <c r="C16" s="152"/>
      <c r="D16" s="144"/>
      <c r="E16" s="37"/>
      <c r="F16" s="37"/>
      <c r="G16" s="37"/>
      <c r="H16" s="144"/>
      <c r="I16" s="37"/>
      <c r="J16" s="145"/>
      <c r="K16" s="61"/>
      <c r="L16" s="37"/>
      <c r="M16" s="61"/>
      <c r="N16" s="37"/>
      <c r="O16" s="37"/>
      <c r="P16" s="146"/>
      <c r="Q16" s="147"/>
      <c r="R16" s="37"/>
      <c r="S16" s="37"/>
      <c r="T16" s="37"/>
      <c r="U16" s="37"/>
      <c r="V16" s="37"/>
      <c r="W16" s="37"/>
      <c r="X16" s="147"/>
      <c r="Y16" s="37"/>
      <c r="Z16" s="37"/>
      <c r="AA16" s="37"/>
      <c r="AB16" s="37"/>
      <c r="AC16" s="37"/>
      <c r="AD16" s="147"/>
      <c r="AE16" s="37"/>
      <c r="AF16" s="17"/>
      <c r="AG16" s="17"/>
      <c r="AH16" s="17"/>
      <c r="AI16" s="17"/>
      <c r="AJ16" s="17"/>
      <c r="AK16" s="487"/>
      <c r="AL16" s="487"/>
      <c r="AM16" s="17"/>
      <c r="AN16" s="17"/>
    </row>
    <row r="17" spans="1:40" ht="12.75" hidden="1" outlineLevel="1">
      <c r="A17" s="152" t="s">
        <v>152</v>
      </c>
      <c r="B17" s="17"/>
      <c r="C17" s="152"/>
      <c r="D17" s="144"/>
      <c r="E17" s="37"/>
      <c r="F17" s="37"/>
      <c r="G17" s="37"/>
      <c r="H17" s="144"/>
      <c r="I17" s="37"/>
      <c r="J17" s="145"/>
      <c r="K17" s="61"/>
      <c r="L17" s="37"/>
      <c r="M17" s="61"/>
      <c r="N17" s="37"/>
      <c r="O17" s="37"/>
      <c r="P17" s="146"/>
      <c r="Q17" s="147"/>
      <c r="R17" s="37"/>
      <c r="S17" s="37"/>
      <c r="T17" s="37"/>
      <c r="U17" s="37"/>
      <c r="V17" s="37"/>
      <c r="W17" s="37"/>
      <c r="X17" s="147"/>
      <c r="Y17" s="37"/>
      <c r="Z17" s="37"/>
      <c r="AA17" s="37"/>
      <c r="AB17" s="37"/>
      <c r="AC17" s="37"/>
      <c r="AD17" s="147"/>
      <c r="AE17" s="37"/>
      <c r="AF17" s="17"/>
      <c r="AG17" s="17"/>
      <c r="AH17" s="17"/>
      <c r="AI17" s="17"/>
      <c r="AJ17" s="17"/>
      <c r="AK17" s="487"/>
      <c r="AL17" s="487"/>
      <c r="AM17" s="17"/>
      <c r="AN17" s="17"/>
    </row>
    <row r="18" spans="1:40" ht="12.75" hidden="1" outlineLevel="1">
      <c r="A18" s="20" t="s">
        <v>734</v>
      </c>
      <c r="B18" s="290">
        <f>+'qtrP&amp;L'!G10</f>
        <v>54.396000000000001</v>
      </c>
      <c r="C18" s="20"/>
      <c r="D18" s="38">
        <f>'qtrP&amp;L'!G20</f>
        <v>40.786000000000001</v>
      </c>
      <c r="E18" s="17"/>
      <c r="F18" s="83">
        <v>24.469000000000001</v>
      </c>
      <c r="G18" s="17"/>
      <c r="H18" s="38">
        <f>(F14+F18)/2</f>
        <v>23.9315</v>
      </c>
      <c r="I18" s="17"/>
      <c r="J18" s="24">
        <f>(B18/B11-1)*100</f>
        <v>12.348968337567378</v>
      </c>
      <c r="K18" s="61" t="s">
        <v>697</v>
      </c>
      <c r="L18" s="202" t="s">
        <v>714</v>
      </c>
      <c r="M18" s="61" t="s">
        <v>697</v>
      </c>
      <c r="N18" s="23">
        <f>(F18/F14-1)*100</f>
        <v>4.5951953492348485</v>
      </c>
      <c r="O18" s="61" t="s">
        <v>697</v>
      </c>
      <c r="P18" s="143">
        <f>D18/H18</f>
        <v>1.7042809685978733</v>
      </c>
      <c r="Q18" s="20" t="s">
        <v>159</v>
      </c>
      <c r="R18" s="148">
        <f>D19/F18</f>
        <v>2.0032694429686542</v>
      </c>
      <c r="S18" s="17" t="s">
        <v>159</v>
      </c>
      <c r="T18" s="17">
        <v>296</v>
      </c>
      <c r="U18" s="17"/>
      <c r="V18" s="38">
        <f>F18/T18*1000</f>
        <v>82.665540540540533</v>
      </c>
      <c r="W18" s="22"/>
      <c r="X18" s="24" t="s">
        <v>714</v>
      </c>
      <c r="Y18" s="61" t="s">
        <v>697</v>
      </c>
      <c r="Z18" s="223">
        <v>1.1857899999999999</v>
      </c>
      <c r="AA18" s="17"/>
      <c r="AB18" s="228">
        <f>F18/Z18</f>
        <v>20.635188355442367</v>
      </c>
      <c r="AC18" s="17"/>
      <c r="AD18" s="225" t="s">
        <v>714</v>
      </c>
      <c r="AE18" s="61" t="s">
        <v>697</v>
      </c>
      <c r="AF18" s="17">
        <f>H18/(D18/(365/4))</f>
        <v>53.541641126857257</v>
      </c>
      <c r="AG18" s="17"/>
      <c r="AH18" s="17">
        <f>F18/(D19/(365/4))</f>
        <v>45.550537557631891</v>
      </c>
      <c r="AI18" s="17"/>
      <c r="AJ18" s="17"/>
      <c r="AK18" s="490">
        <f>((D18+('yrP&amp;L'!$C$16/4)))/H18</f>
        <v>1.7042809685978733</v>
      </c>
      <c r="AL18" s="491" t="s">
        <v>159</v>
      </c>
      <c r="AM18" s="17"/>
      <c r="AN18" s="17"/>
    </row>
    <row r="19" spans="1:40" ht="12.75" hidden="1" outlineLevel="1">
      <c r="A19" s="20" t="s">
        <v>735</v>
      </c>
      <c r="B19" s="484">
        <f>+'qtrP&amp;L'!G11</f>
        <v>70.257000000000005</v>
      </c>
      <c r="C19" s="20"/>
      <c r="D19" s="23">
        <f>'qtrP&amp;L'!G21</f>
        <v>49.018000000000001</v>
      </c>
      <c r="E19" s="17"/>
      <c r="F19" s="59">
        <v>34.329000000000001</v>
      </c>
      <c r="G19" s="17"/>
      <c r="H19" s="25">
        <f>AVERAGEA(F18:F19)</f>
        <v>29.399000000000001</v>
      </c>
      <c r="I19" s="17"/>
      <c r="J19" s="24">
        <f>(B19/B12-1)*100</f>
        <v>7.5301896322145234</v>
      </c>
      <c r="K19" s="61"/>
      <c r="L19" s="202" t="s">
        <v>714</v>
      </c>
      <c r="M19" s="61"/>
      <c r="N19" s="23">
        <f>(F19/F18-1)*100</f>
        <v>40.295884588663199</v>
      </c>
      <c r="O19" s="61"/>
      <c r="P19" s="143">
        <f>D19/H19</f>
        <v>1.6673356236606687</v>
      </c>
      <c r="Q19" s="20"/>
      <c r="R19" s="148">
        <f>D20/F19</f>
        <v>1.5437676599959218</v>
      </c>
      <c r="S19" s="17"/>
      <c r="T19" s="17">
        <v>299</v>
      </c>
      <c r="U19" s="17"/>
      <c r="V19" s="23">
        <f>F19/T19*1000</f>
        <v>114.81270903010034</v>
      </c>
      <c r="W19" s="17"/>
      <c r="X19" s="24" t="s">
        <v>714</v>
      </c>
      <c r="Y19" s="61"/>
      <c r="Z19" s="223">
        <v>1.214494</v>
      </c>
      <c r="AA19" s="17"/>
      <c r="AB19" s="227">
        <f>F19/Z19</f>
        <v>28.266092710215119</v>
      </c>
      <c r="AC19" s="17"/>
      <c r="AD19" s="225" t="s">
        <v>714</v>
      </c>
      <c r="AE19" s="61"/>
      <c r="AF19" s="17">
        <f>H19/(D19/(365/4))</f>
        <v>54.728033579501407</v>
      </c>
      <c r="AG19" s="17"/>
      <c r="AH19" s="17">
        <f>F19/(D20/(365/4))</f>
        <v>59.108635557400561</v>
      </c>
      <c r="AI19" s="17"/>
      <c r="AJ19" s="17"/>
      <c r="AK19" s="490">
        <f>((D19+('yrP&amp;L'!$C$16/4)))/H19</f>
        <v>1.6673356236606687</v>
      </c>
      <c r="AL19" s="491"/>
      <c r="AM19" s="17"/>
      <c r="AN19" s="17"/>
    </row>
    <row r="20" spans="1:40" ht="12.75" hidden="1" outlineLevel="1">
      <c r="A20" s="20" t="s">
        <v>736</v>
      </c>
      <c r="B20" s="484">
        <f>+'qtrP&amp;L'!G12</f>
        <v>78.846000000000004</v>
      </c>
      <c r="C20" s="20"/>
      <c r="D20" s="23">
        <f>'qtrP&amp;L'!G22</f>
        <v>52.996000000000002</v>
      </c>
      <c r="E20" s="17"/>
      <c r="F20" s="59">
        <v>58.226999999999997</v>
      </c>
      <c r="G20" s="17"/>
      <c r="H20" s="25">
        <f>AVERAGEA(F19:F20)</f>
        <v>46.277999999999999</v>
      </c>
      <c r="I20" s="17"/>
      <c r="J20" s="24">
        <f>(B20/B13-1)*100</f>
        <v>-8.19584327880305</v>
      </c>
      <c r="K20" s="61"/>
      <c r="L20" s="202" t="s">
        <v>714</v>
      </c>
      <c r="M20" s="61"/>
      <c r="N20" s="23">
        <f>(F20/F19-1)*100</f>
        <v>69.61461155291444</v>
      </c>
      <c r="O20" s="61"/>
      <c r="P20" s="143">
        <f>D20/H20</f>
        <v>1.1451661696702538</v>
      </c>
      <c r="Q20" s="20"/>
      <c r="R20" s="148">
        <f>D21/F20</f>
        <v>1.4571933982516703</v>
      </c>
      <c r="S20" s="17"/>
      <c r="T20" s="17">
        <v>313</v>
      </c>
      <c r="U20" s="17"/>
      <c r="V20" s="23">
        <f>F20/T20*1000</f>
        <v>186.02875399361022</v>
      </c>
      <c r="W20" s="17"/>
      <c r="X20" s="24" t="s">
        <v>714</v>
      </c>
      <c r="Y20" s="61"/>
      <c r="Z20" s="223">
        <v>1.2442930000000001</v>
      </c>
      <c r="AA20" s="17"/>
      <c r="AB20" s="227">
        <f>F20/Z20</f>
        <v>46.795248386031261</v>
      </c>
      <c r="AC20" s="17"/>
      <c r="AD20" s="225" t="s">
        <v>714</v>
      </c>
      <c r="AE20" s="61"/>
      <c r="AF20" s="17">
        <f>H20/(D20/(365/4))</f>
        <v>79.682759076156685</v>
      </c>
      <c r="AG20" s="17"/>
      <c r="AH20" s="17">
        <f>F20/(D21/(365/4))</f>
        <v>62.620377027154433</v>
      </c>
      <c r="AI20" s="17"/>
      <c r="AJ20" s="17"/>
      <c r="AK20" s="490">
        <f>((D20+('yrP&amp;L'!$C$16/4)))/H20</f>
        <v>1.1451661696702538</v>
      </c>
      <c r="AL20" s="491"/>
      <c r="AM20" s="17"/>
      <c r="AN20" s="17"/>
    </row>
    <row r="21" spans="1:40" ht="12.75" hidden="1" outlineLevel="1">
      <c r="A21" s="20" t="s">
        <v>737</v>
      </c>
      <c r="B21" s="485">
        <f>+'qtrP&amp;L'!G13</f>
        <v>122.905</v>
      </c>
      <c r="C21" s="20"/>
      <c r="D21" s="35">
        <f>'qtrP&amp;L'!G23</f>
        <v>84.847999999999999</v>
      </c>
      <c r="E21" s="17"/>
      <c r="F21" s="59">
        <v>27.117000000000001</v>
      </c>
      <c r="G21" s="17"/>
      <c r="H21" s="35">
        <f>AVERAGEA(F20:F21)</f>
        <v>42.671999999999997</v>
      </c>
      <c r="I21" s="17"/>
      <c r="J21" s="82">
        <f>(B21/B14-1)*100</f>
        <v>-12.637542293366689</v>
      </c>
      <c r="K21" s="61"/>
      <c r="L21" s="23">
        <f>(F21/F14-1)*100</f>
        <v>15.914337009489632</v>
      </c>
      <c r="M21" s="61"/>
      <c r="N21" s="23">
        <f>(F21/F20-1)*100</f>
        <v>-53.42882168066361</v>
      </c>
      <c r="O21" s="61"/>
      <c r="P21" s="143">
        <f>D21/H21</f>
        <v>1.9883764529433823</v>
      </c>
      <c r="Q21" s="20"/>
      <c r="R21" s="148">
        <f>D25/F21</f>
        <v>1.7221300291330162</v>
      </c>
      <c r="S21" s="17"/>
      <c r="T21" s="17">
        <v>303</v>
      </c>
      <c r="U21" s="17"/>
      <c r="V21" s="23">
        <f>F21/T21*1000</f>
        <v>89.495049504950487</v>
      </c>
      <c r="W21" s="17"/>
      <c r="X21" s="23">
        <f>(V21/V14-1)*100</f>
        <v>11.706225764920685</v>
      </c>
      <c r="Y21" s="61"/>
      <c r="Z21" s="226">
        <f>yrSales!D34</f>
        <v>1.285598</v>
      </c>
      <c r="AA21" s="17"/>
      <c r="AB21" s="227">
        <f>F21/Z21</f>
        <v>21.09290773632193</v>
      </c>
      <c r="AC21" s="17"/>
      <c r="AD21" s="224">
        <f>(AB21/AB14-1)*100</f>
        <v>8.2700739347659979</v>
      </c>
      <c r="AE21" s="61"/>
      <c r="AF21" s="17">
        <f>H21/(D21/(365/4))</f>
        <v>45.891712238355645</v>
      </c>
      <c r="AG21" s="17"/>
      <c r="AH21" s="17">
        <f>F21/(D25/(365/4))</f>
        <v>52.986707424141848</v>
      </c>
      <c r="AI21" s="17"/>
      <c r="AJ21" s="17"/>
      <c r="AK21" s="490">
        <f>((D21+('yrP&amp;L'!$C$16/4)))/H21</f>
        <v>1.9883764529433823</v>
      </c>
      <c r="AL21" s="491"/>
      <c r="AM21" s="17"/>
      <c r="AN21" s="17"/>
    </row>
    <row r="22" spans="1:40" ht="12.75" hidden="1" outlineLevel="1">
      <c r="A22" s="20" t="s">
        <v>762</v>
      </c>
      <c r="B22" s="290">
        <f>+'qtrP&amp;L'!G14</f>
        <v>326.404</v>
      </c>
      <c r="C22" s="20"/>
      <c r="D22" s="38">
        <f>'qtrP&amp;L'!G24</f>
        <v>227.64800000000002</v>
      </c>
      <c r="E22" s="17"/>
      <c r="F22" s="17"/>
      <c r="G22" s="17"/>
      <c r="H22" s="38">
        <f>AVERAGEA(H21,H20,H19,H18,H14)</f>
        <v>33.134900000000002</v>
      </c>
      <c r="I22" s="17"/>
      <c r="J22" s="24">
        <f>(B22/B15-1)*100</f>
        <v>-4.0899380882279406</v>
      </c>
      <c r="K22" s="61"/>
      <c r="L22" s="23"/>
      <c r="M22" s="61"/>
      <c r="N22" s="23"/>
      <c r="O22" s="61"/>
      <c r="P22" s="150">
        <f>D22/H22</f>
        <v>6.8703391288339493</v>
      </c>
      <c r="Q22" s="151" t="s">
        <v>159</v>
      </c>
      <c r="R22" s="17"/>
      <c r="S22" s="17"/>
      <c r="T22" s="17"/>
      <c r="U22" s="17"/>
      <c r="V22" s="17"/>
      <c r="W22" s="17"/>
      <c r="X22" s="44"/>
      <c r="Y22" s="61"/>
      <c r="Z22" s="17"/>
      <c r="AA22" s="17"/>
      <c r="AB22" s="17"/>
      <c r="AC22" s="17"/>
      <c r="AD22" s="44"/>
      <c r="AE22" s="61"/>
      <c r="AF22" s="60"/>
      <c r="AG22" s="17"/>
      <c r="AH22" s="17"/>
      <c r="AI22" s="17"/>
      <c r="AJ22" s="17"/>
      <c r="AK22" s="492">
        <f>(D22+'yrP&amp;L'!$C$16)/H22</f>
        <v>6.8703391288339493</v>
      </c>
      <c r="AL22" s="493" t="s">
        <v>159</v>
      </c>
      <c r="AM22" s="17"/>
      <c r="AN22" s="17"/>
    </row>
    <row r="23" spans="1:40" ht="12.75" hidden="1" outlineLevel="1">
      <c r="A23" s="20"/>
      <c r="B23" s="20"/>
      <c r="C23" s="20"/>
      <c r="D23" s="21"/>
      <c r="E23" s="17"/>
      <c r="F23" s="17"/>
      <c r="G23" s="17"/>
      <c r="H23" s="21"/>
      <c r="I23" s="17"/>
      <c r="J23" s="23"/>
      <c r="K23" s="61"/>
      <c r="L23" s="23"/>
      <c r="M23" s="61"/>
      <c r="N23" s="23"/>
      <c r="O23" s="61"/>
      <c r="P23" s="153"/>
      <c r="Q23" s="49"/>
      <c r="R23" s="17"/>
      <c r="S23" s="17"/>
      <c r="T23" s="17"/>
      <c r="U23" s="17"/>
      <c r="V23" s="17"/>
      <c r="W23" s="17"/>
      <c r="X23" s="44"/>
      <c r="Y23" s="61"/>
      <c r="Z23" s="17"/>
      <c r="AA23" s="17"/>
      <c r="AB23" s="17"/>
      <c r="AC23" s="17"/>
      <c r="AD23" s="44"/>
      <c r="AE23" s="61"/>
      <c r="AF23" s="17"/>
      <c r="AG23" s="17"/>
      <c r="AH23" s="17"/>
      <c r="AI23" s="17"/>
      <c r="AJ23" s="17"/>
      <c r="AK23" s="487"/>
      <c r="AL23" s="487"/>
      <c r="AM23" s="17"/>
      <c r="AN23" s="17"/>
    </row>
    <row r="24" spans="1:40" ht="12.75" hidden="1" outlineLevel="1" collapsed="1">
      <c r="A24" s="152" t="s">
        <v>153</v>
      </c>
      <c r="B24" s="152"/>
      <c r="C24" s="152"/>
      <c r="D24" s="144"/>
      <c r="E24" s="37"/>
      <c r="F24" s="37"/>
      <c r="G24" s="37"/>
      <c r="H24" s="144"/>
      <c r="I24" s="37"/>
      <c r="J24" s="145"/>
      <c r="K24" s="61"/>
      <c r="L24" s="37"/>
      <c r="M24" s="61"/>
      <c r="N24" s="37"/>
      <c r="O24" s="61"/>
      <c r="P24" s="146"/>
      <c r="Q24" s="147"/>
      <c r="R24" s="37"/>
      <c r="S24" s="37"/>
      <c r="T24" s="37"/>
      <c r="U24" s="37"/>
      <c r="V24" s="37"/>
      <c r="W24" s="37"/>
      <c r="X24" s="147"/>
      <c r="Y24" s="61"/>
      <c r="Z24" s="37"/>
      <c r="AA24" s="37"/>
      <c r="AB24" s="37"/>
      <c r="AC24" s="37"/>
      <c r="AD24" s="147"/>
      <c r="AE24" s="61"/>
      <c r="AF24" s="17"/>
      <c r="AG24" s="17"/>
      <c r="AH24" s="17"/>
      <c r="AI24" s="17"/>
      <c r="AJ24" s="17"/>
      <c r="AK24" s="487"/>
      <c r="AL24" s="487"/>
      <c r="AM24" s="17"/>
      <c r="AN24" s="17"/>
    </row>
    <row r="25" spans="1:40" ht="12.75" hidden="1" outlineLevel="1">
      <c r="A25" s="20" t="s">
        <v>734</v>
      </c>
      <c r="B25" s="290">
        <f>+'qtrP&amp;L'!K10</f>
        <v>60.951999999999998</v>
      </c>
      <c r="C25" s="20"/>
      <c r="D25" s="38">
        <f>'qtrP&amp;L'!K20</f>
        <v>46.698999999999998</v>
      </c>
      <c r="E25" s="17"/>
      <c r="F25" s="83">
        <v>35.485999999999997</v>
      </c>
      <c r="G25" s="17"/>
      <c r="H25" s="38">
        <f>(F21+F25)/2</f>
        <v>31.301499999999997</v>
      </c>
      <c r="I25" s="17"/>
      <c r="J25" s="24">
        <f>(B25/B18-1)*100</f>
        <v>12.0523567909405</v>
      </c>
      <c r="K25" s="61" t="s">
        <v>697</v>
      </c>
      <c r="L25" s="23">
        <f>(F25/F18-1)*100</f>
        <v>45.024316482079342</v>
      </c>
      <c r="M25" s="61" t="s">
        <v>697</v>
      </c>
      <c r="N25" s="23">
        <f>(F25/F21-1)*100</f>
        <v>30.862558542611641</v>
      </c>
      <c r="O25" s="61" t="s">
        <v>697</v>
      </c>
      <c r="P25" s="143">
        <f>D25/H25</f>
        <v>1.4919093334185263</v>
      </c>
      <c r="Q25" s="20" t="s">
        <v>159</v>
      </c>
      <c r="R25" s="148">
        <f>D26/F25</f>
        <v>1.7219748633263827</v>
      </c>
      <c r="S25" s="17" t="s">
        <v>159</v>
      </c>
      <c r="T25" s="17">
        <v>309</v>
      </c>
      <c r="U25" s="17"/>
      <c r="V25" s="38">
        <f>F25/T25*1000</f>
        <v>114.84142394822005</v>
      </c>
      <c r="W25" s="22"/>
      <c r="X25" s="23">
        <f>(V25/V18-1)*100</f>
        <v>38.922969833965993</v>
      </c>
      <c r="Y25" s="61" t="s">
        <v>697</v>
      </c>
      <c r="Z25" s="223">
        <v>1.3089999999999999</v>
      </c>
      <c r="AA25" s="17"/>
      <c r="AB25" s="228">
        <f>F25/Z25</f>
        <v>27.109243697478991</v>
      </c>
      <c r="AC25" s="22"/>
      <c r="AD25" s="23">
        <f>(AB25/AB18-1)*100</f>
        <v>31.373861146894466</v>
      </c>
      <c r="AE25" s="61" t="s">
        <v>697</v>
      </c>
      <c r="AF25" s="17">
        <f>H25/(D25/(365/4))</f>
        <v>61.163234223430898</v>
      </c>
      <c r="AG25" s="17"/>
      <c r="AH25" s="17">
        <f>F25/(D26/(365/4))</f>
        <v>52.991482014859415</v>
      </c>
      <c r="AI25" s="17"/>
      <c r="AJ25" s="17"/>
      <c r="AK25" s="490">
        <f>((D25+('yrP&amp;L'!$D$16/4)))/H25</f>
        <v>1.4919093334185263</v>
      </c>
      <c r="AL25" s="491" t="s">
        <v>159</v>
      </c>
      <c r="AM25" s="17"/>
      <c r="AN25" s="17"/>
    </row>
    <row r="26" spans="1:40" ht="12.75" hidden="1" outlineLevel="1">
      <c r="A26" s="20" t="s">
        <v>735</v>
      </c>
      <c r="B26" s="484">
        <f>+'qtrP&amp;L'!K11</f>
        <v>86.159000000000006</v>
      </c>
      <c r="C26" s="20"/>
      <c r="D26" s="23">
        <f>'qtrP&amp;L'!K21</f>
        <v>61.106000000000009</v>
      </c>
      <c r="E26" s="17"/>
      <c r="F26" s="59">
        <v>41.741</v>
      </c>
      <c r="G26" s="17"/>
      <c r="H26" s="25">
        <f>AVERAGEA(F25:F26)</f>
        <v>38.613500000000002</v>
      </c>
      <c r="I26" s="17"/>
      <c r="J26" s="24">
        <f>(B26/B19-1)*100</f>
        <v>22.634043582845841</v>
      </c>
      <c r="K26" s="61"/>
      <c r="L26" s="23">
        <f>(F26/F19-1)*100</f>
        <v>21.591074601648753</v>
      </c>
      <c r="M26" s="61"/>
      <c r="N26" s="23">
        <f>(F26/F25-1)*100</f>
        <v>17.626669672546935</v>
      </c>
      <c r="O26" s="61"/>
      <c r="P26" s="143">
        <f>D26/H26</f>
        <v>1.5825035285586648</v>
      </c>
      <c r="Q26" s="20"/>
      <c r="R26" s="148">
        <f>D27/F26</f>
        <v>1.5871205768908265</v>
      </c>
      <c r="S26" s="17"/>
      <c r="T26" s="17">
        <v>315</v>
      </c>
      <c r="U26" s="17"/>
      <c r="V26" s="23">
        <f>F26/T26*1000</f>
        <v>132.51111111111112</v>
      </c>
      <c r="W26" s="17"/>
      <c r="X26" s="23">
        <f>(V26/V19-1)*100</f>
        <v>15.415020018707871</v>
      </c>
      <c r="Y26" s="61"/>
      <c r="Z26" s="223">
        <v>1.324489</v>
      </c>
      <c r="AA26" s="17"/>
      <c r="AB26" s="227">
        <f>F26/Z26</f>
        <v>31.514795517365563</v>
      </c>
      <c r="AC26" s="17"/>
      <c r="AD26" s="23">
        <f>(AB26/AB19-1)*100</f>
        <v>11.49328575567996</v>
      </c>
      <c r="AE26" s="61"/>
      <c r="AF26" s="17">
        <f>H26/(D26/(365/4))</f>
        <v>57.661798759532616</v>
      </c>
      <c r="AG26" s="17"/>
      <c r="AH26" s="17">
        <f>F26/(D27/(365/4))</f>
        <v>57.49405642434489</v>
      </c>
      <c r="AI26" s="17"/>
      <c r="AJ26" s="17"/>
      <c r="AK26" s="490">
        <f>((D26+('yrP&amp;L'!$D$16/4)))/H26</f>
        <v>1.5825035285586648</v>
      </c>
      <c r="AL26" s="491"/>
      <c r="AM26" s="17"/>
      <c r="AN26" s="17"/>
    </row>
    <row r="27" spans="1:40" ht="12.75" hidden="1" outlineLevel="1">
      <c r="A27" s="20" t="s">
        <v>736</v>
      </c>
      <c r="B27" s="484">
        <f>+'qtrP&amp;L'!K12</f>
        <v>104.902</v>
      </c>
      <c r="C27" s="20"/>
      <c r="D27" s="23">
        <f>'qtrP&amp;L'!K22</f>
        <v>66.24799999999999</v>
      </c>
      <c r="E27" s="17"/>
      <c r="F27" s="59">
        <v>58.912999999999997</v>
      </c>
      <c r="G27" s="17"/>
      <c r="H27" s="25">
        <f>AVERAGEA(F26:F27)</f>
        <v>50.326999999999998</v>
      </c>
      <c r="I27" s="17"/>
      <c r="J27" s="24">
        <f>(B27/B20-1)*100</f>
        <v>33.046698627704643</v>
      </c>
      <c r="K27" s="61"/>
      <c r="L27" s="23">
        <f>(F27/F20-1)*100</f>
        <v>1.1781475947584497</v>
      </c>
      <c r="M27" s="61"/>
      <c r="N27" s="23">
        <f>(F27/F26-1)*100</f>
        <v>41.13940729738146</v>
      </c>
      <c r="O27" s="61"/>
      <c r="P27" s="143">
        <f>D27/H27</f>
        <v>1.3163510640411706</v>
      </c>
      <c r="Q27" s="20"/>
      <c r="R27" s="148">
        <f>D28/F27</f>
        <v>1.607336241576562</v>
      </c>
      <c r="S27" s="17"/>
      <c r="T27" s="17">
        <v>332</v>
      </c>
      <c r="U27" s="17"/>
      <c r="V27" s="23">
        <f>F27/T27*1000</f>
        <v>177.44879518072287</v>
      </c>
      <c r="W27" s="17"/>
      <c r="X27" s="23">
        <f>(V27/V20-1)*100</f>
        <v>-4.6121680808452137</v>
      </c>
      <c r="Y27" s="61"/>
      <c r="Z27" s="223">
        <v>1.3860479999999999</v>
      </c>
      <c r="AA27" s="17"/>
      <c r="AB27" s="227">
        <f>F27/Z27</f>
        <v>42.504299995382553</v>
      </c>
      <c r="AC27" s="17"/>
      <c r="AD27" s="23">
        <f>(AB27/AB20-1)*100</f>
        <v>-9.169624136303522</v>
      </c>
      <c r="AE27" s="61"/>
      <c r="AF27" s="17">
        <f>H27/(D27/(365/4))</f>
        <v>69.320413446443666</v>
      </c>
      <c r="AG27" s="17"/>
      <c r="AH27" s="17">
        <f>F27/(D28/(365/4))</f>
        <v>56.770946638083075</v>
      </c>
      <c r="AI27" s="17"/>
      <c r="AJ27" s="17"/>
      <c r="AK27" s="490">
        <f>((D27+('yrP&amp;L'!$D$16/4)))/H27</f>
        <v>1.3163510640411706</v>
      </c>
      <c r="AL27" s="491"/>
      <c r="AM27" s="17"/>
      <c r="AN27" s="17"/>
    </row>
    <row r="28" spans="1:40" ht="12.75" hidden="1" outlineLevel="1">
      <c r="A28" s="20" t="s">
        <v>737</v>
      </c>
      <c r="B28" s="485">
        <f>+'qtrP&amp;L'!K13</f>
        <v>153.69999999999999</v>
      </c>
      <c r="C28" s="20"/>
      <c r="D28" s="35">
        <f>'qtrP&amp;L'!K23</f>
        <v>94.692999999999984</v>
      </c>
      <c r="E28" s="17"/>
      <c r="F28" s="59">
        <v>36.277999999999999</v>
      </c>
      <c r="G28" s="17"/>
      <c r="H28" s="35">
        <f>AVERAGEA(F27:F28)</f>
        <v>47.595500000000001</v>
      </c>
      <c r="I28" s="17"/>
      <c r="J28" s="82">
        <f>(B28/B21-1)*100</f>
        <v>25.055937512713065</v>
      </c>
      <c r="K28" s="61"/>
      <c r="L28" s="23">
        <f>(F28/F21-1)*100</f>
        <v>33.783235608658771</v>
      </c>
      <c r="M28" s="61"/>
      <c r="N28" s="23">
        <f>(F28/F27-1)*100</f>
        <v>-38.421061565359082</v>
      </c>
      <c r="O28" s="61"/>
      <c r="P28" s="149">
        <f>D28/H28</f>
        <v>1.9895368259604371</v>
      </c>
      <c r="Q28" s="20"/>
      <c r="R28" s="148">
        <f>D32/F28</f>
        <v>1.722173217928221</v>
      </c>
      <c r="S28" s="17"/>
      <c r="T28" s="17">
        <v>332</v>
      </c>
      <c r="U28" s="17"/>
      <c r="V28" s="23">
        <f>F28/T28*1000</f>
        <v>109.27108433734939</v>
      </c>
      <c r="W28" s="17"/>
      <c r="X28" s="23">
        <f>(V28/V21-1)*100</f>
        <v>22.097350570553044</v>
      </c>
      <c r="Y28" s="61"/>
      <c r="Z28" s="226">
        <f>yrSales!E34</f>
        <v>1.3933610000000001</v>
      </c>
      <c r="AA28" s="17"/>
      <c r="AB28" s="227">
        <f>F28/Z28</f>
        <v>26.036325116032383</v>
      </c>
      <c r="AC28" s="17"/>
      <c r="AD28" s="23">
        <f>(AB28/AB21-1)*100</f>
        <v>23.436395974927173</v>
      </c>
      <c r="AE28" s="61"/>
      <c r="AF28" s="17">
        <f>H28/(D28/(365/4))</f>
        <v>45.864946458555551</v>
      </c>
      <c r="AG28" s="17"/>
      <c r="AH28" s="17">
        <f>F28/(D32/(365/4))</f>
        <v>52.985378619331911</v>
      </c>
      <c r="AI28" s="17"/>
      <c r="AJ28" s="17"/>
      <c r="AK28" s="490">
        <f>((D28+('yrP&amp;L'!$D$16/4)))/H28</f>
        <v>1.9895368259604371</v>
      </c>
      <c r="AL28" s="491"/>
      <c r="AM28" s="17"/>
      <c r="AN28" s="17"/>
    </row>
    <row r="29" spans="1:40" ht="12.75" hidden="1" outlineLevel="1">
      <c r="A29" s="20" t="s">
        <v>762</v>
      </c>
      <c r="B29" s="290">
        <f>+'qtrP&amp;L'!K14</f>
        <v>405.71299999999997</v>
      </c>
      <c r="C29" s="20"/>
      <c r="D29" s="38">
        <f>'qtrP&amp;L'!K24</f>
        <v>268.74599999999998</v>
      </c>
      <c r="E29" s="17"/>
      <c r="F29" s="17"/>
      <c r="G29" s="17"/>
      <c r="H29" s="38">
        <f>AVERAGEA(H28,H27,H26,H25,H21)</f>
        <v>42.101900000000001</v>
      </c>
      <c r="I29" s="17"/>
      <c r="J29" s="24">
        <f>(B29/B22-1)*100</f>
        <v>24.297802723005834</v>
      </c>
      <c r="K29" s="61"/>
      <c r="L29" s="23"/>
      <c r="M29" s="61"/>
      <c r="N29" s="23"/>
      <c r="O29" s="61"/>
      <c r="P29" s="150">
        <f>D29/H29</f>
        <v>6.3832273602854022</v>
      </c>
      <c r="Q29" s="151" t="s">
        <v>159</v>
      </c>
      <c r="R29" s="17"/>
      <c r="S29" s="17"/>
      <c r="T29" s="17"/>
      <c r="U29" s="17"/>
      <c r="V29" s="17"/>
      <c r="W29" s="17"/>
      <c r="X29" s="44"/>
      <c r="Y29" s="61"/>
      <c r="Z29" s="17"/>
      <c r="AA29" s="17"/>
      <c r="AB29" s="17"/>
      <c r="AC29" s="17"/>
      <c r="AD29" s="44"/>
      <c r="AE29" s="61"/>
      <c r="AF29" s="60"/>
      <c r="AG29" s="17"/>
      <c r="AH29" s="17"/>
      <c r="AI29" s="17"/>
      <c r="AJ29" s="17"/>
      <c r="AK29" s="492">
        <f>(D29+'yrP&amp;L'!$D$16)/H29</f>
        <v>6.3832273602854022</v>
      </c>
      <c r="AL29" s="493" t="s">
        <v>159</v>
      </c>
      <c r="AM29" s="17"/>
      <c r="AN29" s="17"/>
    </row>
    <row r="30" spans="1:40" ht="12.75" hidden="1" outlineLevel="1">
      <c r="A30" s="17"/>
      <c r="B30" s="17"/>
      <c r="C30" s="17"/>
      <c r="D30" s="25"/>
      <c r="E30" s="17"/>
      <c r="F30" s="17"/>
      <c r="G30" s="17"/>
      <c r="H30" s="25"/>
      <c r="I30" s="17"/>
      <c r="J30" s="23"/>
      <c r="K30" s="61"/>
      <c r="L30" s="17"/>
      <c r="M30" s="61"/>
      <c r="N30" s="17"/>
      <c r="O30" s="61"/>
      <c r="P30" s="17"/>
      <c r="Q30" s="17"/>
      <c r="R30" s="17"/>
      <c r="S30" s="17"/>
      <c r="T30" s="17"/>
      <c r="U30" s="17"/>
      <c r="V30" s="17"/>
      <c r="W30" s="17"/>
      <c r="X30" s="44"/>
      <c r="Y30" s="61"/>
      <c r="Z30" s="17"/>
      <c r="AA30" s="17"/>
      <c r="AB30" s="17"/>
      <c r="AC30" s="17"/>
      <c r="AD30" s="44"/>
      <c r="AE30" s="61"/>
      <c r="AF30" s="60"/>
      <c r="AG30" s="17"/>
      <c r="AH30" s="17"/>
      <c r="AI30" s="17"/>
      <c r="AJ30" s="17"/>
      <c r="AK30" s="487"/>
      <c r="AL30" s="487"/>
      <c r="AM30" s="17"/>
      <c r="AN30" s="17"/>
    </row>
    <row r="31" spans="1:40" ht="12.75" hidden="1" outlineLevel="1">
      <c r="A31" s="152" t="s">
        <v>154</v>
      </c>
      <c r="B31" s="152"/>
      <c r="C31" s="152"/>
      <c r="D31" s="144"/>
      <c r="E31" s="37"/>
      <c r="F31" s="37"/>
      <c r="G31" s="37"/>
      <c r="H31" s="144"/>
      <c r="I31" s="37"/>
      <c r="J31" s="145"/>
      <c r="K31" s="61"/>
      <c r="L31" s="37"/>
      <c r="M31" s="61"/>
      <c r="N31" s="37"/>
      <c r="O31" s="61"/>
      <c r="P31" s="146"/>
      <c r="Q31" s="147"/>
      <c r="R31" s="37"/>
      <c r="S31" s="37"/>
      <c r="T31" s="37"/>
      <c r="U31" s="37"/>
      <c r="V31" s="37"/>
      <c r="W31" s="37"/>
      <c r="X31" s="147"/>
      <c r="Y31" s="61"/>
      <c r="Z31" s="37"/>
      <c r="AA31" s="37"/>
      <c r="AB31" s="37"/>
      <c r="AC31" s="37"/>
      <c r="AD31" s="147"/>
      <c r="AE31" s="61"/>
      <c r="AF31" s="17"/>
      <c r="AG31" s="17"/>
      <c r="AH31" s="17"/>
      <c r="AI31" s="17"/>
      <c r="AJ31" s="17"/>
      <c r="AK31" s="487"/>
      <c r="AL31" s="487"/>
      <c r="AM31" s="17"/>
      <c r="AN31" s="17"/>
    </row>
    <row r="32" spans="1:40" ht="12.75" hidden="1" outlineLevel="1">
      <c r="A32" s="20" t="s">
        <v>734</v>
      </c>
      <c r="B32" s="290">
        <f>+'qtrP&amp;L'!O10</f>
        <v>99.694000000000003</v>
      </c>
      <c r="C32" s="20"/>
      <c r="D32" s="38">
        <f>'qtrP&amp;L'!O20</f>
        <v>62.476999999999997</v>
      </c>
      <c r="E32" s="17"/>
      <c r="F32" s="83">
        <v>41.366</v>
      </c>
      <c r="G32" s="17"/>
      <c r="H32" s="38">
        <f>(F28+F32)/2</f>
        <v>38.822000000000003</v>
      </c>
      <c r="I32" s="17"/>
      <c r="J32" s="24">
        <f>(B32/B25-1)*100</f>
        <v>63.561491009318829</v>
      </c>
      <c r="K32" s="61" t="s">
        <v>697</v>
      </c>
      <c r="L32" s="23">
        <f>(F32/F25-1)*100</f>
        <v>16.569914896015337</v>
      </c>
      <c r="M32" s="61" t="s">
        <v>697</v>
      </c>
      <c r="N32" s="23">
        <f>(F32/F28-1)*100</f>
        <v>14.025028943161155</v>
      </c>
      <c r="O32" s="61" t="s">
        <v>697</v>
      </c>
      <c r="P32" s="143">
        <f>D32/H32</f>
        <v>1.6093194580392558</v>
      </c>
      <c r="Q32" s="20" t="s">
        <v>159</v>
      </c>
      <c r="R32" s="148">
        <f>D33/F32</f>
        <v>1.8534061789875744</v>
      </c>
      <c r="S32" s="17" t="s">
        <v>159</v>
      </c>
      <c r="T32" s="17">
        <f>qtrSales!I72</f>
        <v>336</v>
      </c>
      <c r="U32" s="17"/>
      <c r="V32" s="38">
        <f>F32/T32*1000</f>
        <v>123.11309523809524</v>
      </c>
      <c r="W32" s="22"/>
      <c r="X32" s="23">
        <f>(V32/V25-1)*100</f>
        <v>7.2026895918712475</v>
      </c>
      <c r="Y32" s="61" t="s">
        <v>697</v>
      </c>
      <c r="Z32" s="223">
        <v>1.413958</v>
      </c>
      <c r="AA32" s="17"/>
      <c r="AB32" s="228">
        <f>F32/Z32</f>
        <v>29.255465862493793</v>
      </c>
      <c r="AC32" s="22"/>
      <c r="AD32" s="23">
        <f>(AB32/AB25-1)*100</f>
        <v>7.9169385504265888</v>
      </c>
      <c r="AE32" s="61" t="s">
        <v>697</v>
      </c>
      <c r="AF32" s="17">
        <f>H32/(D32/(365/4))</f>
        <v>56.700985962834324</v>
      </c>
      <c r="AG32" s="17"/>
      <c r="AH32" s="17">
        <f>F32/(D33/(365/4))</f>
        <v>49.233676370845721</v>
      </c>
      <c r="AI32" s="17"/>
      <c r="AJ32" s="17"/>
      <c r="AK32" s="490">
        <f>((D32-('yrP&amp;L'!$E$16/4)))/H32</f>
        <v>1.1098816392766986</v>
      </c>
      <c r="AL32" s="491" t="s">
        <v>159</v>
      </c>
      <c r="AM32" s="17"/>
      <c r="AN32" s="17"/>
    </row>
    <row r="33" spans="1:40" ht="12.75" hidden="1" outlineLevel="1">
      <c r="A33" s="20" t="s">
        <v>735</v>
      </c>
      <c r="B33" s="484">
        <f>+'qtrP&amp;L'!O11</f>
        <v>125.73099999999999</v>
      </c>
      <c r="C33" s="20"/>
      <c r="D33" s="23">
        <f>'qtrP&amp;L'!O21</f>
        <v>76.668000000000006</v>
      </c>
      <c r="E33" s="17"/>
      <c r="F33" s="59">
        <v>54.322000000000003</v>
      </c>
      <c r="G33" s="17"/>
      <c r="H33" s="25">
        <f>AVERAGEA(F32:F33)</f>
        <v>47.844000000000001</v>
      </c>
      <c r="I33" s="17"/>
      <c r="J33" s="24">
        <f>(B33/B26-1)*100</f>
        <v>45.92903817360925</v>
      </c>
      <c r="K33" s="61"/>
      <c r="L33" s="23">
        <f>(F33/F26-1)*100</f>
        <v>30.140629117654115</v>
      </c>
      <c r="M33" s="61"/>
      <c r="N33" s="23">
        <f>(F33/F32-1)*100</f>
        <v>31.32040806459413</v>
      </c>
      <c r="O33" s="61"/>
      <c r="P33" s="143">
        <f>D33/H33</f>
        <v>1.6024579884625032</v>
      </c>
      <c r="Q33" s="20"/>
      <c r="R33" s="148">
        <f>D34/F33</f>
        <v>1.6318986782519052</v>
      </c>
      <c r="S33" s="17"/>
      <c r="T33" s="17">
        <f>qtrSales!I73</f>
        <v>347</v>
      </c>
      <c r="U33" s="17"/>
      <c r="V33" s="23">
        <f>F33/T33*1000</f>
        <v>156.54755043227667</v>
      </c>
      <c r="W33" s="17"/>
      <c r="X33" s="23">
        <f>(V33/V26-1)*100</f>
        <v>18.139187815737866</v>
      </c>
      <c r="Y33" s="61"/>
      <c r="Z33" s="223">
        <v>1.462108</v>
      </c>
      <c r="AA33" s="17"/>
      <c r="AB33" s="227">
        <f>F33/Z33</f>
        <v>37.153206192702591</v>
      </c>
      <c r="AC33" s="17"/>
      <c r="AD33" s="23">
        <f>(AB33/AB26-1)*100</f>
        <v>17.891312898508581</v>
      </c>
      <c r="AE33" s="61"/>
      <c r="AF33" s="17">
        <f>H33/(D33/(365/4))</f>
        <v>56.943770543120984</v>
      </c>
      <c r="AG33" s="17"/>
      <c r="AH33" s="17">
        <f>F33/(D34/(365/4))</f>
        <v>55.916461736305394</v>
      </c>
      <c r="AI33" s="17"/>
      <c r="AJ33" s="17"/>
      <c r="AK33" s="490">
        <f>((D33-('yrP&amp;L'!$E$16/4)))/H33</f>
        <v>1.1971997533651033</v>
      </c>
      <c r="AL33" s="491"/>
      <c r="AM33" s="17"/>
      <c r="AN33" s="17"/>
    </row>
    <row r="34" spans="1:40" ht="12.75" hidden="1" outlineLevel="1">
      <c r="A34" s="20" t="s">
        <v>736</v>
      </c>
      <c r="B34" s="484">
        <f>+'qtrP&amp;L'!O12</f>
        <v>149.06800000000001</v>
      </c>
      <c r="C34" s="20"/>
      <c r="D34" s="23">
        <f>'qtrP&amp;L'!O22</f>
        <v>88.647999999999996</v>
      </c>
      <c r="E34" s="17"/>
      <c r="F34" s="59">
        <v>74.933999999999997</v>
      </c>
      <c r="G34" s="17"/>
      <c r="H34" s="25">
        <f>AVERAGEA(F33:F34)</f>
        <v>64.628</v>
      </c>
      <c r="I34" s="17"/>
      <c r="J34" s="24">
        <f>(B34/B27-1)*100</f>
        <v>42.10215248517666</v>
      </c>
      <c r="K34" s="61"/>
      <c r="L34" s="23">
        <f>(F34/F27-1)*100</f>
        <v>27.194337412795132</v>
      </c>
      <c r="M34" s="61"/>
      <c r="N34" s="23">
        <f>(F34/F33-1)*100</f>
        <v>37.944111041566941</v>
      </c>
      <c r="O34" s="61"/>
      <c r="P34" s="143">
        <f>D34/H34</f>
        <v>1.3716655319675681</v>
      </c>
      <c r="Q34" s="20"/>
      <c r="R34" s="148">
        <f>D35/F34</f>
        <v>1.6720847679291109</v>
      </c>
      <c r="S34" s="17"/>
      <c r="T34" s="17">
        <f>qtrSales!I74</f>
        <v>372</v>
      </c>
      <c r="U34" s="17"/>
      <c r="V34" s="23">
        <f>F34/T34*1000</f>
        <v>201.43548387096774</v>
      </c>
      <c r="W34" s="17"/>
      <c r="X34" s="23">
        <f>(V34/V27-1)*100</f>
        <v>13.51752693830106</v>
      </c>
      <c r="Y34" s="61"/>
      <c r="Z34" s="223">
        <v>1.566956</v>
      </c>
      <c r="AA34" s="17"/>
      <c r="AB34" s="227">
        <f>F34/Z34</f>
        <v>47.821381072601909</v>
      </c>
      <c r="AC34" s="17"/>
      <c r="AD34" s="23">
        <f>(AB34/AB27-1)*100</f>
        <v>12.509513338172784</v>
      </c>
      <c r="AE34" s="61"/>
      <c r="AF34" s="17">
        <f>H34/(D34/(365/4))</f>
        <v>66.524963902174903</v>
      </c>
      <c r="AG34" s="17"/>
      <c r="AH34" s="17">
        <f>F34/(D35/(365/4))</f>
        <v>54.572592101902693</v>
      </c>
      <c r="AI34" s="17"/>
      <c r="AJ34" s="17"/>
      <c r="AK34" s="490">
        <f>((D34-('yrP&amp;L'!$E$16/4)))/H34</f>
        <v>1.0716535402611871</v>
      </c>
      <c r="AL34" s="491"/>
      <c r="AM34" s="17"/>
      <c r="AN34" s="17"/>
    </row>
    <row r="35" spans="1:40" ht="12.75" hidden="1" outlineLevel="1">
      <c r="A35" s="20" t="s">
        <v>737</v>
      </c>
      <c r="B35" s="485">
        <f>+'qtrP&amp;L'!O13</f>
        <v>213.107</v>
      </c>
      <c r="C35" s="20"/>
      <c r="D35" s="35">
        <f>'qtrP&amp;L'!O23</f>
        <v>125.29599999999999</v>
      </c>
      <c r="E35" s="17"/>
      <c r="F35" s="59">
        <v>49.688000000000002</v>
      </c>
      <c r="G35" s="17"/>
      <c r="H35" s="35">
        <f>AVERAGEA(F34:F35)</f>
        <v>62.311</v>
      </c>
      <c r="I35" s="17"/>
      <c r="J35" s="82">
        <f>(B35/B28-1)*100</f>
        <v>38.651268705270027</v>
      </c>
      <c r="K35" s="61"/>
      <c r="L35" s="23">
        <f>(F35/F28-1)*100</f>
        <v>36.964551518826852</v>
      </c>
      <c r="M35" s="61"/>
      <c r="N35" s="23">
        <f>(F35/F34-1)*100</f>
        <v>-33.690981396962663</v>
      </c>
      <c r="O35" s="61"/>
      <c r="P35" s="149">
        <f>D35/H35</f>
        <v>2.0108167097302241</v>
      </c>
      <c r="Q35" s="20"/>
      <c r="R35" s="148">
        <f>D39/F35</f>
        <v>1.7383875382386087</v>
      </c>
      <c r="S35" s="17"/>
      <c r="T35" s="17">
        <f>qtrSales!I75</f>
        <v>386</v>
      </c>
      <c r="U35" s="17"/>
      <c r="V35" s="23">
        <f>F35/T35*1000</f>
        <v>128.72538860103629</v>
      </c>
      <c r="W35" s="17"/>
      <c r="X35" s="23">
        <f>(V35/V28-1)*100</f>
        <v>17.803707523965073</v>
      </c>
      <c r="Y35" s="61"/>
      <c r="Z35" s="226">
        <f>yrSales!F34</f>
        <v>1.624933</v>
      </c>
      <c r="AA35" s="17"/>
      <c r="AB35" s="227">
        <f>F35/Z35</f>
        <v>30.578491543959046</v>
      </c>
      <c r="AC35" s="17"/>
      <c r="AD35" s="23">
        <f>(AB35/AB28-1)*100</f>
        <v>17.445497425939482</v>
      </c>
      <c r="AE35" s="61"/>
      <c r="AF35" s="17">
        <f>H35/(D35/(365/4))</f>
        <v>45.379571175456519</v>
      </c>
      <c r="AG35" s="17"/>
      <c r="AH35" s="17">
        <f>F35/(D39/(365/4))</f>
        <v>52.491172418583659</v>
      </c>
      <c r="AI35" s="17"/>
      <c r="AJ35" s="17"/>
      <c r="AK35" s="490">
        <f>((D35-('yrP&amp;L'!$E$16/4)))/H35</f>
        <v>1.6996489383896904</v>
      </c>
      <c r="AL35" s="491"/>
      <c r="AM35" s="17"/>
      <c r="AN35" s="17"/>
    </row>
    <row r="36" spans="1:40" ht="12.75" hidden="1" outlineLevel="1">
      <c r="A36" s="20" t="s">
        <v>762</v>
      </c>
      <c r="B36" s="290">
        <f>+'qtrP&amp;L'!O14</f>
        <v>587.6</v>
      </c>
      <c r="C36" s="20"/>
      <c r="D36" s="38">
        <f>'qtrP&amp;L'!O24</f>
        <v>353.089</v>
      </c>
      <c r="E36" s="17"/>
      <c r="F36" s="17"/>
      <c r="G36" s="17"/>
      <c r="H36" s="38">
        <f>AVERAGEA(H35,H34,H33,H32,H28)</f>
        <v>52.240099999999998</v>
      </c>
      <c r="I36" s="17"/>
      <c r="J36" s="24">
        <f>(B36/B29-1)*100</f>
        <v>44.831444888381711</v>
      </c>
      <c r="K36" s="61"/>
      <c r="L36" s="23"/>
      <c r="M36" s="61"/>
      <c r="N36" s="23"/>
      <c r="O36" s="61"/>
      <c r="P36" s="150">
        <f>D36/H36</f>
        <v>6.7589648564991265</v>
      </c>
      <c r="Q36" s="151" t="s">
        <v>159</v>
      </c>
      <c r="R36" s="17"/>
      <c r="S36" s="17"/>
      <c r="T36" s="17"/>
      <c r="U36" s="17"/>
      <c r="V36" s="17"/>
      <c r="W36" s="17"/>
      <c r="X36" s="44"/>
      <c r="Y36" s="61"/>
      <c r="Z36" s="17"/>
      <c r="AA36" s="17"/>
      <c r="AB36" s="17"/>
      <c r="AC36" s="17"/>
      <c r="AD36" s="44"/>
      <c r="AE36" s="61"/>
      <c r="AF36" s="60"/>
      <c r="AG36" s="17"/>
      <c r="AH36" s="17"/>
      <c r="AI36" s="17"/>
      <c r="AJ36" s="17"/>
      <c r="AK36" s="492">
        <f>(D36-'yrP&amp;L'!$E$16)/H36</f>
        <v>5.2743448040872813</v>
      </c>
      <c r="AL36" s="493" t="s">
        <v>159</v>
      </c>
      <c r="AM36" s="17"/>
      <c r="AN36" s="17"/>
    </row>
    <row r="37" spans="1:40" ht="12.75" hidden="1" outlineLevel="1">
      <c r="A37" s="20"/>
      <c r="B37" s="20"/>
      <c r="C37" s="20"/>
      <c r="D37" s="21"/>
      <c r="E37" s="17"/>
      <c r="F37" s="17"/>
      <c r="G37" s="17"/>
      <c r="H37" s="21"/>
      <c r="I37" s="17"/>
      <c r="J37" s="23"/>
      <c r="K37" s="61"/>
      <c r="L37" s="23"/>
      <c r="M37" s="61"/>
      <c r="N37" s="23"/>
      <c r="O37" s="61"/>
      <c r="P37" s="153"/>
      <c r="Q37" s="49"/>
      <c r="R37" s="17"/>
      <c r="S37" s="17"/>
      <c r="T37" s="17"/>
      <c r="U37" s="17"/>
      <c r="V37" s="17"/>
      <c r="W37" s="17"/>
      <c r="X37" s="44"/>
      <c r="Y37" s="61"/>
      <c r="Z37" s="17"/>
      <c r="AA37" s="17"/>
      <c r="AB37" s="17"/>
      <c r="AC37" s="17"/>
      <c r="AD37" s="44"/>
      <c r="AE37" s="61"/>
      <c r="AF37" s="60"/>
      <c r="AG37" s="17"/>
      <c r="AH37" s="17"/>
      <c r="AI37" s="17"/>
      <c r="AJ37" s="17"/>
      <c r="AK37" s="487"/>
      <c r="AL37" s="487"/>
      <c r="AM37" s="17"/>
      <c r="AN37" s="17"/>
    </row>
    <row r="38" spans="1:40" ht="12.75" hidden="1" outlineLevel="1">
      <c r="A38" s="152" t="s">
        <v>155</v>
      </c>
      <c r="B38" s="152"/>
      <c r="C38" s="152"/>
      <c r="D38" s="144"/>
      <c r="E38" s="37"/>
      <c r="F38" s="37"/>
      <c r="G38" s="37"/>
      <c r="H38" s="144"/>
      <c r="I38" s="37"/>
      <c r="J38" s="145"/>
      <c r="K38" s="61"/>
      <c r="L38" s="37"/>
      <c r="M38" s="61"/>
      <c r="N38" s="37"/>
      <c r="O38" s="61"/>
      <c r="P38" s="146"/>
      <c r="Q38" s="147"/>
      <c r="R38" s="37"/>
      <c r="S38" s="37"/>
      <c r="T38" s="37"/>
      <c r="U38" s="37"/>
      <c r="V38" s="37"/>
      <c r="W38" s="37"/>
      <c r="X38" s="147"/>
      <c r="Y38" s="61"/>
      <c r="Z38" s="37"/>
      <c r="AA38" s="37"/>
      <c r="AB38" s="37"/>
      <c r="AC38" s="37"/>
      <c r="AD38" s="147"/>
      <c r="AE38" s="61"/>
      <c r="AF38" s="17"/>
      <c r="AG38" s="17"/>
      <c r="AH38" s="17"/>
      <c r="AI38" s="17"/>
      <c r="AJ38" s="17"/>
      <c r="AK38" s="487"/>
      <c r="AL38" s="487"/>
      <c r="AM38" s="17"/>
      <c r="AN38" s="17"/>
    </row>
    <row r="39" spans="1:40" ht="12.75" hidden="1" outlineLevel="1">
      <c r="A39" s="20" t="s">
        <v>734</v>
      </c>
      <c r="B39" s="290">
        <f>+'qtrP&amp;L'!S10</f>
        <v>145.404</v>
      </c>
      <c r="C39" s="20"/>
      <c r="D39" s="38">
        <f>'qtrP&amp;L'!S20</f>
        <v>86.376999999999995</v>
      </c>
      <c r="E39" s="17"/>
      <c r="F39" s="83">
        <v>56.587000000000003</v>
      </c>
      <c r="G39" s="17"/>
      <c r="H39" s="38">
        <f>(F35+F39)/2</f>
        <v>53.137500000000003</v>
      </c>
      <c r="I39" s="17"/>
      <c r="J39" s="24">
        <f>(B39/B32-1)*100</f>
        <v>45.850301923887081</v>
      </c>
      <c r="K39" s="61" t="s">
        <v>697</v>
      </c>
      <c r="L39" s="23">
        <f>(F39/F32-1)*100</f>
        <v>36.795919354058903</v>
      </c>
      <c r="M39" s="61" t="s">
        <v>697</v>
      </c>
      <c r="N39" s="23">
        <f>(F39/F35-1)*100</f>
        <v>13.884640154564476</v>
      </c>
      <c r="O39" s="61" t="s">
        <v>697</v>
      </c>
      <c r="P39" s="143">
        <f>D39/H39</f>
        <v>1.625537520583392</v>
      </c>
      <c r="Q39" s="20" t="s">
        <v>159</v>
      </c>
      <c r="R39" s="148">
        <f>D40/F39</f>
        <v>1.8730980613921924</v>
      </c>
      <c r="S39" s="17" t="s">
        <v>159</v>
      </c>
      <c r="T39" s="17">
        <f>qtrSales!I79</f>
        <v>401</v>
      </c>
      <c r="U39" s="17"/>
      <c r="V39" s="38">
        <f>F39/T39*1000</f>
        <v>141.11471321695763</v>
      </c>
      <c r="W39" s="22"/>
      <c r="X39" s="23">
        <f>(V39/V32-1)*100</f>
        <v>14.62201721437355</v>
      </c>
      <c r="Y39" s="61" t="s">
        <v>697</v>
      </c>
      <c r="Z39" s="223">
        <v>1.6913149999999999</v>
      </c>
      <c r="AA39" s="17"/>
      <c r="AB39" s="228">
        <f>F39/Z39</f>
        <v>33.457398533094079</v>
      </c>
      <c r="AC39" s="22"/>
      <c r="AD39" s="23">
        <f>(AB39/AB32-1)*100</f>
        <v>14.362897826854514</v>
      </c>
      <c r="AE39" s="61" t="s">
        <v>697</v>
      </c>
      <c r="AF39" s="17">
        <f>H39/(D39/(365/4))</f>
        <v>56.13527762019983</v>
      </c>
      <c r="AG39" s="17"/>
      <c r="AH39" s="17">
        <f>F39/(D40/(365/4))</f>
        <v>48.716082665836424</v>
      </c>
      <c r="AI39" s="17"/>
      <c r="AJ39" s="17"/>
      <c r="AK39" s="490">
        <f>((D39-('yrP&amp;L'!$F$16/4)))/H39</f>
        <v>1.1535314043754408</v>
      </c>
      <c r="AL39" s="491" t="s">
        <v>159</v>
      </c>
      <c r="AM39" s="17"/>
      <c r="AN39" s="17"/>
    </row>
    <row r="40" spans="1:40" ht="12.75" hidden="1" outlineLevel="1">
      <c r="A40" s="20" t="s">
        <v>735</v>
      </c>
      <c r="B40" s="484">
        <f>+'qtrP&amp;L'!S11</f>
        <v>178.58199999999999</v>
      </c>
      <c r="C40" s="20"/>
      <c r="D40" s="23">
        <f>'qtrP&amp;L'!S21</f>
        <v>105.99299999999999</v>
      </c>
      <c r="E40" s="17"/>
      <c r="F40" s="59">
        <v>74.363</v>
      </c>
      <c r="G40" s="17"/>
      <c r="H40" s="25">
        <f>AVERAGEA(F39:F40)</f>
        <v>65.474999999999994</v>
      </c>
      <c r="I40" s="17"/>
      <c r="J40" s="24">
        <f>(B40/B33-1)*100</f>
        <v>42.034979440233514</v>
      </c>
      <c r="K40" s="61"/>
      <c r="L40" s="23">
        <f>(F40/F33-1)*100</f>
        <v>36.892971540075848</v>
      </c>
      <c r="M40" s="61"/>
      <c r="N40" s="23">
        <f>(F40/F39-1)*100</f>
        <v>31.413575556223151</v>
      </c>
      <c r="O40" s="61"/>
      <c r="P40" s="143">
        <f>D40/H40</f>
        <v>1.6188316151202751</v>
      </c>
      <c r="Q40" s="20"/>
      <c r="R40" s="148">
        <f>D41/F40</f>
        <v>1.7058079959119454</v>
      </c>
      <c r="S40" s="17"/>
      <c r="T40" s="17">
        <f>qtrSales!I80</f>
        <v>426</v>
      </c>
      <c r="U40" s="17"/>
      <c r="V40" s="23">
        <f>F40/T40*1000</f>
        <v>174.56103286384976</v>
      </c>
      <c r="W40" s="17"/>
      <c r="X40" s="23">
        <f>(V40/V33-1)*100</f>
        <v>11.506716254474924</v>
      </c>
      <c r="Y40" s="17"/>
      <c r="Z40" s="223">
        <v>1.8179380000000001</v>
      </c>
      <c r="AA40" s="17"/>
      <c r="AB40" s="227">
        <f>F40/Z40</f>
        <v>40.905135378654279</v>
      </c>
      <c r="AC40" s="17"/>
      <c r="AD40" s="23">
        <f>(AB40/AB33-1)*100</f>
        <v>10.098534071303433</v>
      </c>
      <c r="AE40" s="61"/>
      <c r="AF40" s="17">
        <f>H40/(D40/(365/4))</f>
        <v>56.367814383968749</v>
      </c>
      <c r="AG40" s="17"/>
      <c r="AH40" s="17">
        <f>F40/(D41/(365/4))</f>
        <v>53.493711026496072</v>
      </c>
      <c r="AI40" s="17"/>
      <c r="AJ40" s="17"/>
      <c r="AK40" s="490">
        <f>((D40-('yrP&amp;L'!$F$16/4)))/H40</f>
        <v>1.2357659411989308</v>
      </c>
      <c r="AL40" s="491"/>
      <c r="AM40" s="17"/>
      <c r="AN40" s="17"/>
    </row>
    <row r="41" spans="1:40" ht="12.75" hidden="1" outlineLevel="1">
      <c r="A41" s="20" t="s">
        <v>736</v>
      </c>
      <c r="B41" s="484">
        <f>+'qtrP&amp;L'!S12</f>
        <v>222.69300000000001</v>
      </c>
      <c r="C41" s="20"/>
      <c r="D41" s="23">
        <f>'qtrP&amp;L'!S22</f>
        <v>126.849</v>
      </c>
      <c r="E41" s="17"/>
      <c r="F41" s="59">
        <v>81.912000000000006</v>
      </c>
      <c r="G41" s="17"/>
      <c r="H41" s="25">
        <f>AVERAGEA(F40:F41)</f>
        <v>78.137500000000003</v>
      </c>
      <c r="I41" s="17"/>
      <c r="J41" s="24">
        <f>(B41/B34-1)*100</f>
        <v>49.390211178790878</v>
      </c>
      <c r="K41" s="61"/>
      <c r="L41" s="23">
        <f>(F41/F34-1)*100</f>
        <v>9.312194731363622</v>
      </c>
      <c r="M41" s="61"/>
      <c r="N41" s="23">
        <f>(F41/F40-1)*100</f>
        <v>10.151553864152874</v>
      </c>
      <c r="O41" s="61"/>
      <c r="P41" s="143">
        <f>D41/H41</f>
        <v>1.6234074548072308</v>
      </c>
      <c r="Q41" s="20"/>
      <c r="R41" s="148">
        <f>D42/F41</f>
        <v>1.9090853598984276</v>
      </c>
      <c r="S41" s="17"/>
      <c r="T41" s="17">
        <f>qtrSales!I81</f>
        <v>457</v>
      </c>
      <c r="U41" s="17"/>
      <c r="V41" s="23">
        <f>F41/T41*1000</f>
        <v>179.23851203501096</v>
      </c>
      <c r="W41" s="17"/>
      <c r="X41" s="23">
        <f>(V41/V34-1)*100</f>
        <v>-11.019395098321095</v>
      </c>
      <c r="Y41" s="17"/>
      <c r="Z41" s="223">
        <v>1.9903999999999999</v>
      </c>
      <c r="AA41" s="17"/>
      <c r="AB41" s="227">
        <f>F41/Z41</f>
        <v>41.153536977491967</v>
      </c>
      <c r="AC41" s="17"/>
      <c r="AD41" s="23">
        <f>(AB41/AB34-1)*100</f>
        <v>-13.943227789651013</v>
      </c>
      <c r="AE41" s="61"/>
      <c r="AF41" s="17">
        <f>H41/(D41/(365/4))</f>
        <v>56.208932470890588</v>
      </c>
      <c r="AG41" s="17"/>
      <c r="AH41" s="17">
        <f>F41/(D42/(365/4))</f>
        <v>47.797757982311978</v>
      </c>
      <c r="AI41" s="17"/>
      <c r="AJ41" s="17"/>
      <c r="AK41" s="490">
        <f>((D41-('yrP&amp;L'!$F$16/4)))/H41</f>
        <v>1.3024191329387298</v>
      </c>
      <c r="AL41" s="491"/>
      <c r="AM41" s="17"/>
      <c r="AN41" s="17"/>
    </row>
    <row r="42" spans="1:40" ht="12.75" hidden="1" outlineLevel="1">
      <c r="A42" s="20" t="s">
        <v>737</v>
      </c>
      <c r="B42" s="485">
        <f>+'qtrP&amp;L'!S13</f>
        <v>285.42500000000001</v>
      </c>
      <c r="C42" s="20"/>
      <c r="D42" s="35">
        <f>'qtrP&amp;L'!S23</f>
        <v>156.37700000000001</v>
      </c>
      <c r="E42" s="17"/>
      <c r="F42" s="59">
        <v>60.375</v>
      </c>
      <c r="G42" s="17"/>
      <c r="H42" s="35">
        <f>AVERAGEA(F41:F42)</f>
        <v>71.143500000000003</v>
      </c>
      <c r="I42" s="17"/>
      <c r="J42" s="82">
        <f>(B42/B35-1)*100</f>
        <v>33.935065483536441</v>
      </c>
      <c r="K42" s="61"/>
      <c r="L42" s="23">
        <f>(F42/F35-1)*100</f>
        <v>21.508211238125895</v>
      </c>
      <c r="M42" s="61"/>
      <c r="N42" s="23">
        <f>(F42/F41-1)*100</f>
        <v>-26.292850864342221</v>
      </c>
      <c r="O42" s="61"/>
      <c r="P42" s="143">
        <f>D42/H42</f>
        <v>2.1980504192231196</v>
      </c>
      <c r="Q42" s="20"/>
      <c r="R42" s="148">
        <f>D46/F42</f>
        <v>1.7878757763975155</v>
      </c>
      <c r="S42" s="17"/>
      <c r="T42" s="17">
        <f>qtrSales!I82</f>
        <v>466</v>
      </c>
      <c r="U42" s="17"/>
      <c r="V42" s="23">
        <f>F42/T42*1000</f>
        <v>129.56008583690988</v>
      </c>
      <c r="W42" s="17"/>
      <c r="X42" s="23">
        <f>(V42/V35-1)*100</f>
        <v>0.64843248479955484</v>
      </c>
      <c r="Y42" s="17"/>
      <c r="Z42" s="226">
        <f>yrSales!G34</f>
        <v>2.03938</v>
      </c>
      <c r="AA42" s="17"/>
      <c r="AB42" s="227">
        <f>F42/Z42</f>
        <v>29.604585707420885</v>
      </c>
      <c r="AC42" s="17"/>
      <c r="AD42" s="23">
        <f>(AB42/AB35-1)*100</f>
        <v>-3.1849374752122572</v>
      </c>
      <c r="AE42" s="61"/>
      <c r="AF42" s="17">
        <f>H42/(D42/(365/4))</f>
        <v>41.514061370917716</v>
      </c>
      <c r="AG42" s="17"/>
      <c r="AH42" s="17">
        <f>F42/(D46/(365/4))</f>
        <v>51.038221561379615</v>
      </c>
      <c r="AI42" s="17"/>
      <c r="AJ42" s="17"/>
      <c r="AK42" s="490">
        <f>((D42-('yrP&amp;L'!$F$16/4)))/H42</f>
        <v>1.8455062655056331</v>
      </c>
      <c r="AL42" s="491"/>
      <c r="AM42" s="17"/>
      <c r="AN42" s="17"/>
    </row>
    <row r="43" spans="1:40" ht="12.75" hidden="1" outlineLevel="1">
      <c r="A43" s="20" t="s">
        <v>762</v>
      </c>
      <c r="B43" s="290">
        <f>+'qtrP&amp;L'!S14</f>
        <v>832.10400000000004</v>
      </c>
      <c r="C43" s="20"/>
      <c r="D43" s="38">
        <f>'qtrP&amp;L'!S24</f>
        <v>475.596</v>
      </c>
      <c r="E43" s="17"/>
      <c r="F43" s="17"/>
      <c r="G43" s="17"/>
      <c r="H43" s="38">
        <f>AVERAGEA(H42,H41,H40,H39,H35)</f>
        <v>66.040899999999993</v>
      </c>
      <c r="I43" s="17"/>
      <c r="J43" s="24">
        <f>(B43/B36-1)*100</f>
        <v>41.610619469026553</v>
      </c>
      <c r="K43" s="61"/>
      <c r="L43" s="23"/>
      <c r="M43" s="61"/>
      <c r="N43" s="23"/>
      <c r="O43" s="61"/>
      <c r="P43" s="150">
        <f>D43/H43</f>
        <v>7.2015372292019046</v>
      </c>
      <c r="Q43" s="151" t="s">
        <v>159</v>
      </c>
      <c r="R43" s="17"/>
      <c r="S43" s="17"/>
      <c r="T43" s="17"/>
      <c r="U43" s="17"/>
      <c r="V43" s="17"/>
      <c r="W43" s="17"/>
      <c r="X43" s="44"/>
      <c r="Y43" s="17"/>
      <c r="Z43" s="17"/>
      <c r="AA43" s="17"/>
      <c r="AB43" s="17"/>
      <c r="AC43" s="17"/>
      <c r="AD43" s="44"/>
      <c r="AE43" s="61"/>
      <c r="AF43" s="60"/>
      <c r="AG43" s="17"/>
      <c r="AH43" s="17"/>
      <c r="AI43" s="17"/>
      <c r="AJ43" s="17"/>
      <c r="AK43" s="492">
        <f>(D43-'yrP&amp;L'!$F$16)/H43</f>
        <v>5.6824043887954288</v>
      </c>
      <c r="AL43" s="493" t="s">
        <v>159</v>
      </c>
      <c r="AM43" s="17"/>
      <c r="AN43" s="17"/>
    </row>
    <row r="44" spans="1:40" ht="12.75" hidden="1" outlineLevel="1">
      <c r="A44" s="20"/>
      <c r="B44" s="20"/>
      <c r="C44" s="20"/>
      <c r="D44" s="21"/>
      <c r="E44" s="17"/>
      <c r="F44" s="17"/>
      <c r="G44" s="17"/>
      <c r="H44" s="21"/>
      <c r="I44" s="17"/>
      <c r="J44" s="23"/>
      <c r="K44" s="61"/>
      <c r="L44" s="23"/>
      <c r="M44" s="61"/>
      <c r="N44" s="23"/>
      <c r="O44" s="61"/>
      <c r="P44" s="153"/>
      <c r="Q44" s="49"/>
      <c r="R44" s="17"/>
      <c r="S44" s="17"/>
      <c r="T44" s="17"/>
      <c r="U44" s="17"/>
      <c r="V44" s="17"/>
      <c r="W44" s="17"/>
      <c r="X44" s="44"/>
      <c r="Y44" s="61"/>
      <c r="Z44" s="17"/>
      <c r="AA44" s="17"/>
      <c r="AB44" s="17"/>
      <c r="AC44" s="17"/>
      <c r="AD44" s="44"/>
      <c r="AE44" s="61"/>
      <c r="AF44" s="60"/>
      <c r="AG44" s="17"/>
      <c r="AH44" s="17"/>
      <c r="AI44" s="17"/>
      <c r="AJ44" s="17"/>
      <c r="AK44" s="487"/>
      <c r="AL44" s="487"/>
      <c r="AM44" s="17"/>
      <c r="AN44" s="17"/>
    </row>
    <row r="45" spans="1:40" ht="12.75" hidden="1" outlineLevel="1">
      <c r="A45" s="152" t="s">
        <v>436</v>
      </c>
      <c r="B45" s="152"/>
      <c r="C45" s="152"/>
      <c r="D45" s="144"/>
      <c r="E45" s="37"/>
      <c r="F45" s="37"/>
      <c r="G45" s="37"/>
      <c r="H45" s="144"/>
      <c r="I45" s="37"/>
      <c r="J45" s="145"/>
      <c r="K45" s="61"/>
      <c r="L45" s="37"/>
      <c r="M45" s="61"/>
      <c r="N45" s="37"/>
      <c r="O45" s="61"/>
      <c r="P45" s="146"/>
      <c r="Q45" s="147"/>
      <c r="R45" s="37"/>
      <c r="S45" s="37"/>
      <c r="T45" s="37"/>
      <c r="U45" s="37"/>
      <c r="V45" s="37"/>
      <c r="W45" s="37"/>
      <c r="X45" s="147"/>
      <c r="Y45" s="61"/>
      <c r="Z45" s="37"/>
      <c r="AA45" s="37"/>
      <c r="AB45" s="37"/>
      <c r="AC45" s="37"/>
      <c r="AD45" s="147"/>
      <c r="AE45" s="61"/>
      <c r="AF45" s="17"/>
      <c r="AG45" s="17"/>
      <c r="AH45" s="17"/>
      <c r="AI45" s="17"/>
      <c r="AJ45" s="17"/>
      <c r="AK45" s="487"/>
      <c r="AL45" s="487"/>
      <c r="AM45" s="17"/>
      <c r="AN45" s="17"/>
    </row>
    <row r="46" spans="1:40" ht="12.75" hidden="1" outlineLevel="1">
      <c r="A46" s="20" t="s">
        <v>734</v>
      </c>
      <c r="B46" s="290">
        <f>+'qtrP&amp;L'!W10</f>
        <v>177.999</v>
      </c>
      <c r="C46" s="20"/>
      <c r="D46" s="38">
        <f>'qtrP&amp;L'!W20</f>
        <v>107.943</v>
      </c>
      <c r="E46" s="17"/>
      <c r="F46" s="83">
        <v>81.813000000000002</v>
      </c>
      <c r="G46" s="17"/>
      <c r="H46" s="38">
        <f>(F42+F46)/2</f>
        <v>71.093999999999994</v>
      </c>
      <c r="I46" s="17"/>
      <c r="J46" s="24">
        <f>(B46/B39-1)*100</f>
        <v>22.416852356193772</v>
      </c>
      <c r="K46" s="61" t="s">
        <v>697</v>
      </c>
      <c r="L46" s="23">
        <f>(F46/F39-1)*100</f>
        <v>44.579143619559261</v>
      </c>
      <c r="M46" s="61" t="s">
        <v>697</v>
      </c>
      <c r="N46" s="23">
        <f>(F46/F42-1)*100</f>
        <v>35.508074534161494</v>
      </c>
      <c r="O46" s="61" t="s">
        <v>697</v>
      </c>
      <c r="P46" s="143">
        <f>D46/H46</f>
        <v>1.5183137817537347</v>
      </c>
      <c r="Q46" s="20" t="s">
        <v>159</v>
      </c>
      <c r="R46" s="148">
        <f>D47/F46</f>
        <v>1.7770647696576338</v>
      </c>
      <c r="S46" s="17"/>
      <c r="T46" s="17">
        <f>qtrSales!I86</f>
        <v>491</v>
      </c>
      <c r="U46" s="17"/>
      <c r="V46" s="38">
        <f>F46/T46*1000</f>
        <v>166.62525458248473</v>
      </c>
      <c r="W46" s="22"/>
      <c r="X46" s="23">
        <f>(V46/V39-1)*100</f>
        <v>18.077874931656336</v>
      </c>
      <c r="Y46" s="61" t="s">
        <v>697</v>
      </c>
      <c r="Z46" s="223">
        <v>2.1938219999999999</v>
      </c>
      <c r="AA46" s="17"/>
      <c r="AB46" s="228">
        <f>F46/Z46</f>
        <v>37.292451256300652</v>
      </c>
      <c r="AC46" s="22"/>
      <c r="AD46" s="23">
        <f>(AB46/AB39-1)*100</f>
        <v>11.462495266669247</v>
      </c>
      <c r="AE46" s="61" t="s">
        <v>697</v>
      </c>
      <c r="AF46" s="17">
        <f>H46/(D46/(365/4))</f>
        <v>60.099566437842185</v>
      </c>
      <c r="AG46" s="17"/>
      <c r="AH46" s="17">
        <f>F46/(D47/(365/4))</f>
        <v>51.348719280265776</v>
      </c>
      <c r="AI46" s="17"/>
      <c r="AJ46" s="17"/>
      <c r="AK46" s="490">
        <f>((D46-('yrP&amp;L'!$G$16/4)))/H46</f>
        <v>1.0448068754043942</v>
      </c>
      <c r="AL46" s="491" t="s">
        <v>159</v>
      </c>
      <c r="AM46" s="17"/>
      <c r="AN46" s="17"/>
    </row>
    <row r="47" spans="1:40" ht="12.75" hidden="1" outlineLevel="1">
      <c r="A47" s="20" t="s">
        <v>735</v>
      </c>
      <c r="B47" s="484">
        <f>+'qtrP&amp;L'!W11</f>
        <v>208.977</v>
      </c>
      <c r="C47" s="20"/>
      <c r="D47" s="23">
        <f>'qtrP&amp;L'!W21</f>
        <v>145.387</v>
      </c>
      <c r="E47" s="17"/>
      <c r="F47" s="59">
        <v>88.56</v>
      </c>
      <c r="G47" s="17"/>
      <c r="H47" s="25">
        <f>AVERAGEA(F46:F47)</f>
        <v>85.186499999999995</v>
      </c>
      <c r="I47" s="17"/>
      <c r="J47" s="24">
        <f>(B47/B40-1)*100</f>
        <v>17.020192404609659</v>
      </c>
      <c r="K47" s="61"/>
      <c r="L47" s="23">
        <f>(F47/F40-1)*100</f>
        <v>19.091483667953145</v>
      </c>
      <c r="M47" s="61"/>
      <c r="N47" s="23">
        <f>(F47/F46-1)*100</f>
        <v>8.2468556341901653</v>
      </c>
      <c r="O47" s="61"/>
      <c r="P47" s="143">
        <f>D47/H47</f>
        <v>1.7066906141231299</v>
      </c>
      <c r="Q47" s="20"/>
      <c r="R47" s="148">
        <f>D48/F47</f>
        <v>1.8370370370370368</v>
      </c>
      <c r="S47" s="17"/>
      <c r="T47" s="17">
        <f>qtrSales!I87</f>
        <v>513</v>
      </c>
      <c r="U47" s="58"/>
      <c r="V47" s="23">
        <f>F47/T47*1000</f>
        <v>172.63157894736841</v>
      </c>
      <c r="W47" s="17"/>
      <c r="X47" s="23">
        <f>(V47/V40-1)*100</f>
        <v>-1.1053176558517785</v>
      </c>
      <c r="Y47" s="17"/>
      <c r="Z47" s="223">
        <v>2.3449749999999998</v>
      </c>
      <c r="AA47" s="212"/>
      <c r="AB47" s="227">
        <f>F47/Z47</f>
        <v>37.765861043294706</v>
      </c>
      <c r="AC47" s="17"/>
      <c r="AD47" s="23">
        <f>(AB47/AB40-1)*100</f>
        <v>-7.6745237640693738</v>
      </c>
      <c r="AE47" s="212"/>
      <c r="AF47" s="17">
        <f>H47/(D47/(365/4))</f>
        <v>53.466046654790311</v>
      </c>
      <c r="AG47" s="17"/>
      <c r="AH47" s="17">
        <f>F47/(D48/(365/4))</f>
        <v>49.672379032258071</v>
      </c>
      <c r="AI47" s="17"/>
      <c r="AJ47" s="17"/>
      <c r="AK47" s="490">
        <f>((D47-('yrP&amp;L'!$G$16/4)))/H47</f>
        <v>1.3115164961584289</v>
      </c>
      <c r="AL47" s="491"/>
      <c r="AM47" s="17"/>
      <c r="AN47" s="17"/>
    </row>
    <row r="48" spans="1:40" ht="12.75" hidden="1" outlineLevel="1">
      <c r="A48" s="20" t="s">
        <v>736</v>
      </c>
      <c r="B48" s="484">
        <f>+'qtrP&amp;L'!W12</f>
        <v>282.767</v>
      </c>
      <c r="C48" s="20"/>
      <c r="D48" s="23">
        <f>'qtrP&amp;L'!W22</f>
        <v>162.68799999999999</v>
      </c>
      <c r="E48" s="17"/>
      <c r="F48" s="59">
        <v>111.386</v>
      </c>
      <c r="G48" s="17"/>
      <c r="H48" s="25">
        <f>AVERAGEA(F47:F48)</f>
        <v>99.972999999999999</v>
      </c>
      <c r="I48" s="17"/>
      <c r="J48" s="24">
        <f>(B48/B41-1)*100</f>
        <v>26.976151024055529</v>
      </c>
      <c r="K48" s="61"/>
      <c r="L48" s="23">
        <f>(F48/F41-1)*100</f>
        <v>35.98251782400623</v>
      </c>
      <c r="M48" s="61"/>
      <c r="N48" s="23">
        <f>(F48/F47-1)*100</f>
        <v>25.774616079494116</v>
      </c>
      <c r="O48" s="61"/>
      <c r="P48" s="143">
        <f>D48/H48</f>
        <v>1.6273193762315825</v>
      </c>
      <c r="Q48" s="20"/>
      <c r="R48" s="148">
        <f>D49/F48</f>
        <v>2.1657479395974359</v>
      </c>
      <c r="S48" s="17"/>
      <c r="T48" s="17">
        <f>qtrSales!I88</f>
        <v>541</v>
      </c>
      <c r="U48" s="58"/>
      <c r="V48" s="23">
        <f>F48/T48*1000</f>
        <v>205.88909426987058</v>
      </c>
      <c r="W48" s="17"/>
      <c r="X48" s="23">
        <f>(V48/V41-1)*100</f>
        <v>14.868781230260343</v>
      </c>
      <c r="Y48" s="17"/>
      <c r="Z48" s="223">
        <v>2.5186959999999998</v>
      </c>
      <c r="AA48" s="212"/>
      <c r="AB48" s="227">
        <f>F48/Z48</f>
        <v>44.223677649069202</v>
      </c>
      <c r="AC48" s="17"/>
      <c r="AD48" s="23">
        <f>(AB48/AB41-1)*100</f>
        <v>7.4602109491983093</v>
      </c>
      <c r="AE48" s="212"/>
      <c r="AF48" s="17">
        <f>H48/(D48/(365/4))</f>
        <v>56.073811528815895</v>
      </c>
      <c r="AG48" s="17"/>
      <c r="AH48" s="17">
        <f>F48/(D49/(365/4))</f>
        <v>42.133250288102005</v>
      </c>
      <c r="AI48" s="17"/>
      <c r="AJ48" s="17"/>
      <c r="AK48" s="490">
        <f>((D48-('yrP&amp;L'!$G$16/4)))/H48</f>
        <v>1.2905934602342632</v>
      </c>
      <c r="AL48" s="491"/>
      <c r="AM48" s="17"/>
      <c r="AN48" s="17"/>
    </row>
    <row r="49" spans="1:40" ht="12.75" hidden="1" outlineLevel="1">
      <c r="A49" s="20" t="s">
        <v>737</v>
      </c>
      <c r="B49" s="485">
        <f>+'qtrP&amp;L'!W13</f>
        <v>423.73399999999998</v>
      </c>
      <c r="C49" s="20"/>
      <c r="D49" s="35">
        <f>'qtrP&amp;L'!W23</f>
        <v>241.23400000000001</v>
      </c>
      <c r="E49" s="61" t="s">
        <v>499</v>
      </c>
      <c r="F49" s="25">
        <f>bal!O10</f>
        <v>84.063999999999993</v>
      </c>
      <c r="G49" s="17"/>
      <c r="H49" s="35">
        <f>AVERAGEA(F48:F49)</f>
        <v>97.724999999999994</v>
      </c>
      <c r="I49" s="17"/>
      <c r="J49" s="82">
        <f>(B49/B42-1)*100</f>
        <v>48.457212928089689</v>
      </c>
      <c r="K49" s="61"/>
      <c r="L49" s="23">
        <f>(F49/F42-1)*100</f>
        <v>39.236438923395433</v>
      </c>
      <c r="M49" s="61"/>
      <c r="N49" s="23">
        <f>(F49/F48-1)*100</f>
        <v>-24.529114969565303</v>
      </c>
      <c r="O49" s="61"/>
      <c r="P49" s="143">
        <f>D49/H49</f>
        <v>2.4684983371706322</v>
      </c>
      <c r="Q49" s="20"/>
      <c r="R49" s="148">
        <f>D53/F49</f>
        <v>1.7805243623905598</v>
      </c>
      <c r="S49" s="17"/>
      <c r="T49" s="17">
        <f>qtrSales!I89+yrSales!H78</f>
        <v>663</v>
      </c>
      <c r="U49" s="58"/>
      <c r="V49" s="23">
        <f>F49/T49*1000</f>
        <v>126.79336349924583</v>
      </c>
      <c r="W49" s="17"/>
      <c r="X49" s="23">
        <f>(V49/V42-1)*100</f>
        <v>-2.1354743012032218</v>
      </c>
      <c r="Y49" s="17"/>
      <c r="Z49" s="226">
        <f>+yrSales!H134</f>
        <v>2.919556</v>
      </c>
      <c r="AA49" s="212"/>
      <c r="AB49" s="227">
        <f>F49/Z49</f>
        <v>28.793419273341559</v>
      </c>
      <c r="AC49" s="17"/>
      <c r="AD49" s="23">
        <f>(AB49/AB42-1)*100</f>
        <v>-2.7400026539671996</v>
      </c>
      <c r="AE49" s="212"/>
      <c r="AF49" s="17">
        <f>H49/(D49/(365/4))</f>
        <v>36.965793586310383</v>
      </c>
      <c r="AG49" s="17"/>
      <c r="AH49" s="17">
        <f>F49/(D53/(365/4))</f>
        <v>51.248947741150999</v>
      </c>
      <c r="AI49" s="17"/>
      <c r="AJ49" s="17"/>
      <c r="AK49" s="490">
        <f>((D49-('yrP&amp;L'!$G$16/4)))/H49</f>
        <v>2.1240266052698904</v>
      </c>
      <c r="AL49" s="491"/>
      <c r="AM49" s="17"/>
      <c r="AN49" s="17"/>
    </row>
    <row r="50" spans="1:40" ht="12.75" hidden="1" outlineLevel="1">
      <c r="A50" s="20" t="s">
        <v>762</v>
      </c>
      <c r="B50" s="290">
        <f>+'qtrP&amp;L'!W14</f>
        <v>1093.4769999999999</v>
      </c>
      <c r="C50" s="20"/>
      <c r="D50" s="38">
        <f>'qtrP&amp;L'!W24</f>
        <v>657.25199999999995</v>
      </c>
      <c r="E50" s="17"/>
      <c r="F50" s="17"/>
      <c r="G50" s="17"/>
      <c r="H50" s="38">
        <f>AVERAGEA(H49,H48,H47,H46,H42)</f>
        <v>85.0244</v>
      </c>
      <c r="I50" s="17"/>
      <c r="J50" s="24">
        <f>(B50/B43-1)*100</f>
        <v>31.411097651255115</v>
      </c>
      <c r="K50" s="61"/>
      <c r="L50" s="23"/>
      <c r="M50" s="61"/>
      <c r="N50" s="23"/>
      <c r="O50" s="61"/>
      <c r="P50" s="150">
        <f>D50/H50</f>
        <v>7.7301574606818741</v>
      </c>
      <c r="Q50" s="151" t="s">
        <v>159</v>
      </c>
      <c r="R50" s="17"/>
      <c r="S50" s="17"/>
      <c r="T50" s="17"/>
      <c r="U50" s="17"/>
      <c r="V50" s="17"/>
      <c r="W50" s="17"/>
      <c r="X50" s="44"/>
      <c r="Y50" s="17"/>
      <c r="Z50" s="17"/>
      <c r="AA50" s="17"/>
      <c r="AB50" s="17">
        <f>AVERAGE(AB46:AB49)</f>
        <v>37.018852305501532</v>
      </c>
      <c r="AC50" s="17"/>
      <c r="AD50" s="44"/>
      <c r="AE50" s="61"/>
      <c r="AF50" s="60"/>
      <c r="AG50" s="17"/>
      <c r="AH50" s="17"/>
      <c r="AI50" s="17"/>
      <c r="AJ50" s="17"/>
      <c r="AK50" s="492">
        <f>(D50-'yrP&amp;L'!$G$16)/H50</f>
        <v>6.1464473727541735</v>
      </c>
      <c r="AL50" s="493" t="s">
        <v>159</v>
      </c>
      <c r="AM50" s="17"/>
      <c r="AN50" s="17"/>
    </row>
    <row r="51" spans="1:40" ht="12.75" hidden="1" outlineLevel="1">
      <c r="A51" s="20"/>
      <c r="B51" s="20"/>
      <c r="C51" s="20"/>
      <c r="D51" s="21"/>
      <c r="E51" s="17"/>
      <c r="F51" s="17"/>
      <c r="G51" s="17"/>
      <c r="H51" s="21"/>
      <c r="I51" s="17"/>
      <c r="J51" s="23"/>
      <c r="K51" s="61"/>
      <c r="L51" s="23"/>
      <c r="M51" s="61"/>
      <c r="N51" s="23"/>
      <c r="O51" s="61"/>
      <c r="P51" s="153"/>
      <c r="Q51" s="49"/>
      <c r="R51" s="17"/>
      <c r="S51" s="17"/>
      <c r="T51" s="17"/>
      <c r="U51" s="17"/>
      <c r="V51" s="17"/>
      <c r="W51" s="17"/>
      <c r="X51" s="44"/>
      <c r="Y51" s="61"/>
      <c r="Z51" s="65"/>
      <c r="AA51" s="17"/>
      <c r="AB51" s="17"/>
      <c r="AC51" s="17"/>
      <c r="AD51" s="44"/>
      <c r="AE51" s="61"/>
      <c r="AF51" s="60"/>
      <c r="AG51" s="17"/>
      <c r="AH51" s="17"/>
      <c r="AI51" s="17"/>
      <c r="AJ51" s="17"/>
      <c r="AK51" s="487"/>
      <c r="AL51" s="487"/>
      <c r="AM51" s="17"/>
      <c r="AN51" s="17"/>
    </row>
    <row r="52" spans="1:40" ht="12.75" hidden="1" outlineLevel="1">
      <c r="A52" s="230" t="s">
        <v>520</v>
      </c>
      <c r="B52" s="230"/>
      <c r="C52" s="230"/>
      <c r="D52" s="144"/>
      <c r="E52" s="37"/>
      <c r="F52" s="37"/>
      <c r="G52" s="37"/>
      <c r="H52" s="144"/>
      <c r="I52" s="37"/>
      <c r="J52" s="145"/>
      <c r="K52" s="61"/>
      <c r="L52" s="37"/>
      <c r="M52" s="61"/>
      <c r="N52" s="37"/>
      <c r="O52" s="61"/>
      <c r="P52" s="146"/>
      <c r="Q52" s="147"/>
      <c r="R52" s="37"/>
      <c r="S52" s="37"/>
      <c r="T52" s="37"/>
      <c r="U52" s="37"/>
      <c r="V52" s="37"/>
      <c r="W52" s="37"/>
      <c r="X52" s="147"/>
      <c r="Y52" s="61"/>
      <c r="Z52" s="37"/>
      <c r="AA52" s="37"/>
      <c r="AB52" s="37"/>
      <c r="AC52" s="37"/>
      <c r="AD52" s="147"/>
      <c r="AE52" s="61"/>
      <c r="AF52" s="17"/>
      <c r="AG52" s="17"/>
      <c r="AH52" s="17"/>
      <c r="AI52" s="17"/>
      <c r="AJ52" s="17"/>
      <c r="AK52" s="487"/>
      <c r="AL52" s="487"/>
      <c r="AM52" s="17"/>
      <c r="AN52" s="17"/>
    </row>
    <row r="53" spans="1:40" ht="12.75" hidden="1" outlineLevel="1">
      <c r="A53" s="20" t="s">
        <v>734</v>
      </c>
      <c r="B53" s="290">
        <f>+'qtrP&amp;L'!AB10</f>
        <v>251.548</v>
      </c>
      <c r="C53" s="20"/>
      <c r="D53" s="38">
        <f>'qtrP&amp;L'!AB20</f>
        <v>149.678</v>
      </c>
      <c r="E53" s="17"/>
      <c r="F53" s="83">
        <v>103.732</v>
      </c>
      <c r="G53" s="17"/>
      <c r="H53" s="38">
        <f>(F49+F53)/2</f>
        <v>93.897999999999996</v>
      </c>
      <c r="I53" s="17"/>
      <c r="J53" s="24">
        <f>(B53/B46-1)*100</f>
        <v>41.319895055590194</v>
      </c>
      <c r="K53" s="61" t="s">
        <v>697</v>
      </c>
      <c r="L53" s="23">
        <f>(F53/F46-1)*100</f>
        <v>26.791585689315877</v>
      </c>
      <c r="M53" s="61" t="s">
        <v>697</v>
      </c>
      <c r="N53" s="23">
        <f>(F53/F49-1)*100</f>
        <v>23.396459840121821</v>
      </c>
      <c r="O53" s="61" t="s">
        <v>697</v>
      </c>
      <c r="P53" s="143">
        <f>D53/H53</f>
        <v>1.594048861530597</v>
      </c>
      <c r="Q53" s="20" t="s">
        <v>159</v>
      </c>
      <c r="R53" s="148">
        <f>D54/F53</f>
        <v>1.7776867311919176</v>
      </c>
      <c r="S53" s="17"/>
      <c r="T53" s="17">
        <f>qtrSales!I93</f>
        <v>572</v>
      </c>
      <c r="U53" s="17"/>
      <c r="V53" s="38">
        <f>F53/T53*1000</f>
        <v>181.34965034965035</v>
      </c>
      <c r="W53" s="22"/>
      <c r="X53" s="23">
        <f>(V53/V46-1)*100</f>
        <v>8.8368331703742911</v>
      </c>
      <c r="Y53" s="61" t="s">
        <v>697</v>
      </c>
      <c r="Z53" s="226">
        <f>qtrSales!X93</f>
        <v>2.7111529999999999</v>
      </c>
      <c r="AA53" s="17"/>
      <c r="AB53" s="228">
        <f>F53/Z53</f>
        <v>38.261212111599754</v>
      </c>
      <c r="AC53" s="22"/>
      <c r="AD53" s="280">
        <f>(AB53/AB46-1)*100</f>
        <v>2.5977398177477795</v>
      </c>
      <c r="AE53" s="61" t="s">
        <v>697</v>
      </c>
      <c r="AF53" s="17">
        <f>H53/(D53/(365/4))</f>
        <v>57.244167479522702</v>
      </c>
      <c r="AG53" s="17"/>
      <c r="AH53" s="17">
        <f>F53/(D54/(365/4))</f>
        <v>51.330753838061206</v>
      </c>
      <c r="AI53" s="17"/>
      <c r="AJ53" s="17"/>
      <c r="AK53" s="490">
        <f>((D53-('yrP&amp;L'!$H$16/4)))/H53</f>
        <v>1.1147865236746255</v>
      </c>
      <c r="AL53" s="491" t="s">
        <v>159</v>
      </c>
      <c r="AM53" s="17"/>
      <c r="AN53" s="17"/>
    </row>
    <row r="54" spans="1:40" ht="12.75" hidden="1" outlineLevel="1">
      <c r="A54" s="20" t="s">
        <v>735</v>
      </c>
      <c r="B54" s="484">
        <f>+'qtrP&amp;L'!AB11</f>
        <v>292.392</v>
      </c>
      <c r="C54" s="20"/>
      <c r="D54" s="23">
        <f>'qtrP&amp;L'!AB21</f>
        <v>184.40299999999999</v>
      </c>
      <c r="E54" s="17"/>
      <c r="F54" s="59">
        <v>145.095</v>
      </c>
      <c r="G54" s="17"/>
      <c r="H54" s="25">
        <f>AVERAGEA(F53:F54)</f>
        <v>124.4135</v>
      </c>
      <c r="I54" s="17"/>
      <c r="J54" s="24">
        <f>(B54/B47-1)*100</f>
        <v>39.915875909789108</v>
      </c>
      <c r="K54" s="61"/>
      <c r="L54" s="23">
        <f>(F54/F47-1)*100</f>
        <v>63.838075880758808</v>
      </c>
      <c r="M54" s="61"/>
      <c r="N54" s="23">
        <f>(F54/F53-1)*100</f>
        <v>39.874869856939043</v>
      </c>
      <c r="O54" s="61"/>
      <c r="P54" s="143">
        <f>D54/H54</f>
        <v>1.4821783809634805</v>
      </c>
      <c r="Q54" s="20"/>
      <c r="R54" s="148">
        <f>D55/F54</f>
        <v>1.4757228023019402</v>
      </c>
      <c r="S54" s="17"/>
      <c r="T54" s="17">
        <f>qtrSales!I94</f>
        <v>623</v>
      </c>
      <c r="U54" s="58"/>
      <c r="V54" s="23">
        <f>F54/T54*1000</f>
        <v>232.89727126805778</v>
      </c>
      <c r="W54" s="17"/>
      <c r="X54" s="23">
        <f>(V54/V47-1)*100</f>
        <v>34.910004697960304</v>
      </c>
      <c r="Y54" s="17"/>
      <c r="Z54" s="226">
        <f>qtrSales!X94</f>
        <v>2.9796529999999999</v>
      </c>
      <c r="AA54" s="212"/>
      <c r="AB54" s="227">
        <f>F54/Z54</f>
        <v>48.695267536186265</v>
      </c>
      <c r="AC54" s="17"/>
      <c r="AD54" s="280">
        <f>(AB54/AB47-1)*100</f>
        <v>28.939910784404233</v>
      </c>
      <c r="AE54" s="212"/>
      <c r="AF54" s="17">
        <f>H54/(D54/(365/4))</f>
        <v>61.564789482817524</v>
      </c>
      <c r="AG54" s="17"/>
      <c r="AH54" s="17">
        <f>F54/(D55/(365/4))</f>
        <v>61.834105875210156</v>
      </c>
      <c r="AI54" s="17"/>
      <c r="AJ54" s="17"/>
      <c r="AK54" s="490">
        <f>((D54-('yrP&amp;L'!$H$16/4)))/H54</f>
        <v>1.1204670313109106</v>
      </c>
      <c r="AL54" s="491"/>
      <c r="AM54" s="17"/>
      <c r="AN54" s="17"/>
    </row>
    <row r="55" spans="1:40" ht="12.75" hidden="1" outlineLevel="1">
      <c r="A55" s="20" t="s">
        <v>736</v>
      </c>
      <c r="B55" s="484">
        <f>+'qtrP&amp;L'!AB12</f>
        <v>363.65899999999999</v>
      </c>
      <c r="C55" s="20"/>
      <c r="D55" s="23">
        <f>'qtrP&amp;L'!AB22</f>
        <v>214.12</v>
      </c>
      <c r="E55" s="17"/>
      <c r="F55" s="59">
        <v>175.96799999999999</v>
      </c>
      <c r="G55" s="17"/>
      <c r="H55" s="25">
        <f>AVERAGEA(F54:F55)</f>
        <v>160.53149999999999</v>
      </c>
      <c r="I55" s="17"/>
      <c r="J55" s="24">
        <f>(B55/B48-1)*100</f>
        <v>28.607298588590613</v>
      </c>
      <c r="K55" s="61"/>
      <c r="L55" s="23">
        <f>(F55/F48-1)*100</f>
        <v>57.980356597777096</v>
      </c>
      <c r="M55" s="61"/>
      <c r="N55" s="23">
        <f>(F55/F54-1)*100</f>
        <v>21.277783521141313</v>
      </c>
      <c r="O55" s="61"/>
      <c r="P55" s="143">
        <f>D55/H55</f>
        <v>1.3338192192809513</v>
      </c>
      <c r="Q55" s="20"/>
      <c r="R55" s="148">
        <f>D56/F55</f>
        <v>1.5703423349699945</v>
      </c>
      <c r="S55" s="17"/>
      <c r="T55" s="17">
        <f>qtrSales!I95</f>
        <v>676</v>
      </c>
      <c r="U55" s="58"/>
      <c r="V55" s="23">
        <f>F55/T55*1000</f>
        <v>260.30769230769232</v>
      </c>
      <c r="W55" s="17"/>
      <c r="X55" s="23">
        <f>(V55/V48-1)*100</f>
        <v>26.43102502869441</v>
      </c>
      <c r="Y55" s="17"/>
      <c r="Z55" s="226">
        <f>qtrSales!X95</f>
        <v>3.3120039999999999</v>
      </c>
      <c r="AA55" s="212"/>
      <c r="AB55" s="227">
        <f>F55/Z55</f>
        <v>53.130370615494421</v>
      </c>
      <c r="AC55" s="17"/>
      <c r="AD55" s="280">
        <f>(AB55/AB48-1)*100</f>
        <v>20.140100145227713</v>
      </c>
      <c r="AE55" s="212"/>
      <c r="AF55" s="17">
        <f>H55/(D55/(365/4))</f>
        <v>68.412569470390423</v>
      </c>
      <c r="AG55" s="17"/>
      <c r="AH55" s="17">
        <f>F55/(D56/(365/4))</f>
        <v>58.108348713494735</v>
      </c>
      <c r="AI55" s="17"/>
      <c r="AJ55" s="17"/>
      <c r="AK55" s="490">
        <f>((D55-('yrP&amp;L'!$H$16/4)))/H55</f>
        <v>1.0534893463276678</v>
      </c>
      <c r="AL55" s="491"/>
      <c r="AM55" s="17"/>
      <c r="AN55" s="17"/>
    </row>
    <row r="56" spans="1:40" ht="12.75" hidden="1" outlineLevel="1">
      <c r="A56" s="20" t="s">
        <v>737</v>
      </c>
      <c r="B56" s="485">
        <f>+'qtrP&amp;L'!AB13</f>
        <v>464.3</v>
      </c>
      <c r="C56" s="20"/>
      <c r="D56" s="35">
        <f>'qtrP&amp;L'!AB23</f>
        <v>276.33</v>
      </c>
      <c r="E56" s="17"/>
      <c r="F56" s="25">
        <f>+bal!Q10</f>
        <v>91.096000000000004</v>
      </c>
      <c r="G56" s="17"/>
      <c r="H56" s="35">
        <f>AVERAGEA(F55:F56)</f>
        <v>133.53199999999998</v>
      </c>
      <c r="I56" s="17"/>
      <c r="J56" s="82">
        <f>(B56/B49-1)*100</f>
        <v>9.5734588208640439</v>
      </c>
      <c r="K56" s="61"/>
      <c r="L56" s="23">
        <f>(F56/F49-1)*100</f>
        <v>8.3650551960411157</v>
      </c>
      <c r="M56" s="61"/>
      <c r="N56" s="23">
        <f>(F56/F55-1)*100</f>
        <v>-48.231496635751945</v>
      </c>
      <c r="O56" s="61"/>
      <c r="P56" s="143">
        <f>D56/H56</f>
        <v>2.0693916065063056</v>
      </c>
      <c r="Q56" s="20"/>
      <c r="R56" s="148">
        <f>D60/F56</f>
        <v>1.8428251514885394</v>
      </c>
      <c r="S56" s="17"/>
      <c r="T56" s="17">
        <f>qtrSales!I96</f>
        <v>678</v>
      </c>
      <c r="U56" s="58"/>
      <c r="V56" s="23">
        <f>F56/T56*1000</f>
        <v>134.35988200589972</v>
      </c>
      <c r="W56" s="17"/>
      <c r="X56" s="23">
        <f>(V56/V49-1)*100</f>
        <v>5.967598222677406</v>
      </c>
      <c r="Y56" s="17"/>
      <c r="Z56" s="226">
        <f>qtrSales!X96</f>
        <v>3.3346939999999998</v>
      </c>
      <c r="AA56" s="212"/>
      <c r="AB56" s="227">
        <f>F56/Z56</f>
        <v>27.317648935704447</v>
      </c>
      <c r="AC56" s="17"/>
      <c r="AD56" s="295">
        <f>(AB56/AB49-1)*100</f>
        <v>-5.1253736960773395</v>
      </c>
      <c r="AE56" s="212"/>
      <c r="AF56" s="17">
        <f>H56/(D56/(365/4))</f>
        <v>44.095085586074617</v>
      </c>
      <c r="AG56" s="17"/>
      <c r="AH56" s="17">
        <f>F56/(D60/(365/4))</f>
        <v>49.516363463073496</v>
      </c>
      <c r="AI56" s="17"/>
      <c r="AJ56" s="17"/>
      <c r="AK56" s="490">
        <f>((D56-('yrP&amp;L'!$H$16/4)))/H56</f>
        <v>1.7323804406434413</v>
      </c>
      <c r="AL56" s="491"/>
      <c r="AM56" s="17"/>
      <c r="AN56" s="17"/>
    </row>
    <row r="57" spans="1:40" ht="12.75" hidden="1" outlineLevel="1">
      <c r="A57" s="20" t="s">
        <v>762</v>
      </c>
      <c r="B57" s="290">
        <f>+'qtrP&amp;L'!AB14</f>
        <v>1371.8990000000001</v>
      </c>
      <c r="C57" s="20"/>
      <c r="D57" s="38">
        <f>'qtrP&amp;L'!AB24</f>
        <v>824.53099999999995</v>
      </c>
      <c r="E57" s="17"/>
      <c r="F57" s="17"/>
      <c r="G57" s="17"/>
      <c r="H57" s="38">
        <f>AVERAGEA(H56,H55,H54,H53,H49)</f>
        <v>122.02000000000001</v>
      </c>
      <c r="I57" s="17"/>
      <c r="J57" s="24">
        <f>(B57/B50-1)*100</f>
        <v>25.462081049715746</v>
      </c>
      <c r="K57" s="61"/>
      <c r="L57" s="23"/>
      <c r="M57" s="61"/>
      <c r="N57" s="23"/>
      <c r="O57" s="61"/>
      <c r="P57" s="150">
        <f>D57/H57</f>
        <v>6.7573430585149969</v>
      </c>
      <c r="Q57" s="151" t="s">
        <v>159</v>
      </c>
      <c r="R57" s="17"/>
      <c r="S57" s="17"/>
      <c r="T57" s="17"/>
      <c r="U57" s="17"/>
      <c r="V57" s="17"/>
      <c r="W57" s="17"/>
      <c r="X57" s="44"/>
      <c r="Y57" s="17"/>
      <c r="Z57" s="223"/>
      <c r="AA57" s="58"/>
      <c r="AB57" s="17">
        <f>AVERAGE(AB53:AB56)</f>
        <v>41.851124799746223</v>
      </c>
      <c r="AC57" s="17"/>
      <c r="AD57" s="44"/>
      <c r="AE57" s="61"/>
      <c r="AF57" s="60"/>
      <c r="AG57" s="17"/>
      <c r="AH57" s="17"/>
      <c r="AI57" s="17"/>
      <c r="AJ57" s="17"/>
      <c r="AK57" s="492">
        <f>(D57-'yrP&amp;L'!$H$16)/H57</f>
        <v>5.2821168660875255</v>
      </c>
      <c r="AL57" s="493" t="s">
        <v>159</v>
      </c>
      <c r="AM57" s="17"/>
      <c r="AN57" s="17"/>
    </row>
    <row r="58" spans="1:40" ht="12.75" hidden="1" outlineLevel="1">
      <c r="A58" s="20"/>
      <c r="B58" s="20"/>
      <c r="C58" s="20"/>
      <c r="D58" s="21"/>
      <c r="E58" s="17"/>
      <c r="F58" s="17"/>
      <c r="G58" s="17"/>
      <c r="H58" s="21"/>
      <c r="I58" s="17"/>
      <c r="J58" s="23"/>
      <c r="K58" s="61"/>
      <c r="L58" s="23"/>
      <c r="M58" s="61"/>
      <c r="N58" s="23"/>
      <c r="O58" s="61"/>
      <c r="P58" s="153"/>
      <c r="Q58" s="49"/>
      <c r="R58" s="17"/>
      <c r="S58" s="17"/>
      <c r="T58" s="17"/>
      <c r="U58" s="17"/>
      <c r="V58" s="17"/>
      <c r="W58" s="17"/>
      <c r="X58" s="44"/>
      <c r="Y58" s="61"/>
      <c r="Z58" s="58"/>
      <c r="AA58" s="58"/>
      <c r="AB58" s="58"/>
      <c r="AC58" s="17"/>
      <c r="AD58" s="44"/>
      <c r="AE58" s="61"/>
      <c r="AF58" s="60"/>
      <c r="AG58" s="17"/>
      <c r="AH58" s="17"/>
      <c r="AI58" s="17"/>
      <c r="AJ58" s="17"/>
      <c r="AK58" s="487"/>
      <c r="AL58" s="487"/>
      <c r="AM58" s="17"/>
      <c r="AN58" s="17"/>
    </row>
    <row r="59" spans="1:40" ht="12.75" hidden="1" outlineLevel="1">
      <c r="A59" s="230" t="s">
        <v>568</v>
      </c>
      <c r="B59" s="230"/>
      <c r="C59" s="230"/>
      <c r="D59" s="144"/>
      <c r="E59" s="37"/>
      <c r="F59" s="37"/>
      <c r="G59" s="37"/>
      <c r="H59" s="144"/>
      <c r="I59" s="37"/>
      <c r="J59" s="145"/>
      <c r="K59" s="61"/>
      <c r="L59" s="37"/>
      <c r="M59" s="61"/>
      <c r="N59" s="37"/>
      <c r="O59" s="61"/>
      <c r="P59" s="146"/>
      <c r="Q59" s="147"/>
      <c r="R59" s="37"/>
      <c r="S59" s="37"/>
      <c r="T59" s="37"/>
      <c r="U59" s="37"/>
      <c r="V59" s="37"/>
      <c r="W59" s="37"/>
      <c r="X59" s="147"/>
      <c r="Y59" s="61"/>
      <c r="Z59" s="288"/>
      <c r="AA59" s="288"/>
      <c r="AB59" s="288"/>
      <c r="AC59" s="37"/>
      <c r="AD59" s="147"/>
      <c r="AE59" s="61"/>
      <c r="AF59" s="17"/>
      <c r="AG59" s="17"/>
      <c r="AH59" s="17"/>
      <c r="AI59" s="17"/>
      <c r="AJ59" s="17"/>
      <c r="AK59" s="487"/>
      <c r="AL59" s="487"/>
      <c r="AM59" s="17"/>
      <c r="AN59" s="17"/>
    </row>
    <row r="60" spans="1:40" ht="12.75" hidden="1" outlineLevel="1">
      <c r="A60" s="20" t="s">
        <v>734</v>
      </c>
      <c r="B60" s="290">
        <f>+'qtrP&amp;L'!AF10</f>
        <v>277.89299999999997</v>
      </c>
      <c r="C60" s="20"/>
      <c r="D60" s="38">
        <f>+'qtrP&amp;L'!AF20</f>
        <v>167.874</v>
      </c>
      <c r="E60" s="17" t="s">
        <v>422</v>
      </c>
      <c r="F60" s="83">
        <v>114.18300000000001</v>
      </c>
      <c r="G60" s="17"/>
      <c r="H60" s="38">
        <f>(F56+F60)/2</f>
        <v>102.6395</v>
      </c>
      <c r="I60" s="17"/>
      <c r="J60" s="24">
        <f>(B60/B53-1)*100</f>
        <v>10.473150253629516</v>
      </c>
      <c r="K60" s="61" t="s">
        <v>697</v>
      </c>
      <c r="L60" s="23">
        <f>(F60/F53-1)*100</f>
        <v>10.075000964022674</v>
      </c>
      <c r="M60" s="61" t="s">
        <v>697</v>
      </c>
      <c r="N60" s="23">
        <f>(F60/F56-1)*100</f>
        <v>25.343593571616751</v>
      </c>
      <c r="O60" s="61" t="s">
        <v>697</v>
      </c>
      <c r="P60" s="143">
        <f>D60/H60</f>
        <v>1.6355691522269691</v>
      </c>
      <c r="Q60" s="20" t="s">
        <v>159</v>
      </c>
      <c r="R60" s="148">
        <f>D61/F60</f>
        <v>1.8345025091300804</v>
      </c>
      <c r="S60" s="17"/>
      <c r="T60" s="17">
        <f>qtrSales!I100</f>
        <v>689</v>
      </c>
      <c r="U60" s="17"/>
      <c r="V60" s="38">
        <f>F60/T60*1000</f>
        <v>165.72278664731496</v>
      </c>
      <c r="W60" s="22"/>
      <c r="X60" s="23">
        <f>(V60/V53-1)*100</f>
        <v>-8.6169803317547533</v>
      </c>
      <c r="Y60" s="61" t="s">
        <v>697</v>
      </c>
      <c r="Z60" s="226">
        <f>qtrSales!X100</f>
        <v>3.4139330000000001</v>
      </c>
      <c r="AA60" s="58"/>
      <c r="AB60" s="228">
        <f>F60/Z60</f>
        <v>33.446174837057434</v>
      </c>
      <c r="AC60" s="22"/>
      <c r="AD60" s="295">
        <f>(AB60/AB53-1)*100</f>
        <v>-12.584643843738895</v>
      </c>
      <c r="AE60" s="61" t="s">
        <v>697</v>
      </c>
      <c r="AF60" s="17">
        <f>H60/(D60/(365/4))</f>
        <v>55.790976416836436</v>
      </c>
      <c r="AG60" s="17"/>
      <c r="AH60" s="17">
        <f>F60/(D61/(365/4))</f>
        <v>49.741005829024829</v>
      </c>
      <c r="AI60" s="17"/>
      <c r="AJ60" s="17"/>
      <c r="AK60" s="490">
        <f>((D60-('yrP&amp;L'!$I$16/4)))/H60</f>
        <v>1.2932345734342039</v>
      </c>
      <c r="AL60" s="491" t="s">
        <v>159</v>
      </c>
      <c r="AM60" s="17"/>
      <c r="AN60" s="17"/>
    </row>
    <row r="61" spans="1:40" ht="12.75" hidden="1" outlineLevel="1">
      <c r="A61" s="20" t="s">
        <v>735</v>
      </c>
      <c r="B61" s="484">
        <f>+'qtrP&amp;L'!AF11</f>
        <v>319.2</v>
      </c>
      <c r="C61" s="20"/>
      <c r="D61" s="23">
        <f>+'qtrP&amp;L'!AF21</f>
        <v>209.46899999999999</v>
      </c>
      <c r="E61" s="17" t="s">
        <v>422</v>
      </c>
      <c r="F61" s="59">
        <v>148.78100000000001</v>
      </c>
      <c r="G61" s="17"/>
      <c r="H61" s="25">
        <f>AVERAGEA(F60:F61)</f>
        <v>131.482</v>
      </c>
      <c r="I61" s="17"/>
      <c r="J61" s="24">
        <f>(B61/B54-1)*100</f>
        <v>9.1685135024214048</v>
      </c>
      <c r="K61" s="61"/>
      <c r="L61" s="23">
        <f>(F61/F54-1)*100</f>
        <v>2.5404045625279981</v>
      </c>
      <c r="M61" s="61"/>
      <c r="N61" s="23">
        <f>(F61/F60-1)*100</f>
        <v>30.300482558699638</v>
      </c>
      <c r="O61" s="61"/>
      <c r="P61" s="143">
        <f>D61/H61</f>
        <v>1.5931382242436227</v>
      </c>
      <c r="Q61" s="20"/>
      <c r="R61" s="148">
        <f>D62/F61</f>
        <v>1.5335560320202175</v>
      </c>
      <c r="S61" s="17"/>
      <c r="T61" s="17">
        <f>qtrSales!I101</f>
        <v>711</v>
      </c>
      <c r="U61" s="58"/>
      <c r="V61" s="23">
        <f>F61/T61*1000</f>
        <v>209.25597749648384</v>
      </c>
      <c r="W61" s="17"/>
      <c r="X61" s="23">
        <f>(V61/V54-1)*100</f>
        <v>-10.150953526786289</v>
      </c>
      <c r="Y61" s="17"/>
      <c r="Z61" s="226">
        <f>qtrSales!X101</f>
        <v>3.5521950000000002</v>
      </c>
      <c r="AA61" s="212"/>
      <c r="AB61" s="227">
        <f>F61/Z61</f>
        <v>41.884243404430215</v>
      </c>
      <c r="AC61" s="17"/>
      <c r="AD61" s="295">
        <f>(AB61/AB54-1)*100</f>
        <v>-13.987035037223405</v>
      </c>
      <c r="AE61" s="212"/>
      <c r="AF61" s="17">
        <f>H61/(D61/(365/4))</f>
        <v>57.27688822689754</v>
      </c>
      <c r="AG61" s="17"/>
      <c r="AH61" s="17">
        <f>F61/(D62/(365/4))</f>
        <v>59.502227564383524</v>
      </c>
      <c r="AI61" s="17"/>
      <c r="AJ61" s="17"/>
      <c r="AK61" s="490">
        <f>((D61-('yrP&amp;L'!$I$16/4)))/H61</f>
        <v>1.3258997429305912</v>
      </c>
      <c r="AL61" s="491"/>
      <c r="AM61" s="17"/>
      <c r="AN61" s="17"/>
    </row>
    <row r="62" spans="1:40" ht="12.75" hidden="1" outlineLevel="1">
      <c r="A62" s="20" t="s">
        <v>736</v>
      </c>
      <c r="B62" s="484">
        <f>+'qtrP&amp;L'!AF12</f>
        <v>374.49400000000003</v>
      </c>
      <c r="C62" s="20"/>
      <c r="D62" s="23">
        <f>+'qtrP&amp;L'!AF22</f>
        <v>228.16399999999999</v>
      </c>
      <c r="E62" s="17" t="s">
        <v>422</v>
      </c>
      <c r="F62" s="59">
        <v>181.916</v>
      </c>
      <c r="G62" s="17"/>
      <c r="H62" s="25">
        <f>AVERAGEA(F61:F62)</f>
        <v>165.3485</v>
      </c>
      <c r="I62" s="17"/>
      <c r="J62" s="24">
        <f>(B62/B55-1)*100</f>
        <v>2.9794395298892828</v>
      </c>
      <c r="K62" s="61"/>
      <c r="L62" s="23">
        <f>(F62/F55-1)*100</f>
        <v>3.3801600290962019</v>
      </c>
      <c r="M62" s="61"/>
      <c r="N62" s="23">
        <f>(F62/F61-1)*100</f>
        <v>22.270988903152954</v>
      </c>
      <c r="O62" s="61"/>
      <c r="P62" s="143">
        <f>D62/H62</f>
        <v>1.3798976101990643</v>
      </c>
      <c r="Q62" s="20"/>
      <c r="R62" s="148">
        <f>D63/F62</f>
        <v>1.7323160139844764</v>
      </c>
      <c r="S62" s="17"/>
      <c r="T62" s="17">
        <f>qtrSales!I102</f>
        <v>743</v>
      </c>
      <c r="U62" s="58"/>
      <c r="V62" s="23">
        <f>F62/T62*1000</f>
        <v>244.83983849259758</v>
      </c>
      <c r="W62" s="17"/>
      <c r="X62" s="23">
        <f>(V62/V55-1)*100</f>
        <v>-5.9421424230564952</v>
      </c>
      <c r="Y62" s="17"/>
      <c r="Z62" s="226">
        <f>qtrSales!X102</f>
        <v>3.7436769999999999</v>
      </c>
      <c r="AA62" s="212"/>
      <c r="AB62" s="227">
        <f>F62/Z62</f>
        <v>48.592867386796456</v>
      </c>
      <c r="AC62" s="17"/>
      <c r="AD62" s="296">
        <f>(AB62/AB55-1)*100</f>
        <v>-8.5403191736341704</v>
      </c>
      <c r="AE62" s="212"/>
      <c r="AF62" s="17">
        <f>H62/(D62/(365/4))</f>
        <v>66.12809481337986</v>
      </c>
      <c r="AG62" s="17"/>
      <c r="AH62" s="17">
        <f>F62/(D63/(365/4))</f>
        <v>52.675146603371239</v>
      </c>
      <c r="AI62" s="17"/>
      <c r="AJ62" s="17"/>
      <c r="AK62" s="490">
        <f>((D62-('yrP&amp;L'!$I$16/4)))/H62</f>
        <v>1.1673946240818633</v>
      </c>
      <c r="AL62" s="491"/>
      <c r="AM62" s="17"/>
      <c r="AN62" s="17"/>
    </row>
    <row r="63" spans="1:40" ht="12.75" hidden="1" outlineLevel="1">
      <c r="A63" s="20" t="s">
        <v>737</v>
      </c>
      <c r="B63" s="485">
        <f>+'qtrP&amp;L'!AF13</f>
        <v>491.55399999999997</v>
      </c>
      <c r="C63" s="20"/>
      <c r="D63" s="35">
        <f>+'qtrP&amp;L'!AF23</f>
        <v>315.13600000000002</v>
      </c>
      <c r="E63" s="17"/>
      <c r="F63" s="25">
        <f>+bal!S10</f>
        <v>124.708</v>
      </c>
      <c r="G63" s="17"/>
      <c r="H63" s="35">
        <f>AVERAGEA(F62:F63)</f>
        <v>153.31200000000001</v>
      </c>
      <c r="I63" s="17"/>
      <c r="J63" s="82">
        <f>(B63/B56-1)*100</f>
        <v>5.8699116950247543</v>
      </c>
      <c r="K63" s="61"/>
      <c r="L63" s="23">
        <f>(F63/F56-1)*100</f>
        <v>36.897339070870295</v>
      </c>
      <c r="M63" s="61"/>
      <c r="N63" s="23">
        <f>(F63/F62-1)*100</f>
        <v>-31.447481255084764</v>
      </c>
      <c r="O63" s="61"/>
      <c r="P63" s="143">
        <f>D63/H63</f>
        <v>2.055520768106867</v>
      </c>
      <c r="Q63" s="20"/>
      <c r="R63" s="148">
        <f>D67/F63</f>
        <v>1.4904416717451969</v>
      </c>
      <c r="S63" s="17"/>
      <c r="T63" s="17">
        <f>qtrSales!I103</f>
        <v>753</v>
      </c>
      <c r="U63" s="58"/>
      <c r="V63" s="23">
        <f>F63/T63*1000</f>
        <v>165.61487383798141</v>
      </c>
      <c r="W63" s="17"/>
      <c r="X63" s="23">
        <f>(V63/V56-1)*100</f>
        <v>23.262145936321431</v>
      </c>
      <c r="Y63" s="17"/>
      <c r="Z63" s="226">
        <f>qtrSales!X103</f>
        <v>3.8174419999999998</v>
      </c>
      <c r="AA63" s="212"/>
      <c r="AB63" s="227">
        <f>F63/Z63</f>
        <v>32.667948851613204</v>
      </c>
      <c r="AC63" s="17"/>
      <c r="AD63" s="297">
        <f>(AB63/AB56-1)*100</f>
        <v>19.585506529135664</v>
      </c>
      <c r="AE63" s="212"/>
      <c r="AF63" s="17">
        <f>H63/(D63/(365/4))</f>
        <v>44.392643176279449</v>
      </c>
      <c r="AG63" s="17"/>
      <c r="AH63" s="17">
        <f>F63/(D67/(365/4))</f>
        <v>61.223462635175125</v>
      </c>
      <c r="AI63" s="17"/>
      <c r="AJ63" s="17"/>
      <c r="AK63" s="490">
        <f>((D63-('yrP&amp;L'!$I$16/4)))/H63</f>
        <v>1.8263342073679818</v>
      </c>
      <c r="AL63" s="491"/>
      <c r="AM63" s="17"/>
      <c r="AN63" s="17"/>
    </row>
    <row r="64" spans="1:40" ht="12.75" hidden="1" outlineLevel="1">
      <c r="A64" s="20" t="s">
        <v>762</v>
      </c>
      <c r="B64" s="290">
        <f>+'qtrP&amp;L'!AF14</f>
        <v>1463.1410000000001</v>
      </c>
      <c r="C64" s="20"/>
      <c r="D64" s="38">
        <f>+'qtrP&amp;L'!AF24</f>
        <v>920.64300000000003</v>
      </c>
      <c r="E64" s="17"/>
      <c r="F64" s="17"/>
      <c r="G64" s="17"/>
      <c r="H64" s="38">
        <f>AVERAGEA(H63,H62,H61,H60,H56)</f>
        <v>137.26280000000003</v>
      </c>
      <c r="I64" s="17"/>
      <c r="J64" s="24">
        <f>(B64/B57-1)*100</f>
        <v>6.6507811435098318</v>
      </c>
      <c r="K64" s="61"/>
      <c r="L64" s="23"/>
      <c r="M64" s="61"/>
      <c r="N64" s="23"/>
      <c r="O64" s="61"/>
      <c r="P64" s="150">
        <f>D64/H64</f>
        <v>6.7071559082285939</v>
      </c>
      <c r="Q64" s="151" t="s">
        <v>159</v>
      </c>
      <c r="R64" s="17"/>
      <c r="S64" s="17"/>
      <c r="T64" s="17"/>
      <c r="U64" s="17"/>
      <c r="V64" s="17"/>
      <c r="W64" s="17"/>
      <c r="X64" s="44"/>
      <c r="Y64" s="17"/>
      <c r="Z64" s="58"/>
      <c r="AA64" s="58"/>
      <c r="AB64" s="17">
        <f>AVERAGE(AB60:AB63)</f>
        <v>39.147808619974327</v>
      </c>
      <c r="AC64" s="17"/>
      <c r="AD64" s="44"/>
      <c r="AE64" s="61"/>
      <c r="AF64" s="60"/>
      <c r="AG64" s="17"/>
      <c r="AH64" s="17"/>
      <c r="AI64" s="17"/>
      <c r="AJ64" s="17"/>
      <c r="AK64" s="492">
        <f>(D64-'yrP&amp;L'!$I$16)/H64</f>
        <v>5.6832207998088329</v>
      </c>
      <c r="AL64" s="493" t="s">
        <v>159</v>
      </c>
      <c r="AM64" s="17"/>
      <c r="AN64" s="17"/>
    </row>
    <row r="65" spans="1:40" ht="12.75" hidden="1" outlineLevel="1">
      <c r="A65" s="20"/>
      <c r="B65" s="20"/>
      <c r="C65" s="20"/>
      <c r="D65" s="21"/>
      <c r="E65" s="17"/>
      <c r="F65" s="17"/>
      <c r="G65" s="17"/>
      <c r="H65" s="21"/>
      <c r="I65" s="17"/>
      <c r="J65" s="23"/>
      <c r="K65" s="61"/>
      <c r="L65" s="23"/>
      <c r="M65" s="61"/>
      <c r="N65" s="23"/>
      <c r="O65" s="61"/>
      <c r="P65" s="153"/>
      <c r="Q65" s="49"/>
      <c r="R65" s="17"/>
      <c r="S65" s="17"/>
      <c r="T65" s="17"/>
      <c r="U65" s="17"/>
      <c r="V65" s="17"/>
      <c r="W65" s="17"/>
      <c r="X65" s="44"/>
      <c r="Y65" s="17"/>
      <c r="Z65" s="58"/>
      <c r="AA65" s="58"/>
      <c r="AB65" s="58"/>
      <c r="AC65" s="17"/>
      <c r="AD65" s="44"/>
      <c r="AE65" s="61"/>
      <c r="AF65" s="60"/>
      <c r="AG65" s="17"/>
      <c r="AH65" s="17"/>
      <c r="AI65" s="17"/>
      <c r="AJ65" s="17"/>
      <c r="AK65" s="487"/>
      <c r="AL65" s="487"/>
      <c r="AM65" s="17"/>
      <c r="AN65" s="17"/>
    </row>
    <row r="66" spans="1:40" ht="12.75" hidden="1" outlineLevel="1">
      <c r="A66" s="230" t="s">
        <v>585</v>
      </c>
      <c r="B66" s="230"/>
      <c r="C66" s="230"/>
      <c r="D66" s="144"/>
      <c r="E66" s="37"/>
      <c r="F66" s="37"/>
      <c r="G66" s="37"/>
      <c r="H66" s="144"/>
      <c r="I66" s="37"/>
      <c r="J66" s="145"/>
      <c r="K66" s="61"/>
      <c r="L66" s="37"/>
      <c r="M66" s="61"/>
      <c r="N66" s="37"/>
      <c r="O66" s="61"/>
      <c r="P66" s="146"/>
      <c r="Q66" s="147"/>
      <c r="R66" s="37"/>
      <c r="S66" s="37"/>
      <c r="T66" s="37"/>
      <c r="U66" s="37"/>
      <c r="V66" s="37"/>
      <c r="W66" s="37"/>
      <c r="X66" s="147"/>
      <c r="Y66" s="61"/>
      <c r="Z66" s="288"/>
      <c r="AA66" s="288"/>
      <c r="AB66" s="288"/>
      <c r="AC66" s="37"/>
      <c r="AD66" s="147"/>
      <c r="AE66" s="61"/>
      <c r="AF66" s="17"/>
      <c r="AG66" s="17"/>
      <c r="AH66" s="17"/>
      <c r="AI66" s="17"/>
      <c r="AJ66" s="17"/>
      <c r="AK66" s="487"/>
      <c r="AL66" s="487"/>
      <c r="AM66" s="17"/>
      <c r="AN66" s="17"/>
    </row>
    <row r="67" spans="1:40" ht="12.75" hidden="1" outlineLevel="1">
      <c r="A67" s="20" t="s">
        <v>734</v>
      </c>
      <c r="B67" s="290">
        <f>+'qtrP&amp;L'!AJ10</f>
        <v>291.858</v>
      </c>
      <c r="C67" s="20"/>
      <c r="D67" s="38">
        <f>+'qtrP&amp;L'!AJ20</f>
        <v>185.87</v>
      </c>
      <c r="E67" s="17"/>
      <c r="F67" s="38">
        <f>+work!AB10</f>
        <v>146.20500000000001</v>
      </c>
      <c r="G67" s="17"/>
      <c r="H67" s="38">
        <f>(F63+F67)/2</f>
        <v>135.45650000000001</v>
      </c>
      <c r="I67" s="17"/>
      <c r="J67" s="24">
        <f>(B67/B60-1)*100</f>
        <v>5.0253154991309668</v>
      </c>
      <c r="K67" s="61" t="s">
        <v>697</v>
      </c>
      <c r="L67" s="23">
        <f>(F67/F60-1)*100</f>
        <v>28.044454953889808</v>
      </c>
      <c r="M67" s="61" t="s">
        <v>697</v>
      </c>
      <c r="N67" s="23">
        <f>(F67/F63-1)*100</f>
        <v>17.237867658851091</v>
      </c>
      <c r="O67" s="61" t="s">
        <v>697</v>
      </c>
      <c r="P67" s="143">
        <f>D67/H67</f>
        <v>1.3721748310343174</v>
      </c>
      <c r="Q67" s="20" t="s">
        <v>159</v>
      </c>
      <c r="R67" s="148">
        <f>D68/F67</f>
        <v>1.5448582469819774</v>
      </c>
      <c r="S67" s="17"/>
      <c r="T67" s="17">
        <f>qtrSales!I107</f>
        <v>761</v>
      </c>
      <c r="U67" s="17"/>
      <c r="V67" s="38">
        <f>F67/T67*1000</f>
        <v>192.12220762155061</v>
      </c>
      <c r="W67" s="22"/>
      <c r="X67" s="23">
        <f>(V67/V60-1)*100</f>
        <v>15.929867888607196</v>
      </c>
      <c r="Y67" s="61" t="s">
        <v>697</v>
      </c>
      <c r="Z67" s="226">
        <f>qtrSales!X107</f>
        <v>3.8834680000000001</v>
      </c>
      <c r="AA67" s="58"/>
      <c r="AB67" s="228">
        <f>F67/Z67</f>
        <v>37.648050659874116</v>
      </c>
      <c r="AC67" s="22"/>
      <c r="AD67" s="295">
        <f>(AB67/AB60-1)*100</f>
        <v>12.56309830133735</v>
      </c>
      <c r="AE67" s="61" t="s">
        <v>697</v>
      </c>
      <c r="AF67" s="17">
        <f>H67/(D67/(365/4))</f>
        <v>66.500272367783936</v>
      </c>
      <c r="AG67" s="17"/>
      <c r="AH67" s="17">
        <f>F67/(D68/(365/4))</f>
        <v>59.066908033967046</v>
      </c>
      <c r="AI67" s="17"/>
      <c r="AJ67" s="17"/>
      <c r="AK67" s="490">
        <f>((D67-('yrP&amp;L'!$J$16/4)))/H67</f>
        <v>1.0791754179386004</v>
      </c>
      <c r="AL67" s="491" t="s">
        <v>159</v>
      </c>
      <c r="AM67" s="17"/>
      <c r="AN67" s="17"/>
    </row>
    <row r="68" spans="1:40" ht="12.75" hidden="1" outlineLevel="1">
      <c r="A68" s="20" t="s">
        <v>735</v>
      </c>
      <c r="B68" s="484">
        <f>+'qtrP&amp;L'!AJ11</f>
        <v>337.05500000000001</v>
      </c>
      <c r="C68" s="20"/>
      <c r="D68" s="23">
        <f>+'qtrP&amp;L'!AJ21</f>
        <v>225.86600000000001</v>
      </c>
      <c r="E68" s="17"/>
      <c r="F68" s="25">
        <f>+work!AB11</f>
        <v>159.036</v>
      </c>
      <c r="G68" s="17"/>
      <c r="H68" s="25">
        <f>AVERAGEA(F67:F68)</f>
        <v>152.62049999999999</v>
      </c>
      <c r="I68" s="17"/>
      <c r="J68" s="24">
        <f>(B68/B61-1)*100</f>
        <v>5.5936716791979979</v>
      </c>
      <c r="K68" s="61"/>
      <c r="L68" s="23">
        <f>(F68/F61-1)*100</f>
        <v>6.8926811891303341</v>
      </c>
      <c r="M68" s="61"/>
      <c r="N68" s="23">
        <f>(F68/F67-1)*100</f>
        <v>8.7760336513799118</v>
      </c>
      <c r="O68" s="61"/>
      <c r="P68" s="143">
        <f>D68/H68</f>
        <v>1.4799191458552423</v>
      </c>
      <c r="Q68" s="20"/>
      <c r="R68" s="148">
        <f>D69/F68</f>
        <v>1.4558401871274429</v>
      </c>
      <c r="S68" s="17"/>
      <c r="T68" s="17">
        <f>qtrSales!I108</f>
        <v>776</v>
      </c>
      <c r="U68" s="58"/>
      <c r="V68" s="23">
        <f>F68/T68*1000</f>
        <v>204.94329896907217</v>
      </c>
      <c r="W68" s="17"/>
      <c r="X68" s="23">
        <f>(V68/V61-1)*100</f>
        <v>-2.0609583434643475</v>
      </c>
      <c r="Y68" s="17"/>
      <c r="Z68" s="226">
        <f>qtrSales!X108</f>
        <v>4.0097269999999998</v>
      </c>
      <c r="AA68" s="212"/>
      <c r="AB68" s="227">
        <f>F68/Z68</f>
        <v>39.662550592596453</v>
      </c>
      <c r="AC68" s="17"/>
      <c r="AD68" s="299">
        <f>(AB68/AB61-1)*100</f>
        <v>-5.3043641982053025</v>
      </c>
      <c r="AE68" s="212"/>
      <c r="AF68" s="17">
        <f>H68/(D68/(365/4))</f>
        <v>61.658773896912322</v>
      </c>
      <c r="AG68" s="17"/>
      <c r="AH68" s="17">
        <f>F68/(D69/(365/4))</f>
        <v>62.678582997525169</v>
      </c>
      <c r="AI68" s="17"/>
      <c r="AJ68" s="17"/>
      <c r="AK68" s="490">
        <f>((D68-('yrP&amp;L'!$J$16/4)))/H68</f>
        <v>1.2198710199481722</v>
      </c>
      <c r="AL68" s="491"/>
      <c r="AM68" s="17"/>
      <c r="AN68" s="17"/>
    </row>
    <row r="69" spans="1:40" ht="12.75" hidden="1" outlineLevel="1">
      <c r="A69" s="20" t="s">
        <v>736</v>
      </c>
      <c r="B69" s="484">
        <f>+'qtrP&amp;L'!AJ12</f>
        <v>373.8</v>
      </c>
      <c r="C69" s="20"/>
      <c r="D69" s="23">
        <f>+'qtrP&amp;L'!AJ22</f>
        <v>231.53100000000001</v>
      </c>
      <c r="E69" s="17"/>
      <c r="F69" s="25">
        <f>+work!AB12</f>
        <v>193.79599999999999</v>
      </c>
      <c r="G69" s="17"/>
      <c r="H69" s="25">
        <f>AVERAGEA(F68:F69)</f>
        <v>176.416</v>
      </c>
      <c r="I69" s="17"/>
      <c r="J69" s="24">
        <f>(B69/B62-1)*100</f>
        <v>-0.18531672069512783</v>
      </c>
      <c r="K69" s="61"/>
      <c r="L69" s="23">
        <f>(F69/F62-1)*100</f>
        <v>6.5304865982101612</v>
      </c>
      <c r="M69" s="61"/>
      <c r="N69" s="23">
        <f>(F69/F68-1)*100</f>
        <v>21.856686536381687</v>
      </c>
      <c r="O69" s="61"/>
      <c r="P69" s="143">
        <f>D69/H69</f>
        <v>1.3124149736985309</v>
      </c>
      <c r="Q69" s="20"/>
      <c r="R69" s="148">
        <f>D70/F69</f>
        <v>1.5469875539226816</v>
      </c>
      <c r="S69" s="17"/>
      <c r="T69" s="17">
        <f>qtrSales!I109</f>
        <v>798</v>
      </c>
      <c r="U69" s="58"/>
      <c r="V69" s="23">
        <f>F69/T69*1000</f>
        <v>242.8521303258145</v>
      </c>
      <c r="W69" s="17"/>
      <c r="X69" s="23">
        <f>(V69/V62-1)*100</f>
        <v>-0.81184017234318118</v>
      </c>
      <c r="Y69" s="17"/>
      <c r="Z69" s="226">
        <f>qtrSales!X109</f>
        <v>4.1570460000000002</v>
      </c>
      <c r="AA69" s="212"/>
      <c r="AB69" s="227">
        <f>F69/Z69</f>
        <v>46.6186806689173</v>
      </c>
      <c r="AC69" s="17"/>
      <c r="AD69" s="299">
        <f>(AB69/AB62-1)*100</f>
        <v>-4.0627088378315745</v>
      </c>
      <c r="AE69" s="212"/>
      <c r="AF69" s="17">
        <f>H69/(D69/(365/4))</f>
        <v>69.528313703132625</v>
      </c>
      <c r="AG69" s="17"/>
      <c r="AH69" s="17">
        <f>F69/(D70/(365/4))</f>
        <v>58.985607071380919</v>
      </c>
      <c r="AI69" s="17"/>
      <c r="AJ69" s="17"/>
      <c r="AK69" s="490">
        <f>((D69-('yrP&amp;L'!$J$16/4)))/H69</f>
        <v>1.0874428906675133</v>
      </c>
      <c r="AL69" s="491"/>
      <c r="AM69" s="17"/>
      <c r="AN69" s="17"/>
    </row>
    <row r="70" spans="1:40" ht="12.75" hidden="1" outlineLevel="1">
      <c r="A70" s="20" t="s">
        <v>737</v>
      </c>
      <c r="B70" s="485">
        <f>+'qtrP&amp;L'!AJ13</f>
        <v>490.58</v>
      </c>
      <c r="C70" s="20"/>
      <c r="D70" s="35">
        <f>+'qtrP&amp;L'!AJ23</f>
        <v>299.8</v>
      </c>
      <c r="E70" s="17"/>
      <c r="F70" s="25">
        <f>+bal!U10</f>
        <v>120.586</v>
      </c>
      <c r="G70" s="17"/>
      <c r="H70" s="35">
        <f>AVERAGEA(F69:F70)</f>
        <v>157.191</v>
      </c>
      <c r="I70" s="17"/>
      <c r="J70" s="82">
        <f>(B70/B63-1)*100</f>
        <v>-0.19814710082717291</v>
      </c>
      <c r="K70" s="61"/>
      <c r="L70" s="23">
        <f>(F70/F63-1)*100</f>
        <v>-3.3053212303941981</v>
      </c>
      <c r="M70" s="61"/>
      <c r="N70" s="23">
        <f>(F70/F69-1)*100</f>
        <v>-37.776837499225991</v>
      </c>
      <c r="O70" s="61"/>
      <c r="P70" s="143">
        <f>D70/H70</f>
        <v>1.9072338747129289</v>
      </c>
      <c r="Q70" s="20"/>
      <c r="R70" s="148">
        <f>D74/F70</f>
        <v>1.5218267460567561</v>
      </c>
      <c r="S70" s="17"/>
      <c r="T70" s="17">
        <f>qtrSales!I110</f>
        <v>805</v>
      </c>
      <c r="U70" s="58"/>
      <c r="V70" s="23">
        <f>F70/T70*1000</f>
        <v>149.79627329192547</v>
      </c>
      <c r="W70" s="17"/>
      <c r="X70" s="23">
        <f>(V70/V63-1)*100</f>
        <v>-9.5514371260705939</v>
      </c>
      <c r="Y70" s="17"/>
      <c r="Z70" s="226">
        <f>qtrSales!X110</f>
        <v>4.2394970000000001</v>
      </c>
      <c r="AA70" s="212"/>
      <c r="AB70" s="227">
        <f>F70/Z70</f>
        <v>28.443468647341888</v>
      </c>
      <c r="AC70" s="17"/>
      <c r="AD70" s="297">
        <f>(AB70/AB63-1)*100</f>
        <v>-12.931574686430626</v>
      </c>
      <c r="AE70" s="212"/>
      <c r="AF70" s="17">
        <f>H70/(D70/(365/4))</f>
        <v>47.844158605737157</v>
      </c>
      <c r="AG70" s="17"/>
      <c r="AH70" s="17">
        <f>F70/(D74/(365/4))</f>
        <v>59.960833410531251</v>
      </c>
      <c r="AI70" s="17"/>
      <c r="AJ70" s="17"/>
      <c r="AK70" s="490">
        <f>((D70-('yrP&amp;L'!$J$16/4)))/H70</f>
        <v>1.654746932076264</v>
      </c>
      <c r="AL70" s="491"/>
      <c r="AM70" s="17"/>
      <c r="AN70" s="17"/>
    </row>
    <row r="71" spans="1:40" ht="12.75" hidden="1" outlineLevel="1">
      <c r="A71" s="20" t="s">
        <v>762</v>
      </c>
      <c r="B71" s="290">
        <f>+'qtrP&amp;L'!AJ14</f>
        <v>1493.2929999999999</v>
      </c>
      <c r="C71" s="20"/>
      <c r="D71" s="38">
        <f>+'qtrP&amp;L'!AJ24</f>
        <v>943.06700000000001</v>
      </c>
      <c r="E71" s="17"/>
      <c r="F71" s="17"/>
      <c r="G71" s="17"/>
      <c r="H71" s="38">
        <f>AVERAGEA(H70,H69,H68,H67,H63)</f>
        <v>154.9992</v>
      </c>
      <c r="I71" s="17"/>
      <c r="J71" s="24">
        <f>(B71/B64-1)*100</f>
        <v>2.0607719966838411</v>
      </c>
      <c r="K71" s="61"/>
      <c r="L71" s="23"/>
      <c r="M71" s="61"/>
      <c r="N71" s="23"/>
      <c r="O71" s="61"/>
      <c r="P71" s="150">
        <f>D71/H71</f>
        <v>6.0843346288238909</v>
      </c>
      <c r="Q71" s="151" t="s">
        <v>159</v>
      </c>
      <c r="R71" s="17"/>
      <c r="S71" s="17"/>
      <c r="T71" s="17"/>
      <c r="U71" s="17"/>
      <c r="V71" s="17"/>
      <c r="W71" s="17"/>
      <c r="X71" s="44"/>
      <c r="Y71" s="17"/>
      <c r="Z71" s="58"/>
      <c r="AA71" s="58"/>
      <c r="AB71" s="17">
        <f>AVERAGE(AB67:AB70)</f>
        <v>38.093187642182443</v>
      </c>
      <c r="AC71" s="17"/>
      <c r="AD71" s="44"/>
      <c r="AE71" s="61"/>
      <c r="AF71" s="60"/>
      <c r="AG71" s="17"/>
      <c r="AH71" s="17"/>
      <c r="AI71" s="17"/>
      <c r="AJ71" s="17"/>
      <c r="AK71" s="492">
        <f>(D71-'yrP&amp;L'!$J$16)/H71</f>
        <v>5.0601054715121112</v>
      </c>
      <c r="AL71" s="493" t="s">
        <v>159</v>
      </c>
      <c r="AM71" s="17"/>
      <c r="AN71" s="17"/>
    </row>
    <row r="72" spans="1:40" ht="12.75" hidden="1" outlineLevel="1">
      <c r="A72" s="20"/>
      <c r="B72" s="20"/>
      <c r="C72" s="20"/>
      <c r="D72" s="21"/>
      <c r="E72" s="17"/>
      <c r="F72" s="17"/>
      <c r="G72" s="17"/>
      <c r="H72" s="21"/>
      <c r="I72" s="17"/>
      <c r="J72" s="23"/>
      <c r="K72" s="61"/>
      <c r="L72" s="23"/>
      <c r="M72" s="61"/>
      <c r="N72" s="23"/>
      <c r="O72" s="61"/>
      <c r="P72" s="153"/>
      <c r="Q72" s="49"/>
      <c r="R72" s="17"/>
      <c r="S72" s="17"/>
      <c r="T72" s="17"/>
      <c r="U72" s="17"/>
      <c r="V72" s="17"/>
      <c r="W72" s="17"/>
      <c r="X72" s="44"/>
      <c r="Y72" s="17"/>
      <c r="Z72" s="58"/>
      <c r="AA72" s="58"/>
      <c r="AB72" s="58"/>
      <c r="AC72" s="17"/>
      <c r="AD72" s="44"/>
      <c r="AE72" s="61"/>
      <c r="AF72" s="60"/>
      <c r="AG72" s="17"/>
      <c r="AH72" s="17"/>
      <c r="AI72" s="17"/>
      <c r="AJ72" s="17"/>
      <c r="AK72" s="487"/>
      <c r="AL72" s="487"/>
      <c r="AM72" s="17"/>
      <c r="AN72" s="17"/>
    </row>
    <row r="73" spans="1:40" ht="12.75" hidden="1" outlineLevel="1">
      <c r="A73" s="230" t="s">
        <v>691</v>
      </c>
      <c r="B73" s="230"/>
      <c r="C73" s="230"/>
      <c r="D73" s="144"/>
      <c r="E73" s="37"/>
      <c r="F73" s="37"/>
      <c r="G73" s="37"/>
      <c r="H73" s="144"/>
      <c r="I73" s="37"/>
      <c r="J73" s="145"/>
      <c r="K73" s="61"/>
      <c r="L73" s="37"/>
      <c r="M73" s="61"/>
      <c r="N73" s="37"/>
      <c r="O73" s="61"/>
      <c r="P73" s="146"/>
      <c r="Q73" s="147"/>
      <c r="R73" s="330"/>
      <c r="S73" s="37"/>
      <c r="T73" s="37"/>
      <c r="U73" s="37"/>
      <c r="V73" s="37"/>
      <c r="W73" s="37"/>
      <c r="X73" s="147"/>
      <c r="Y73" s="61"/>
      <c r="Z73" s="331"/>
      <c r="AA73" s="288"/>
      <c r="AB73" s="288"/>
      <c r="AC73" s="37"/>
      <c r="AD73" s="147"/>
      <c r="AE73" s="61"/>
      <c r="AF73" s="17"/>
      <c r="AG73" s="17"/>
      <c r="AH73" s="17"/>
      <c r="AI73" s="17"/>
      <c r="AJ73" s="17"/>
      <c r="AK73" s="487"/>
      <c r="AL73" s="487"/>
      <c r="AM73" s="17"/>
      <c r="AN73" s="17"/>
    </row>
    <row r="74" spans="1:40" ht="12.75" hidden="1" outlineLevel="1">
      <c r="A74" s="20" t="s">
        <v>734</v>
      </c>
      <c r="B74" s="290">
        <f>+'qtrP&amp;L'!AN10</f>
        <v>332.23</v>
      </c>
      <c r="C74" s="20"/>
      <c r="D74" s="38">
        <f>+'qtrP&amp;L'!AN$20</f>
        <v>183.511</v>
      </c>
      <c r="E74" s="17"/>
      <c r="F74" s="38">
        <f>work!AF10</f>
        <v>146.786</v>
      </c>
      <c r="G74" s="17"/>
      <c r="H74" s="38">
        <f>(F70+F74)/2</f>
        <v>133.68600000000001</v>
      </c>
      <c r="I74" s="17"/>
      <c r="J74" s="24">
        <f>(B74/B67-1)*100</f>
        <v>13.832754284617877</v>
      </c>
      <c r="K74" s="61" t="s">
        <v>697</v>
      </c>
      <c r="L74" s="23">
        <f>(F74/F67-1)*100</f>
        <v>0.39738723025888323</v>
      </c>
      <c r="M74" s="61" t="s">
        <v>697</v>
      </c>
      <c r="N74" s="23">
        <f>(F74/F70-1)*100</f>
        <v>21.72723201698372</v>
      </c>
      <c r="O74" s="61" t="s">
        <v>697</v>
      </c>
      <c r="P74" s="143">
        <f>D74/H74</f>
        <v>1.3727017039929386</v>
      </c>
      <c r="Q74" s="20" t="s">
        <v>159</v>
      </c>
      <c r="R74" s="148">
        <f>D75/F74</f>
        <v>1.5842655294101617</v>
      </c>
      <c r="S74" s="17"/>
      <c r="T74" s="17">
        <f>qtrSales!I114</f>
        <v>809</v>
      </c>
      <c r="U74" s="17"/>
      <c r="V74" s="38">
        <f>F74/T74*1000</f>
        <v>181.44128553770085</v>
      </c>
      <c r="W74" s="22"/>
      <c r="X74" s="23">
        <f>(V74/V67-1)*100</f>
        <v>-5.559441678334986</v>
      </c>
      <c r="Y74" s="61" t="s">
        <v>697</v>
      </c>
      <c r="Z74" s="226">
        <f>qtrSales!X114</f>
        <v>4.2851819999999998</v>
      </c>
      <c r="AA74" s="58"/>
      <c r="AB74" s="228">
        <f>F74/Z74</f>
        <v>34.254321053341492</v>
      </c>
      <c r="AC74" s="22"/>
      <c r="AD74" s="295">
        <f>(AB74/AB67-1)*100</f>
        <v>-9.0143567782374312</v>
      </c>
      <c r="AE74" s="61" t="s">
        <v>697</v>
      </c>
      <c r="AF74" s="17">
        <f>H74/(D74/(365/4))</f>
        <v>66.474748107742869</v>
      </c>
      <c r="AG74" s="17"/>
      <c r="AH74" s="17">
        <f>F74/(D75/(365/4))</f>
        <v>57.597668008325165</v>
      </c>
      <c r="AI74" s="17"/>
      <c r="AJ74" s="17"/>
      <c r="AK74" s="490">
        <f>((D74-('yrP&amp;L'!$K$16/4)))/H74</f>
        <v>1.0261283904073724</v>
      </c>
      <c r="AL74" s="491" t="s">
        <v>159</v>
      </c>
      <c r="AM74" s="17"/>
      <c r="AN74" s="17"/>
    </row>
    <row r="75" spans="1:40" ht="12.75" hidden="1" outlineLevel="1">
      <c r="A75" s="20" t="s">
        <v>735</v>
      </c>
      <c r="B75" s="484">
        <f>+'qtrP&amp;L'!AN11</f>
        <v>395.40199999999999</v>
      </c>
      <c r="C75" s="20"/>
      <c r="D75" s="23">
        <f>+'qtrP&amp;L'!AN$21</f>
        <v>232.548</v>
      </c>
      <c r="E75" s="17"/>
      <c r="F75" s="25">
        <f>work!AF11</f>
        <v>169.48</v>
      </c>
      <c r="G75" s="17"/>
      <c r="H75" s="25">
        <f>AVERAGEA(F74:F75)</f>
        <v>158.13299999999998</v>
      </c>
      <c r="I75" s="17"/>
      <c r="J75" s="24">
        <f>(B75/B68-1)*100</f>
        <v>17.310824642862443</v>
      </c>
      <c r="K75" s="61"/>
      <c r="L75" s="23">
        <f>(F75/F68-1)*100</f>
        <v>6.5670665761211167</v>
      </c>
      <c r="M75" s="61"/>
      <c r="N75" s="23">
        <f>(F75/F74-1)*100</f>
        <v>15.460602509776123</v>
      </c>
      <c r="O75" s="61"/>
      <c r="P75" s="143">
        <f>D75/H75</f>
        <v>1.4705848874049061</v>
      </c>
      <c r="Q75" s="20"/>
      <c r="R75" s="148">
        <f>D76/F75</f>
        <v>1.4498878923766818</v>
      </c>
      <c r="S75" s="17"/>
      <c r="T75" s="17">
        <f>qtrSales!I115</f>
        <v>825</v>
      </c>
      <c r="U75" s="58"/>
      <c r="V75" s="23">
        <f>F75/T75*1000</f>
        <v>205.43030303030301</v>
      </c>
      <c r="W75" s="17"/>
      <c r="X75" s="23">
        <f>(V75/V68-1)*100</f>
        <v>0.23762868250907232</v>
      </c>
      <c r="Y75" s="17"/>
      <c r="Z75" s="226">
        <f>qtrSales!X115</f>
        <v>4.3907229999999995</v>
      </c>
      <c r="AA75" s="212"/>
      <c r="AB75" s="227">
        <f>F75/Z75</f>
        <v>38.599565492972346</v>
      </c>
      <c r="AC75" s="17"/>
      <c r="AD75" s="295">
        <f>(AB75/AB68-1)*100</f>
        <v>-2.6800724707364831</v>
      </c>
      <c r="AE75" s="212"/>
      <c r="AF75" s="17">
        <f>H75/(D75/(365/4))</f>
        <v>62.050141261158977</v>
      </c>
      <c r="AG75" s="17"/>
      <c r="AH75" s="17">
        <f>F75/(D76/(365/4))</f>
        <v>62.935900409804375</v>
      </c>
      <c r="AI75" s="17"/>
      <c r="AJ75" s="17"/>
      <c r="AK75" s="490">
        <f>((D75-('yrP&amp;L'!$K$16/4)))/H75</f>
        <v>1.1775910151581266</v>
      </c>
      <c r="AL75" s="491"/>
      <c r="AM75" s="17"/>
      <c r="AN75" s="17"/>
    </row>
    <row r="76" spans="1:40" ht="12.75" hidden="1" outlineLevel="1">
      <c r="A76" s="20" t="s">
        <v>736</v>
      </c>
      <c r="B76" s="484">
        <f>+'qtrP&amp;L'!AN12</f>
        <v>479.58499999999998</v>
      </c>
      <c r="C76" s="20"/>
      <c r="D76" s="23">
        <f>+'qtrP&amp;L'!AN$22</f>
        <v>245.727</v>
      </c>
      <c r="E76" s="17"/>
      <c r="F76" s="25">
        <f>work!AF12</f>
        <v>204.97200000000001</v>
      </c>
      <c r="G76" s="17"/>
      <c r="H76" s="25">
        <f>AVERAGEA(F75:F76)</f>
        <v>187.226</v>
      </c>
      <c r="I76" s="17"/>
      <c r="J76" s="24">
        <f>(B76/B69-1)*100</f>
        <v>28.299892990904208</v>
      </c>
      <c r="K76" s="61"/>
      <c r="L76" s="23">
        <f>(F76/F69-1)*100</f>
        <v>5.7668888934756302</v>
      </c>
      <c r="M76" s="61"/>
      <c r="N76" s="23">
        <f>(F76/F75-1)*100</f>
        <v>20.941704035874452</v>
      </c>
      <c r="O76" s="61"/>
      <c r="P76" s="143">
        <f>D76/H76</f>
        <v>1.3124619443880658</v>
      </c>
      <c r="Q76" s="20"/>
      <c r="R76" s="148">
        <f>D77/F76</f>
        <v>1.6667983919754892</v>
      </c>
      <c r="S76" s="17"/>
      <c r="T76" s="17">
        <f>qtrSales!I116</f>
        <v>839</v>
      </c>
      <c r="U76" s="58"/>
      <c r="V76" s="23">
        <f>F76/T76*1000</f>
        <v>244.30512514898689</v>
      </c>
      <c r="W76" s="17"/>
      <c r="X76" s="23">
        <f>(V76/V69-1)*100</f>
        <v>0.59830433491483426</v>
      </c>
      <c r="Y76" s="17"/>
      <c r="Z76" s="226">
        <f>qtrSales!X116</f>
        <v>4.4896060000000002</v>
      </c>
      <c r="AA76" s="212"/>
      <c r="AB76" s="227">
        <f>F76/Z76</f>
        <v>45.65478574289147</v>
      </c>
      <c r="AC76" s="17"/>
      <c r="AD76" s="295">
        <f>(AB76/AB69-1)*100</f>
        <v>-2.0676151967305656</v>
      </c>
      <c r="AE76" s="212"/>
      <c r="AF76" s="17">
        <f>H76/(D76/(365/4))</f>
        <v>69.525825407871338</v>
      </c>
      <c r="AG76" s="17"/>
      <c r="AH76" s="17">
        <f>F76/(D77/(365/4))</f>
        <v>54.745673165577344</v>
      </c>
      <c r="AI76" s="17"/>
      <c r="AJ76" s="17"/>
      <c r="AK76" s="490">
        <f>((D76-('yrP&amp;L'!$K$16/4)))/H76</f>
        <v>1.0649963146144232</v>
      </c>
      <c r="AL76" s="491"/>
      <c r="AM76" s="17"/>
      <c r="AN76" s="17"/>
    </row>
    <row r="77" spans="1:40" ht="12.75" hidden="1" outlineLevel="1">
      <c r="A77" s="20" t="s">
        <v>737</v>
      </c>
      <c r="B77" s="485">
        <f>+'qtrP&amp;L'!AN13</f>
        <v>674.024</v>
      </c>
      <c r="C77" s="20"/>
      <c r="D77" s="35">
        <f>+'qtrP&amp;L'!AN$23</f>
        <v>341.64699999999999</v>
      </c>
      <c r="E77" s="17"/>
      <c r="F77" s="25">
        <f>+bal!W$10</f>
        <v>170.57599999999999</v>
      </c>
      <c r="G77" s="17"/>
      <c r="H77" s="35">
        <f>AVERAGEA(F76:F77)</f>
        <v>187.774</v>
      </c>
      <c r="I77" s="17"/>
      <c r="J77" s="82">
        <f>(B77/B70-1)*100</f>
        <v>37.393289575604392</v>
      </c>
      <c r="K77" s="61"/>
      <c r="L77" s="23">
        <f>(F77/F70-1)*100</f>
        <v>41.455890401870853</v>
      </c>
      <c r="M77" s="61"/>
      <c r="N77" s="23">
        <f>(F77/F76-1)*100</f>
        <v>-16.780828600979657</v>
      </c>
      <c r="O77" s="61"/>
      <c r="P77" s="143">
        <f>D77/H77</f>
        <v>1.8194584979816162</v>
      </c>
      <c r="Q77" s="20"/>
      <c r="R77" s="148">
        <f>D81/F77</f>
        <v>1.3736809398743084</v>
      </c>
      <c r="S77" s="17"/>
      <c r="T77" s="17">
        <f>qtrSales!I117</f>
        <v>846</v>
      </c>
      <c r="U77" s="58"/>
      <c r="V77" s="23">
        <f>F77/T77*1000</f>
        <v>201.62647754137114</v>
      </c>
      <c r="W77" s="17"/>
      <c r="X77" s="23">
        <f>(V77/V70-1)*100</f>
        <v>34.600463089250624</v>
      </c>
      <c r="Y77" s="17"/>
      <c r="Z77" s="226">
        <f>qtrSales!X117</f>
        <v>4.540095</v>
      </c>
      <c r="AA77" s="212"/>
      <c r="AB77" s="227">
        <f>F77/Z77</f>
        <v>37.571019989669821</v>
      </c>
      <c r="AC77" s="17"/>
      <c r="AD77" s="381">
        <f>(AB77/AB70-1)*100</f>
        <v>32.090148552191167</v>
      </c>
      <c r="AE77" s="212"/>
      <c r="AF77" s="17">
        <f>H77/(D77/(365/4))</f>
        <v>50.152284375393322</v>
      </c>
      <c r="AG77" s="17"/>
      <c r="AH77" s="17">
        <f>F77/(D81/(365/4))</f>
        <v>66.427361224324301</v>
      </c>
      <c r="AI77" s="231"/>
      <c r="AJ77" s="231"/>
      <c r="AK77" s="490">
        <f>((D77-('yrP&amp;L'!$K$16/4)))/H77</f>
        <v>1.5727150723742371</v>
      </c>
      <c r="AL77" s="491"/>
      <c r="AM77" s="17"/>
      <c r="AN77" s="17"/>
    </row>
    <row r="78" spans="1:40" ht="12.75" hidden="1" outlineLevel="1">
      <c r="A78" s="20" t="s">
        <v>762</v>
      </c>
      <c r="B78" s="290">
        <f>+'qtrP&amp;L'!AN14</f>
        <v>1881.241</v>
      </c>
      <c r="C78" s="20"/>
      <c r="D78" s="38">
        <f>+SUM(D74:D77)</f>
        <v>1003.433</v>
      </c>
      <c r="E78" s="17"/>
      <c r="F78" s="17"/>
      <c r="G78" s="17"/>
      <c r="H78" s="38">
        <f>AVERAGEA(H77,H76,H75,H74,H70)</f>
        <v>164.80200000000002</v>
      </c>
      <c r="I78" s="17"/>
      <c r="J78" s="24">
        <f>(B78/B71-1)*100</f>
        <v>25.979362389028825</v>
      </c>
      <c r="K78" s="61"/>
      <c r="L78" s="23"/>
      <c r="M78" s="61"/>
      <c r="N78" s="23"/>
      <c r="O78" s="61"/>
      <c r="P78" s="150">
        <f>D78/H78</f>
        <v>6.0887185835123354</v>
      </c>
      <c r="Q78" s="151" t="s">
        <v>159</v>
      </c>
      <c r="R78" s="17"/>
      <c r="S78" s="17"/>
      <c r="T78" s="17"/>
      <c r="U78" s="17"/>
      <c r="V78" s="17"/>
      <c r="W78" s="17"/>
      <c r="X78" s="44"/>
      <c r="Y78" s="17"/>
      <c r="Z78" s="58"/>
      <c r="AA78" s="58"/>
      <c r="AB78" s="17">
        <f>AVERAGE(AB74:AB77)</f>
        <v>39.019923069718786</v>
      </c>
      <c r="AC78" s="17"/>
      <c r="AD78" s="44"/>
      <c r="AE78" s="61"/>
      <c r="AF78" s="60"/>
      <c r="AG78" s="17"/>
      <c r="AH78" s="17"/>
      <c r="AI78" s="17"/>
      <c r="AJ78" s="17"/>
      <c r="AK78" s="492">
        <f>(D78-'yrP&amp;L'!$K$16)/H78</f>
        <v>4.9641691241611143</v>
      </c>
      <c r="AL78" s="493" t="s">
        <v>159</v>
      </c>
      <c r="AM78" s="17"/>
      <c r="AN78" s="17"/>
    </row>
    <row r="79" spans="1:40" ht="12.75" hidden="1" outlineLevel="1">
      <c r="A79" s="20"/>
      <c r="B79" s="20"/>
      <c r="C79" s="20"/>
      <c r="D79" s="21"/>
      <c r="E79" s="17"/>
      <c r="F79" s="17"/>
      <c r="G79" s="17"/>
      <c r="H79" s="21"/>
      <c r="I79" s="17"/>
      <c r="J79" s="23"/>
      <c r="K79" s="61"/>
      <c r="L79" s="23"/>
      <c r="M79" s="61"/>
      <c r="N79" s="23"/>
      <c r="O79" s="61"/>
      <c r="P79" s="153"/>
      <c r="Q79" s="49"/>
      <c r="R79" s="300"/>
      <c r="S79" s="17"/>
      <c r="T79" s="17"/>
      <c r="U79" s="17"/>
      <c r="V79" s="17"/>
      <c r="W79" s="17"/>
      <c r="X79" s="44"/>
      <c r="Y79" s="17"/>
      <c r="Z79" s="58"/>
      <c r="AA79" s="58"/>
      <c r="AB79" s="58"/>
      <c r="AC79" s="17"/>
      <c r="AD79" s="44"/>
      <c r="AE79" s="61"/>
      <c r="AF79" s="60"/>
      <c r="AG79" s="17"/>
      <c r="AH79" s="17"/>
      <c r="AI79" s="17"/>
      <c r="AJ79" s="17"/>
      <c r="AK79" s="487"/>
      <c r="AL79" s="487"/>
      <c r="AM79" s="17"/>
      <c r="AN79" s="17"/>
    </row>
    <row r="80" spans="1:40" ht="12.75" hidden="1" outlineLevel="1">
      <c r="A80" s="230" t="s">
        <v>260</v>
      </c>
      <c r="B80" s="328"/>
      <c r="C80" s="328"/>
      <c r="D80" s="144"/>
      <c r="E80" s="37"/>
      <c r="F80" s="37"/>
      <c r="G80" s="37"/>
      <c r="H80" s="144"/>
      <c r="I80" s="37"/>
      <c r="J80" s="145"/>
      <c r="K80" s="61"/>
      <c r="L80" s="37"/>
      <c r="M80" s="61"/>
      <c r="N80" s="37"/>
      <c r="O80" s="61"/>
      <c r="P80" s="482"/>
      <c r="Q80" s="147"/>
      <c r="R80" s="330"/>
      <c r="S80" s="37"/>
      <c r="T80" s="37"/>
      <c r="U80" s="37"/>
      <c r="V80" s="37"/>
      <c r="W80" s="37"/>
      <c r="X80" s="147"/>
      <c r="Y80" s="61"/>
      <c r="Z80" s="331"/>
      <c r="AA80" s="288"/>
      <c r="AB80" s="288"/>
      <c r="AC80" s="37"/>
      <c r="AD80" s="147"/>
      <c r="AE80" s="61"/>
      <c r="AF80" s="17"/>
      <c r="AG80" s="17"/>
      <c r="AH80" s="17"/>
      <c r="AI80" s="17"/>
      <c r="AJ80" s="17"/>
      <c r="AK80" s="487"/>
      <c r="AL80" s="487"/>
      <c r="AM80" s="17"/>
      <c r="AN80" s="17"/>
    </row>
    <row r="81" spans="1:43" ht="12.75" hidden="1" outlineLevel="1">
      <c r="A81" s="20" t="s">
        <v>734</v>
      </c>
      <c r="B81" s="290">
        <f>+'qtrP&amp;L'!AR10</f>
        <v>456.47699999999998</v>
      </c>
      <c r="C81" s="20"/>
      <c r="D81" s="38">
        <f>'qtrP&amp;L'!AR20</f>
        <v>234.31700000000001</v>
      </c>
      <c r="E81" s="17"/>
      <c r="F81" s="38">
        <f>work!AJ10</f>
        <v>175.61199999999999</v>
      </c>
      <c r="G81" s="17"/>
      <c r="H81" s="38">
        <f>(F77+F81)/2</f>
        <v>173.09399999999999</v>
      </c>
      <c r="I81" s="17"/>
      <c r="J81" s="24">
        <f>(B81/B74-1)*100</f>
        <v>37.397887005989801</v>
      </c>
      <c r="K81" s="61" t="s">
        <v>697</v>
      </c>
      <c r="L81" s="23">
        <f>(F81/F74-1)*100</f>
        <v>19.638112626544757</v>
      </c>
      <c r="M81" s="61" t="s">
        <v>697</v>
      </c>
      <c r="N81" s="23">
        <f>(F81/F77-1)*100</f>
        <v>2.9523496857705611</v>
      </c>
      <c r="O81" s="61" t="s">
        <v>697</v>
      </c>
      <c r="P81" s="143">
        <f>D81/H81</f>
        <v>1.3536979906871411</v>
      </c>
      <c r="Q81" s="20" t="s">
        <v>159</v>
      </c>
      <c r="R81" s="148">
        <f>D82/F81</f>
        <v>1.6393412750837071</v>
      </c>
      <c r="S81" s="17"/>
      <c r="T81" s="17">
        <f>qtrSales!I121</f>
        <v>845</v>
      </c>
      <c r="U81" s="17"/>
      <c r="V81" s="38">
        <f>F81/T81*1000</f>
        <v>207.82485207100589</v>
      </c>
      <c r="W81" s="22"/>
      <c r="X81" s="23">
        <f>(V81/V74-1)*100</f>
        <v>14.541104277958251</v>
      </c>
      <c r="Y81" s="61" t="s">
        <v>697</v>
      </c>
      <c r="Z81" s="226">
        <f>qtrSales!X121</f>
        <v>4.5497290000000001</v>
      </c>
      <c r="AA81" s="58"/>
      <c r="AB81" s="228">
        <f>F81/Z81</f>
        <v>38.598342890312807</v>
      </c>
      <c r="AC81" s="22"/>
      <c r="AD81" s="295">
        <f>(AB81/AB74-1)*100</f>
        <v>12.681675489076905</v>
      </c>
      <c r="AE81" s="61" t="s">
        <v>697</v>
      </c>
      <c r="AF81" s="17">
        <f>H81/(D81/(365/4))</f>
        <v>67.40794521951031</v>
      </c>
      <c r="AG81" s="17"/>
      <c r="AH81" s="17">
        <f>F81/(D82/(365/4))</f>
        <v>55.66260142833324</v>
      </c>
      <c r="AI81" s="17"/>
      <c r="AJ81" s="17"/>
      <c r="AK81" s="490">
        <f>((D81-('yrP&amp;L'!$L$16/4)))/H81</f>
        <v>1.0516384161207206</v>
      </c>
      <c r="AL81" s="491" t="s">
        <v>159</v>
      </c>
      <c r="AM81" s="17"/>
      <c r="AN81" s="17"/>
    </row>
    <row r="82" spans="1:43" ht="12.75" hidden="1" outlineLevel="1">
      <c r="A82" s="20" t="s">
        <v>735</v>
      </c>
      <c r="B82" s="484">
        <f>+'qtrP&amp;L'!AR11</f>
        <v>515.86800000000005</v>
      </c>
      <c r="C82" s="20"/>
      <c r="D82" s="23">
        <f>'qtrP&amp;L'!AR21</f>
        <v>287.88799999999998</v>
      </c>
      <c r="E82" s="17"/>
      <c r="F82" s="25">
        <f>work!AJ11</f>
        <v>271.661</v>
      </c>
      <c r="G82" s="17"/>
      <c r="H82" s="25">
        <f>AVERAGEA(F81:F82)</f>
        <v>223.63650000000001</v>
      </c>
      <c r="I82" s="17"/>
      <c r="J82" s="24">
        <f>(B82/B75-1)*100</f>
        <v>30.466714887633373</v>
      </c>
      <c r="K82" s="61"/>
      <c r="L82" s="23">
        <f>(F82/F75-1)*100</f>
        <v>60.290889780505076</v>
      </c>
      <c r="M82" s="61"/>
      <c r="N82" s="23">
        <f>(F82/F81-1)*100</f>
        <v>54.6938705783204</v>
      </c>
      <c r="O82" s="61"/>
      <c r="P82" s="143">
        <f>D82/H82</f>
        <v>1.2873032800996258</v>
      </c>
      <c r="Q82" s="20"/>
      <c r="R82" s="148">
        <f>D83/F82</f>
        <v>1.1454717460364203</v>
      </c>
      <c r="S82" s="17"/>
      <c r="T82" s="17">
        <f>qtrSales!I122</f>
        <v>854</v>
      </c>
      <c r="U82" s="58"/>
      <c r="V82" s="23">
        <f>F82/T82*1000</f>
        <v>318.10421545667452</v>
      </c>
      <c r="W82" s="17"/>
      <c r="X82" s="23">
        <f>(V82/V75-1)*100</f>
        <v>54.847756520979772</v>
      </c>
      <c r="Y82" s="17"/>
      <c r="Z82" s="226">
        <f>qtrSales!X122</f>
        <v>4.6314609999999998</v>
      </c>
      <c r="AA82" s="212"/>
      <c r="AB82" s="227">
        <f>F82/Z82</f>
        <v>58.655573262950938</v>
      </c>
      <c r="AC82" s="17"/>
      <c r="AD82" s="295">
        <f>(AB82/AB75-1)*100</f>
        <v>51.959154238744219</v>
      </c>
      <c r="AE82" s="212"/>
      <c r="AF82" s="17">
        <f>H82/(D82/(365/4))</f>
        <v>70.8846170212027</v>
      </c>
      <c r="AG82" s="17"/>
      <c r="AH82" s="17">
        <f>F82/(D83/(365/4))</f>
        <v>79.661502185230404</v>
      </c>
      <c r="AI82" s="17"/>
      <c r="AJ82" s="17"/>
      <c r="AK82" s="490">
        <f>((D82-('yrP&amp;L'!$L$16/4)))/H82</f>
        <v>1.0535100486727345</v>
      </c>
      <c r="AL82" s="491"/>
      <c r="AM82" s="17"/>
      <c r="AN82" s="17"/>
    </row>
    <row r="83" spans="1:43" ht="12.75" hidden="1" outlineLevel="1">
      <c r="A83" s="20" t="s">
        <v>736</v>
      </c>
      <c r="B83" s="484">
        <f>+'qtrP&amp;L'!AR12</f>
        <v>580.54700000000003</v>
      </c>
      <c r="C83" s="20"/>
      <c r="D83" s="23">
        <f>'qtrP&amp;L'!AR22</f>
        <v>311.18</v>
      </c>
      <c r="E83" s="17"/>
      <c r="F83" s="25">
        <f>work!AJ12</f>
        <v>303.05</v>
      </c>
      <c r="G83" s="17"/>
      <c r="H83" s="25">
        <f>AVERAGEA(F82:F83)</f>
        <v>287.35550000000001</v>
      </c>
      <c r="I83" s="17"/>
      <c r="J83" s="24">
        <f>(B83/B76-1)*100</f>
        <v>21.051951166112381</v>
      </c>
      <c r="K83" s="61"/>
      <c r="L83" s="23">
        <f>(F83/F76-1)*100</f>
        <v>47.8494623655914</v>
      </c>
      <c r="M83" s="61"/>
      <c r="N83" s="23">
        <f>(F83/F82-1)*100</f>
        <v>11.554474142405425</v>
      </c>
      <c r="O83" s="61"/>
      <c r="P83" s="143">
        <f>D83/H83</f>
        <v>1.0829094971211617</v>
      </c>
      <c r="Q83" s="20"/>
      <c r="R83" s="148">
        <f>D84/F83</f>
        <v>1.3615442996205245</v>
      </c>
      <c r="S83" s="17"/>
      <c r="T83" s="17">
        <f>qtrSales!I123</f>
        <v>866</v>
      </c>
      <c r="U83" s="58"/>
      <c r="V83" s="23">
        <f>F83/T83*1000</f>
        <v>349.94226327944574</v>
      </c>
      <c r="W83" s="17"/>
      <c r="X83" s="23">
        <f>(V83/V76-1)*100</f>
        <v>43.239837095532543</v>
      </c>
      <c r="Y83" s="17"/>
      <c r="Z83" s="226">
        <f>qtrSales!X123</f>
        <v>4.7296120000000004</v>
      </c>
      <c r="AA83" s="212"/>
      <c r="AB83" s="227">
        <f>F83/Z83</f>
        <v>64.075023490298989</v>
      </c>
      <c r="AC83" s="17"/>
      <c r="AD83" s="295">
        <f>(AB83/AB76-1)*100</f>
        <v>40.346783908137354</v>
      </c>
      <c r="AE83" s="212"/>
      <c r="AF83" s="17">
        <f>H83/(D83/(365/4))</f>
        <v>84.263736020952507</v>
      </c>
      <c r="AG83" s="17"/>
      <c r="AH83" s="17">
        <f>F83/(D84/(365/4))</f>
        <v>67.019486641332378</v>
      </c>
      <c r="AI83" s="17"/>
      <c r="AJ83" s="17"/>
      <c r="AK83" s="490">
        <f>((D83-('yrP&amp;L'!$L$16/4)))/H83</f>
        <v>0.90095822074051135</v>
      </c>
      <c r="AL83" s="491"/>
      <c r="AM83" s="17"/>
      <c r="AN83" s="17"/>
    </row>
    <row r="84" spans="1:43" ht="12.75" hidden="1" outlineLevel="1">
      <c r="A84" s="20" t="s">
        <v>737</v>
      </c>
      <c r="B84" s="485">
        <f>+'qtrP&amp;L'!AR13</f>
        <v>769.07</v>
      </c>
      <c r="C84" s="20"/>
      <c r="D84" s="42">
        <f>'qtrP&amp;L'!AR23</f>
        <v>412.61599999999999</v>
      </c>
      <c r="E84" s="17"/>
      <c r="F84" s="25">
        <f>+bal!Y$10</f>
        <v>210.739</v>
      </c>
      <c r="G84" s="17"/>
      <c r="H84" s="35">
        <f>AVERAGEA(F83:F84)</f>
        <v>256.89449999999999</v>
      </c>
      <c r="I84" s="17"/>
      <c r="J84" s="82">
        <f>(B84/B77-1)*100</f>
        <v>14.101278292761087</v>
      </c>
      <c r="K84" s="61"/>
      <c r="L84" s="23">
        <f>(F84/F77-1)*100</f>
        <v>23.54551636807054</v>
      </c>
      <c r="M84" s="61"/>
      <c r="N84" s="23">
        <f>(F84/F83-1)*100</f>
        <v>-30.460650057746253</v>
      </c>
      <c r="O84" s="61"/>
      <c r="P84" s="143">
        <f>D84/H84</f>
        <v>1.6061690694039772</v>
      </c>
      <c r="Q84" s="20"/>
      <c r="R84" s="148">
        <f>D88/F84</f>
        <v>1.2719952168321953</v>
      </c>
      <c r="S84" s="17"/>
      <c r="T84" s="17">
        <f>qtrSales!I124</f>
        <v>869</v>
      </c>
      <c r="U84" s="58"/>
      <c r="V84" s="23">
        <f>F84/T84*1000</f>
        <v>242.50747986191024</v>
      </c>
      <c r="W84" s="17"/>
      <c r="X84" s="23">
        <f>(V84/V77-1)*100</f>
        <v>20.275612022310341</v>
      </c>
      <c r="Y84" s="17"/>
      <c r="Z84" s="226">
        <f>qtrSales!X124</f>
        <v>4.7724869999999999</v>
      </c>
      <c r="AA84" s="212"/>
      <c r="AB84" s="227">
        <f>F84/Z84</f>
        <v>44.157061087856292</v>
      </c>
      <c r="AC84" s="17"/>
      <c r="AD84" s="297">
        <f>(AB84/AB77-1)*100</f>
        <v>17.529577583992406</v>
      </c>
      <c r="AE84" s="212"/>
      <c r="AF84" s="17">
        <f>H84/(D84/(365/4))</f>
        <v>56.812200993175253</v>
      </c>
      <c r="AG84" s="17"/>
      <c r="AH84" s="17">
        <f>F84/(D88/(365/4))</f>
        <v>71.737691142621571</v>
      </c>
      <c r="AI84" s="231"/>
      <c r="AJ84" s="231"/>
      <c r="AK84" s="490">
        <f>((D84-('yrP&amp;L'!$L$16/4)))/H84</f>
        <v>1.4026431083577111</v>
      </c>
      <c r="AL84" s="491"/>
      <c r="AM84" s="17"/>
      <c r="AN84" s="17"/>
    </row>
    <row r="85" spans="1:43" ht="12.75" hidden="1" outlineLevel="1">
      <c r="A85" s="20" t="s">
        <v>762</v>
      </c>
      <c r="B85" s="290">
        <f>+'qtrP&amp;L'!AR14</f>
        <v>2321.962</v>
      </c>
      <c r="C85" s="20"/>
      <c r="D85" s="38">
        <f>+SUM(D81:D84)</f>
        <v>1246.001</v>
      </c>
      <c r="E85" s="17"/>
      <c r="F85" s="17"/>
      <c r="G85" s="17"/>
      <c r="H85" s="38">
        <f>AVERAGEA(H84,H83,H82,H81,H77)</f>
        <v>225.7509</v>
      </c>
      <c r="I85" s="17"/>
      <c r="J85" s="24">
        <f>(B85/B78-1)*100</f>
        <v>23.427141977024736</v>
      </c>
      <c r="K85" s="61"/>
      <c r="L85" s="23"/>
      <c r="M85" s="61"/>
      <c r="N85" s="23"/>
      <c r="O85" s="61"/>
      <c r="P85" s="150">
        <f>D85/H85</f>
        <v>5.5193622705380134</v>
      </c>
      <c r="Q85" s="151" t="s">
        <v>159</v>
      </c>
      <c r="R85" s="65"/>
      <c r="S85" s="17"/>
      <c r="T85" s="17"/>
      <c r="U85" s="17"/>
      <c r="V85" s="17"/>
      <c r="W85" s="17"/>
      <c r="X85" s="44"/>
      <c r="Y85" s="17"/>
      <c r="Z85" s="58"/>
      <c r="AA85" s="58"/>
      <c r="AB85" s="17">
        <f>AVERAGE(AB81:AB84)</f>
        <v>51.37150018285476</v>
      </c>
      <c r="AC85" s="17"/>
      <c r="AD85" s="143"/>
      <c r="AE85" s="61"/>
      <c r="AF85" s="60"/>
      <c r="AG85" s="17"/>
      <c r="AH85" s="17"/>
      <c r="AI85" s="17"/>
      <c r="AJ85" s="17"/>
      <c r="AK85" s="492">
        <f>(D85-'yrP&amp;L'!$L$16)/H85</f>
        <v>4.5929482451675723</v>
      </c>
      <c r="AL85" s="493" t="s">
        <v>159</v>
      </c>
      <c r="AM85" s="17"/>
      <c r="AN85" s="17"/>
    </row>
    <row r="86" spans="1:43" ht="10.5" hidden="1" customHeight="1" outlineLevel="1">
      <c r="A86" s="17"/>
      <c r="B86" s="17"/>
      <c r="C86" s="17"/>
      <c r="D86" s="17"/>
      <c r="E86" s="17"/>
      <c r="F86" s="17"/>
      <c r="G86" s="17"/>
      <c r="H86" s="17"/>
      <c r="I86" s="17"/>
      <c r="J86" s="17"/>
      <c r="K86" s="61"/>
      <c r="L86" s="17"/>
      <c r="M86" s="61"/>
      <c r="N86" s="17"/>
      <c r="O86" s="17"/>
      <c r="P86" s="17"/>
      <c r="Q86" s="17"/>
      <c r="R86" s="17"/>
      <c r="S86" s="17"/>
      <c r="T86" s="17"/>
      <c r="U86" s="17"/>
      <c r="V86" s="17"/>
      <c r="W86" s="17"/>
      <c r="X86" s="17"/>
      <c r="Y86" s="17"/>
      <c r="Z86" s="17"/>
      <c r="AA86" s="17"/>
      <c r="AB86" s="17"/>
      <c r="AC86" s="17"/>
      <c r="AD86" s="17"/>
      <c r="AE86" s="17"/>
      <c r="AF86" s="17"/>
      <c r="AG86" s="17"/>
      <c r="AH86" s="17"/>
      <c r="AI86" s="17"/>
      <c r="AJ86" s="17"/>
      <c r="AK86" s="17"/>
      <c r="AL86" s="17"/>
      <c r="AM86" s="17"/>
      <c r="AN86" s="17"/>
    </row>
    <row r="87" spans="1:43" ht="12.75" hidden="1" outlineLevel="1">
      <c r="A87" s="230" t="s">
        <v>259</v>
      </c>
      <c r="B87" s="328"/>
      <c r="C87" s="328"/>
      <c r="D87" s="144"/>
      <c r="E87" s="37"/>
      <c r="F87" s="37"/>
      <c r="G87" s="37"/>
      <c r="H87" s="144"/>
      <c r="I87" s="37"/>
      <c r="J87" s="145"/>
      <c r="K87" s="61"/>
      <c r="L87" s="37"/>
      <c r="M87" s="61"/>
      <c r="N87" s="37"/>
      <c r="O87" s="61"/>
      <c r="P87" s="482"/>
      <c r="Q87" s="147"/>
      <c r="R87" s="330"/>
      <c r="S87" s="37"/>
      <c r="T87" s="37"/>
      <c r="U87" s="37"/>
      <c r="V87" s="37"/>
      <c r="W87" s="37"/>
      <c r="X87" s="147"/>
      <c r="Y87" s="61"/>
      <c r="Z87" s="331"/>
      <c r="AA87" s="288"/>
      <c r="AB87" s="288"/>
      <c r="AC87" s="37"/>
      <c r="AD87" s="147"/>
      <c r="AE87" s="61"/>
      <c r="AF87" s="17"/>
      <c r="AG87" s="17"/>
      <c r="AH87" s="17"/>
      <c r="AI87" s="17"/>
      <c r="AJ87" s="17"/>
      <c r="AK87" s="487"/>
      <c r="AL87" s="487"/>
      <c r="AM87" s="17"/>
      <c r="AN87" s="17"/>
    </row>
    <row r="88" spans="1:43" ht="12.75" hidden="1" outlineLevel="1">
      <c r="A88" s="20" t="s">
        <v>734</v>
      </c>
      <c r="B88" s="290">
        <f>+'qtrP&amp;L'!AV10</f>
        <v>522.428</v>
      </c>
      <c r="C88" s="20"/>
      <c r="D88" s="38">
        <f>'qtrP&amp;L'!AV20</f>
        <v>268.05900000000003</v>
      </c>
      <c r="E88" s="17"/>
      <c r="F88" s="38">
        <f>+work!AN10</f>
        <v>195.31200000000001</v>
      </c>
      <c r="G88" s="17"/>
      <c r="H88" s="38">
        <f>(F84+F88)/2</f>
        <v>203.02550000000002</v>
      </c>
      <c r="I88" s="17"/>
      <c r="J88" s="24">
        <f>(B88/B81-1)*100</f>
        <v>14.447825410699778</v>
      </c>
      <c r="K88" s="61" t="s">
        <v>697</v>
      </c>
      <c r="L88" s="23">
        <f>(F88/F81-1)*100</f>
        <v>11.217912215566139</v>
      </c>
      <c r="M88" s="61" t="s">
        <v>697</v>
      </c>
      <c r="N88" s="23">
        <f>(F88/F84-1)*100</f>
        <v>-7.3204295360611908</v>
      </c>
      <c r="O88" s="61" t="s">
        <v>697</v>
      </c>
      <c r="P88" s="143">
        <f>D88/H88</f>
        <v>1.3203218314940735</v>
      </c>
      <c r="Q88" s="20" t="s">
        <v>159</v>
      </c>
      <c r="R88" s="148">
        <f>D89/F88</f>
        <v>1.6745770869173424</v>
      </c>
      <c r="S88" s="17"/>
      <c r="T88" s="17">
        <f>qtrSales!I128</f>
        <v>876</v>
      </c>
      <c r="U88" s="17"/>
      <c r="V88" s="38">
        <f>F88/T88*1000</f>
        <v>222.95890410958904</v>
      </c>
      <c r="W88" s="22"/>
      <c r="X88" s="23">
        <f>(V88/V81-1)*100</f>
        <v>7.2821185184399395</v>
      </c>
      <c r="Y88" s="61" t="s">
        <v>697</v>
      </c>
      <c r="Z88" s="226">
        <f>qtrSales!X128</f>
        <v>4.8470769999999996</v>
      </c>
      <c r="AA88" s="58"/>
      <c r="AB88" s="228">
        <f>F88/Z88</f>
        <v>40.294800350809368</v>
      </c>
      <c r="AC88" s="22"/>
      <c r="AD88" s="295">
        <f>(AB88/AB81-1)*100</f>
        <v>4.3951561996262045</v>
      </c>
      <c r="AE88" s="61" t="s">
        <v>697</v>
      </c>
      <c r="AF88" s="17">
        <f>H88/(D88/(365/4))</f>
        <v>69.111937577175169</v>
      </c>
      <c r="AG88" s="17"/>
      <c r="AH88" s="17">
        <f>F88/(D89/(365/4))</f>
        <v>54.491370216929361</v>
      </c>
      <c r="AI88" s="17"/>
      <c r="AJ88" s="17"/>
      <c r="AK88" s="490">
        <f>((D88-('yrP&amp;L'!$M$16/4)))/H88</f>
        <v>1.0371061763177531</v>
      </c>
      <c r="AL88" s="491" t="s">
        <v>159</v>
      </c>
      <c r="AM88" s="17"/>
      <c r="AN88" s="17">
        <f>(F88/F74-1)*100</f>
        <v>33.059011077350696</v>
      </c>
      <c r="AP88" s="17">
        <f>(B88/B74-1)*100</f>
        <v>57.248893838605788</v>
      </c>
      <c r="AQ88" s="17">
        <f>-AN88+AP89</f>
        <v>19.273551732144469</v>
      </c>
    </row>
    <row r="89" spans="1:43" ht="12.75" hidden="1" outlineLevel="1">
      <c r="A89" s="20" t="s">
        <v>735</v>
      </c>
      <c r="B89" s="484">
        <f>+'qtrP&amp;L'!AV11</f>
        <v>602.32600000000002</v>
      </c>
      <c r="C89" s="20"/>
      <c r="D89" s="23">
        <f>'qtrP&amp;L'!AV21</f>
        <v>327.065</v>
      </c>
      <c r="E89" s="17"/>
      <c r="F89" s="25">
        <f>+work!AN11</f>
        <v>267.392</v>
      </c>
      <c r="G89" s="17"/>
      <c r="H89" s="25">
        <f>AVERAGEA(F88:F89)</f>
        <v>231.352</v>
      </c>
      <c r="I89" s="17"/>
      <c r="J89" s="24">
        <f>(B89/B82-1)*100</f>
        <v>16.759713725216518</v>
      </c>
      <c r="K89" s="61"/>
      <c r="L89" s="23">
        <f>(F89/F82-1)*100</f>
        <v>-1.5714438215275628</v>
      </c>
      <c r="M89" s="61"/>
      <c r="N89" s="23">
        <f>(F89/F88-1)*100</f>
        <v>36.905054476939455</v>
      </c>
      <c r="O89" s="61"/>
      <c r="P89" s="143">
        <f>D89/H89</f>
        <v>1.4137115737058681</v>
      </c>
      <c r="Q89" s="20"/>
      <c r="R89" s="148">
        <f>D90/F89</f>
        <v>1.3162921852561034</v>
      </c>
      <c r="S89" s="17"/>
      <c r="T89" s="17">
        <f>qtrSales!I129</f>
        <v>883</v>
      </c>
      <c r="U89" s="58"/>
      <c r="V89" s="23">
        <f>F89/T89*1000</f>
        <v>302.82219705549261</v>
      </c>
      <c r="W89" s="17"/>
      <c r="X89" s="23">
        <f>(V89/V82-1)*100</f>
        <v>-4.8040917594389114</v>
      </c>
      <c r="Y89" s="17"/>
      <c r="Z89" s="226">
        <f>qtrSales!X129</f>
        <v>4.9111919999999998</v>
      </c>
      <c r="AA89" s="212"/>
      <c r="AB89" s="227">
        <f>F89/Z89</f>
        <v>54.445438093236838</v>
      </c>
      <c r="AC89" s="17"/>
      <c r="AD89" s="295">
        <f>(AB89/AB82-1)*100</f>
        <v>-7.1777240175289192</v>
      </c>
      <c r="AE89" s="212"/>
      <c r="AF89" s="17">
        <f>H89/(D89/(365/4))</f>
        <v>64.546405148823624</v>
      </c>
      <c r="AG89" s="17"/>
      <c r="AH89" s="17">
        <f>F89/(D90/(365/4))</f>
        <v>69.323514203076428</v>
      </c>
      <c r="AI89" s="17"/>
      <c r="AJ89" s="17"/>
      <c r="AK89" s="490">
        <f>((D89-('yrP&amp;L'!$M$16/4)))/H89</f>
        <v>1.1651725509180815</v>
      </c>
      <c r="AL89" s="491"/>
      <c r="AM89" s="17"/>
      <c r="AN89" s="17">
        <f>(F89/F75-1)*100</f>
        <v>57.772008496577776</v>
      </c>
      <c r="AP89" s="17">
        <f>(B89/B75-1)*100</f>
        <v>52.332562809495165</v>
      </c>
      <c r="AQ89" s="17">
        <f>-AN89+AP90</f>
        <v>-12.586066484212921</v>
      </c>
    </row>
    <row r="90" spans="1:43" ht="12.75" hidden="1" outlineLevel="1">
      <c r="A90" s="20" t="s">
        <v>736</v>
      </c>
      <c r="B90" s="484">
        <f>+'qtrP&amp;L'!AV12</f>
        <v>696.29</v>
      </c>
      <c r="C90" s="20"/>
      <c r="D90" s="23">
        <f>'qtrP&amp;L'!AV22</f>
        <v>351.96600000000001</v>
      </c>
      <c r="E90" s="17"/>
      <c r="F90" s="25">
        <f>+work!AN12</f>
        <v>348.63099999999997</v>
      </c>
      <c r="G90" s="17"/>
      <c r="H90" s="25">
        <f>AVERAGEA(F89:F90)</f>
        <v>308.01149999999996</v>
      </c>
      <c r="I90" s="17"/>
      <c r="J90" s="24">
        <f>(B90/B83-1)*100</f>
        <v>19.936887108192771</v>
      </c>
      <c r="K90" s="61"/>
      <c r="L90" s="23">
        <f>(F90/F83-1)*100</f>
        <v>15.040752351097165</v>
      </c>
      <c r="M90" s="61"/>
      <c r="N90" s="23">
        <f>(F90/F89-1)*100</f>
        <v>30.381985998085192</v>
      </c>
      <c r="O90" s="61"/>
      <c r="P90" s="143">
        <f>D90/H90</f>
        <v>1.1427040873473882</v>
      </c>
      <c r="Q90" s="20"/>
      <c r="R90" s="148">
        <f>D91/F90</f>
        <v>1.4539441415135201</v>
      </c>
      <c r="S90" s="17"/>
      <c r="T90" s="17">
        <f>qtrSales!I130</f>
        <v>906</v>
      </c>
      <c r="U90" s="58"/>
      <c r="V90" s="23">
        <f>F90/T90*1000</f>
        <v>384.80242825607058</v>
      </c>
      <c r="W90" s="17"/>
      <c r="X90" s="23">
        <f>(V90/V83-1)*100</f>
        <v>9.961690437141435</v>
      </c>
      <c r="Y90" s="17"/>
      <c r="Z90" s="226">
        <f>qtrSales!X130</f>
        <v>5.0647710000000004</v>
      </c>
      <c r="AA90" s="212"/>
      <c r="AB90" s="227">
        <f>F90/Z90</f>
        <v>68.834504067409952</v>
      </c>
      <c r="AC90" s="17"/>
      <c r="AD90" s="295">
        <f>(AB90/AB83-1)*100</f>
        <v>7.4279810101537391</v>
      </c>
      <c r="AE90" s="212"/>
      <c r="AF90" s="17">
        <f>H90/(D90/(365/4))</f>
        <v>79.854444392356072</v>
      </c>
      <c r="AG90" s="17"/>
      <c r="AH90" s="17">
        <f>F90/(D91/(365/4))</f>
        <v>62.760320286452675</v>
      </c>
      <c r="AI90" s="17"/>
      <c r="AJ90" s="17"/>
      <c r="AK90" s="490">
        <f>((D90-('yrP&amp;L'!$M$16/4)))/H90</f>
        <v>0.95602274590396807</v>
      </c>
      <c r="AL90" s="491"/>
      <c r="AM90" s="17"/>
      <c r="AN90" s="17">
        <f>(F90/F76-1)*100</f>
        <v>70.087133852428593</v>
      </c>
      <c r="AP90" s="17">
        <f>(B90/B76-1)*100</f>
        <v>45.185942012364855</v>
      </c>
      <c r="AQ90" s="17">
        <f>-AN90+AP91</f>
        <v>-25.676103978121454</v>
      </c>
    </row>
    <row r="91" spans="1:43" ht="12.75" hidden="1" outlineLevel="1">
      <c r="A91" s="20" t="s">
        <v>737</v>
      </c>
      <c r="B91" s="485">
        <f>+'qtrP&amp;L'!AV13</f>
        <v>973.36500000000001</v>
      </c>
      <c r="C91" s="20"/>
      <c r="D91" s="42">
        <f>'qtrP&amp;L'!AV23</f>
        <v>506.89</v>
      </c>
      <c r="E91" s="17"/>
      <c r="F91" s="25">
        <f>bal!AA10</f>
        <v>263.64400000000001</v>
      </c>
      <c r="G91" s="17"/>
      <c r="H91" s="35">
        <f>AVERAGEA(F90:F91)</f>
        <v>306.13749999999999</v>
      </c>
      <c r="I91" s="17"/>
      <c r="J91" s="82">
        <f>(B91/B84-1)*100</f>
        <v>26.563901855487781</v>
      </c>
      <c r="K91" s="61"/>
      <c r="L91" s="23">
        <f>(F91/F84-1)*100</f>
        <v>25.10451316557447</v>
      </c>
      <c r="M91" s="61"/>
      <c r="N91" s="23">
        <f>(F91/F90-1)*100</f>
        <v>-24.377350264319574</v>
      </c>
      <c r="O91" s="61"/>
      <c r="P91" s="143">
        <f>D91/H91</f>
        <v>1.6557592585031236</v>
      </c>
      <c r="Q91" s="20"/>
      <c r="R91" s="148">
        <f>D95/F91</f>
        <v>1.1907230962965212</v>
      </c>
      <c r="S91" s="17"/>
      <c r="T91" s="17">
        <f>qtrSales!I131</f>
        <v>911</v>
      </c>
      <c r="U91" s="58"/>
      <c r="V91" s="23">
        <f>F91/T91*1000</f>
        <v>289.40065861690448</v>
      </c>
      <c r="W91" s="17"/>
      <c r="X91" s="23">
        <f>(V91/V84-1)*100</f>
        <v>19.336796861563354</v>
      </c>
      <c r="Y91" s="17"/>
      <c r="Z91" s="226">
        <f>qtrSales!X131</f>
        <v>5.1730650000000002</v>
      </c>
      <c r="AA91" s="212"/>
      <c r="AB91" s="227">
        <f>F91/Z91</f>
        <v>50.964756870443345</v>
      </c>
      <c r="AC91" s="17"/>
      <c r="AD91" s="297">
        <f>(AB91/AB84-1)*100</f>
        <v>15.417003792535567</v>
      </c>
      <c r="AE91" s="212"/>
      <c r="AF91" s="17">
        <f>H91/(D91/(365/4))</f>
        <v>55.110668734833986</v>
      </c>
      <c r="AG91" s="17"/>
      <c r="AH91" s="17">
        <f>F91/(D95/(365/4))</f>
        <v>76.634106018278132</v>
      </c>
      <c r="AI91" s="231"/>
      <c r="AJ91" s="231"/>
      <c r="AK91" s="490">
        <f>((D91-('yrP&amp;L'!$M$16/4)))/H91</f>
        <v>1.4679351598546404</v>
      </c>
      <c r="AL91" s="491"/>
      <c r="AM91" s="17"/>
      <c r="AN91" s="17">
        <f>(F91/F77-1)*100</f>
        <v>54.561016790169781</v>
      </c>
      <c r="AP91" s="17">
        <f>(B91/B77-1)*100</f>
        <v>44.41102987430714</v>
      </c>
      <c r="AQ91" s="17">
        <f>-AN91+AP92</f>
        <v>-54.561016790169781</v>
      </c>
    </row>
    <row r="92" spans="1:43" ht="12.75" hidden="1" outlineLevel="1">
      <c r="A92" s="20" t="s">
        <v>762</v>
      </c>
      <c r="B92" s="290">
        <f>+'qtrP&amp;L'!AV14</f>
        <v>2794.4089999999997</v>
      </c>
      <c r="C92" s="20"/>
      <c r="D92" s="38">
        <f>+SUM(D88:D91)</f>
        <v>1453.98</v>
      </c>
      <c r="E92" s="17"/>
      <c r="F92" s="17"/>
      <c r="G92" s="17"/>
      <c r="H92" s="38">
        <f>AVERAGEA(H91,H90,H89,H88,H84)</f>
        <v>261.08419999999995</v>
      </c>
      <c r="I92" s="17"/>
      <c r="J92" s="24">
        <f>(B92/B85-1)*100</f>
        <v>20.34688767516435</v>
      </c>
      <c r="K92" s="61"/>
      <c r="L92" s="23"/>
      <c r="M92" s="61"/>
      <c r="N92" s="23"/>
      <c r="O92" s="61"/>
      <c r="P92" s="150">
        <f>D92/H92</f>
        <v>5.5690080058463911</v>
      </c>
      <c r="Q92" s="151" t="s">
        <v>159</v>
      </c>
      <c r="R92" s="17"/>
      <c r="S92" s="17"/>
      <c r="T92" s="17"/>
      <c r="U92" s="17"/>
      <c r="V92" s="17"/>
      <c r="W92" s="17"/>
      <c r="X92" s="44"/>
      <c r="Y92" s="17"/>
      <c r="Z92" s="58"/>
      <c r="AA92" s="58"/>
      <c r="AB92" s="17">
        <f>AVERAGE(AB88:AB91)</f>
        <v>53.634874845474883</v>
      </c>
      <c r="AC92" s="17"/>
      <c r="AD92" s="44"/>
      <c r="AE92" s="61"/>
      <c r="AF92" s="60"/>
      <c r="AG92" s="17"/>
      <c r="AH92" s="17"/>
      <c r="AI92" s="17"/>
      <c r="AJ92" s="17"/>
      <c r="AK92" s="492">
        <f>(D92-'yrP&amp;L'!$M$16)/H92</f>
        <v>4.6880661487749942</v>
      </c>
      <c r="AL92" s="493" t="s">
        <v>159</v>
      </c>
      <c r="AM92" s="17"/>
      <c r="AN92" s="17"/>
      <c r="AP92" s="17"/>
    </row>
    <row r="93" spans="1:43" ht="10.5" hidden="1" customHeight="1" outlineLevel="1">
      <c r="A93" s="17"/>
      <c r="B93" s="17"/>
      <c r="C93" s="17"/>
      <c r="D93" s="17"/>
      <c r="E93" s="17"/>
      <c r="F93" s="17"/>
      <c r="G93" s="17"/>
      <c r="H93" s="17"/>
      <c r="I93" s="17"/>
      <c r="J93" s="17"/>
      <c r="K93" s="61"/>
      <c r="L93" s="17"/>
      <c r="M93" s="61"/>
      <c r="N93" s="17"/>
      <c r="O93" s="17"/>
      <c r="P93" s="17"/>
      <c r="Q93" s="17"/>
      <c r="R93" s="17"/>
      <c r="S93" s="17"/>
      <c r="T93" s="17"/>
      <c r="U93" s="17"/>
      <c r="V93" s="17"/>
      <c r="W93" s="17"/>
      <c r="X93" s="17"/>
      <c r="Y93" s="17"/>
      <c r="Z93" s="17"/>
      <c r="AA93" s="17"/>
      <c r="AB93" s="17"/>
      <c r="AC93" s="17"/>
      <c r="AD93" s="17"/>
      <c r="AE93" s="17"/>
      <c r="AF93" s="17"/>
      <c r="AG93" s="17"/>
      <c r="AH93" s="17"/>
      <c r="AI93" s="17"/>
      <c r="AJ93" s="17"/>
      <c r="AK93" s="17"/>
      <c r="AL93" s="17"/>
      <c r="AM93" s="17"/>
      <c r="AN93" s="17"/>
      <c r="AP93" s="17"/>
    </row>
    <row r="94" spans="1:43" ht="12.75" hidden="1" outlineLevel="1">
      <c r="A94" s="230" t="s">
        <v>258</v>
      </c>
      <c r="B94" s="328"/>
      <c r="C94" s="328"/>
      <c r="D94" s="144"/>
      <c r="E94" s="37"/>
      <c r="F94" s="37"/>
      <c r="G94" s="37"/>
      <c r="H94" s="144"/>
      <c r="I94" s="37"/>
      <c r="J94" s="145"/>
      <c r="K94" s="61"/>
      <c r="L94" s="37"/>
      <c r="M94" s="61"/>
      <c r="N94" s="37"/>
      <c r="O94" s="61"/>
      <c r="P94" s="482"/>
      <c r="Q94" s="147"/>
      <c r="R94" s="330"/>
      <c r="S94" s="37"/>
      <c r="T94" s="17"/>
      <c r="U94" s="37"/>
      <c r="V94" s="37"/>
      <c r="W94" s="37"/>
      <c r="X94" s="147"/>
      <c r="Y94" s="61"/>
      <c r="Z94" s="331"/>
      <c r="AA94" s="288"/>
      <c r="AB94" s="288"/>
      <c r="AC94" s="37"/>
      <c r="AD94" s="147"/>
      <c r="AE94" s="61"/>
      <c r="AF94" s="17"/>
      <c r="AG94" s="17"/>
      <c r="AH94" s="17"/>
      <c r="AI94" s="17"/>
      <c r="AJ94" s="17"/>
      <c r="AK94" s="487"/>
      <c r="AL94" s="487"/>
      <c r="AM94" s="17"/>
      <c r="AN94" s="17"/>
      <c r="AP94" s="17"/>
    </row>
    <row r="95" spans="1:43" ht="12.75" hidden="1" outlineLevel="1">
      <c r="A95" s="20" t="s">
        <v>734</v>
      </c>
      <c r="B95" s="290">
        <f>+'qtrP&amp;L'!AZ10</f>
        <v>612.38599999999997</v>
      </c>
      <c r="C95" s="20"/>
      <c r="D95" s="38">
        <f>+'qtrP&amp;L'!AZ20</f>
        <v>313.92700000000002</v>
      </c>
      <c r="E95" s="17"/>
      <c r="F95" s="38">
        <f>work!AR10</f>
        <v>274.846</v>
      </c>
      <c r="G95" s="17"/>
      <c r="H95" s="38">
        <f>(F91+F95)/2</f>
        <v>269.245</v>
      </c>
      <c r="I95" s="17"/>
      <c r="J95" s="24">
        <f>(B95/B88-1)*100</f>
        <v>17.219214896598189</v>
      </c>
      <c r="K95" s="61" t="s">
        <v>697</v>
      </c>
      <c r="L95" s="23">
        <f>(F95/F88-1)*100</f>
        <v>40.721512247071345</v>
      </c>
      <c r="M95" s="61" t="s">
        <v>697</v>
      </c>
      <c r="N95" s="23">
        <f>(F95/F91-1)*100</f>
        <v>4.2489114108418935</v>
      </c>
      <c r="O95" s="61" t="s">
        <v>697</v>
      </c>
      <c r="P95" s="143">
        <f>D95/H95</f>
        <v>1.1659529424873258</v>
      </c>
      <c r="Q95" s="20" t="s">
        <v>159</v>
      </c>
      <c r="R95" s="148">
        <f>D96/F95</f>
        <v>1.4071225340736266</v>
      </c>
      <c r="S95" s="17"/>
      <c r="T95" s="17">
        <f>qtrSales!I135</f>
        <v>922</v>
      </c>
      <c r="U95" s="17"/>
      <c r="V95" s="38">
        <f>F95/T95*1000</f>
        <v>298.0976138828633</v>
      </c>
      <c r="W95" s="22"/>
      <c r="X95" s="23">
        <f>(V95/V88-1)*100</f>
        <v>33.700699271620913</v>
      </c>
      <c r="Y95" s="61" t="s">
        <v>697</v>
      </c>
      <c r="Z95" s="226">
        <f>qtrSales!X135</f>
        <v>5.2570319999999997</v>
      </c>
      <c r="AA95" s="58"/>
      <c r="AB95" s="228">
        <f>F95/Z95</f>
        <v>52.281591590083536</v>
      </c>
      <c r="AC95" s="22"/>
      <c r="AD95" s="295">
        <f>(AB95/AB88-1)*100</f>
        <v>29.747737015486674</v>
      </c>
      <c r="AE95" s="61" t="s">
        <v>697</v>
      </c>
      <c r="AF95" s="17">
        <f>H95/(D95/(365/4))</f>
        <v>78.262163655881778</v>
      </c>
      <c r="AG95" s="17"/>
      <c r="AH95" s="17">
        <f>F95/(D96/(365/4))</f>
        <v>64.848652331528513</v>
      </c>
      <c r="AI95" s="17"/>
      <c r="AJ95" s="17"/>
      <c r="AK95" s="490">
        <f>((D95-('yrP&amp;L'!$N$16/4)))/H95</f>
        <v>0.92660123679176964</v>
      </c>
      <c r="AL95" s="491" t="s">
        <v>159</v>
      </c>
      <c r="AM95" s="17"/>
      <c r="AN95" s="17">
        <f>(F95/F81-1)*100</f>
        <v>56.507527959364978</v>
      </c>
      <c r="AP95" s="17">
        <f>(B95/B81-1)*100</f>
        <v>34.154842412651675</v>
      </c>
      <c r="AQ95" s="17">
        <f>-AN95+AP96</f>
        <v>-20.19571951224286</v>
      </c>
    </row>
    <row r="96" spans="1:43" ht="12.75" hidden="1" outlineLevel="1">
      <c r="A96" s="20" t="s">
        <v>735</v>
      </c>
      <c r="B96" s="484">
        <f>+'qtrP&amp;L'!AZ11</f>
        <v>703.18899999999996</v>
      </c>
      <c r="C96" s="20"/>
      <c r="D96" s="23">
        <f>+'qtrP&amp;L'!AZ21</f>
        <v>386.74200000000002</v>
      </c>
      <c r="E96" s="17"/>
      <c r="F96" s="25">
        <f>work!AR11</f>
        <v>321.26299999999998</v>
      </c>
      <c r="G96" s="17"/>
      <c r="H96" s="25">
        <f>AVERAGEA(F95:F96)</f>
        <v>298.05449999999996</v>
      </c>
      <c r="I96" s="17"/>
      <c r="J96" s="24">
        <f>(B96/B89-1)*100</f>
        <v>16.745582956737692</v>
      </c>
      <c r="K96" s="61"/>
      <c r="L96" s="23">
        <f>(F96/F89-1)*100</f>
        <v>20.146825634274769</v>
      </c>
      <c r="M96" s="61"/>
      <c r="N96" s="23">
        <f>(F96/F95-1)*100</f>
        <v>16.88836657619175</v>
      </c>
      <c r="O96" s="61"/>
      <c r="P96" s="143">
        <f>D96/H96</f>
        <v>1.2975546418524131</v>
      </c>
      <c r="Q96" s="20"/>
      <c r="R96" s="148">
        <f>D97/F96</f>
        <v>1.2187086592604814</v>
      </c>
      <c r="S96" s="17"/>
      <c r="T96" s="17">
        <f>qtrSales!I136</f>
        <v>928</v>
      </c>
      <c r="U96" s="58"/>
      <c r="V96" s="23">
        <f>F96/T96*1000</f>
        <v>346.18857758620686</v>
      </c>
      <c r="W96" s="17"/>
      <c r="X96" s="23">
        <f>(V96/V89-1)*100</f>
        <v>14.320740339509296</v>
      </c>
      <c r="Y96" s="17"/>
      <c r="Z96" s="226">
        <f>qtrSales!X136</f>
        <v>5.3504680000000002</v>
      </c>
      <c r="AA96" s="212"/>
      <c r="AB96" s="227">
        <f>F96/Z96</f>
        <v>60.043906439586209</v>
      </c>
      <c r="AC96" s="17"/>
      <c r="AD96" s="295">
        <f>(AB96/AB89-1)*100</f>
        <v>10.28271337767932</v>
      </c>
      <c r="AE96" s="212"/>
      <c r="AF96" s="17">
        <f>H96/(D96/(365/4))</f>
        <v>70.324591394262825</v>
      </c>
      <c r="AG96" s="17"/>
      <c r="AH96" s="17">
        <f>F96/(D97/(365/4))</f>
        <v>74.874334654658952</v>
      </c>
      <c r="AI96" s="17"/>
      <c r="AJ96" s="17"/>
      <c r="AK96" s="490">
        <f>((D96-('yrP&amp;L'!$N$16/4)))/H96</f>
        <v>1.0813383122885245</v>
      </c>
      <c r="AL96" s="491"/>
      <c r="AM96" s="17"/>
      <c r="AN96" s="17">
        <f>(F96/F82-1)*100</f>
        <v>18.258785766083463</v>
      </c>
      <c r="AP96" s="17">
        <f>(B96/B82-1)*100</f>
        <v>36.311808447122118</v>
      </c>
      <c r="AQ96" s="17">
        <f>-AN96+AP97</f>
        <v>9.9725202263684736</v>
      </c>
    </row>
    <row r="97" spans="1:43" ht="12.75" hidden="1" outlineLevel="1">
      <c r="A97" s="20" t="s">
        <v>736</v>
      </c>
      <c r="B97" s="484">
        <f>+'qtrP&amp;L'!AZ12</f>
        <v>744.44299999999998</v>
      </c>
      <c r="C97" s="20"/>
      <c r="D97" s="23">
        <f>+'qtrP&amp;L'!AZ22</f>
        <v>391.52600000000001</v>
      </c>
      <c r="E97" s="17"/>
      <c r="F97" s="25">
        <f>work!AR12</f>
        <v>393.06799999999998</v>
      </c>
      <c r="G97" s="17"/>
      <c r="H97" s="25">
        <f>AVERAGEA(F96:F97)</f>
        <v>357.16549999999995</v>
      </c>
      <c r="I97" s="17"/>
      <c r="J97" s="24">
        <f>(B97/B90-1)*100</f>
        <v>6.9156529606916761</v>
      </c>
      <c r="K97" s="61"/>
      <c r="L97" s="23">
        <f>(F97/F90-1)*100</f>
        <v>12.746141335681571</v>
      </c>
      <c r="M97" s="61"/>
      <c r="N97" s="23">
        <f>(F97/F96-1)*100</f>
        <v>22.350846502709622</v>
      </c>
      <c r="O97" s="61"/>
      <c r="P97" s="143">
        <f>D97/H97</f>
        <v>1.096203300710735</v>
      </c>
      <c r="Q97" s="20"/>
      <c r="R97" s="148">
        <f>D98/F97</f>
        <v>1.3740268859332228</v>
      </c>
      <c r="S97" s="17"/>
      <c r="T97" s="17">
        <f>qtrSales!I137</f>
        <v>974</v>
      </c>
      <c r="U97" s="58"/>
      <c r="V97" s="23">
        <f>F97/T97*1000</f>
        <v>403.56057494866525</v>
      </c>
      <c r="W97" s="17"/>
      <c r="X97" s="23">
        <f>(V97/V90-1)*100</f>
        <v>4.8747474847304906</v>
      </c>
      <c r="Y97" s="17"/>
      <c r="Z97" s="226">
        <f>qtrSales!X137</f>
        <v>5.618474</v>
      </c>
      <c r="AA97" s="212"/>
      <c r="AB97" s="227">
        <f>F97/Z97</f>
        <v>69.959921501817036</v>
      </c>
      <c r="AC97" s="17"/>
      <c r="AD97" s="295">
        <f>(AB97/AB90-1)*100</f>
        <v>1.6349612010060577</v>
      </c>
      <c r="AE97" s="212"/>
      <c r="AF97" s="17">
        <f>H97/(D97/(365/4))</f>
        <v>83.241858458952905</v>
      </c>
      <c r="AG97" s="17"/>
      <c r="AH97" s="17">
        <f>F97/(D98/(365/4))</f>
        <v>66.410636454194318</v>
      </c>
      <c r="AI97" s="17"/>
      <c r="AJ97" s="17"/>
      <c r="AK97" s="490">
        <f>((D97-('yrP&amp;L'!$N$16/4)))/H97</f>
        <v>0.915770840128736</v>
      </c>
      <c r="AL97" s="491"/>
      <c r="AM97" s="17"/>
      <c r="AN97" s="17">
        <f>(F97/F83-1)*100</f>
        <v>29.704009239399419</v>
      </c>
      <c r="AP97" s="17">
        <f>(B97/B83-1)*100</f>
        <v>28.231305992451937</v>
      </c>
      <c r="AQ97" s="17">
        <f>-AN97+AP98</f>
        <v>-0.27482854063338635</v>
      </c>
    </row>
    <row r="98" spans="1:43" ht="12.75" hidden="1" outlineLevel="1">
      <c r="A98" s="20" t="s">
        <v>737</v>
      </c>
      <c r="B98" s="485">
        <f>+'qtrP&amp;L'!AZ13</f>
        <v>995.40099999999995</v>
      </c>
      <c r="C98" s="20"/>
      <c r="D98" s="42">
        <f>+'qtrP&amp;L'!AZ23</f>
        <v>540.08600000000001</v>
      </c>
      <c r="E98" s="17"/>
      <c r="F98" s="25">
        <f>work!AR13</f>
        <v>286.48500000000001</v>
      </c>
      <c r="G98" s="17"/>
      <c r="H98" s="35">
        <f>AVERAGEA(F97:F98)</f>
        <v>339.7765</v>
      </c>
      <c r="I98" s="17"/>
      <c r="J98" s="82">
        <f>(B98/B91-1)*100</f>
        <v>2.2638989484931038</v>
      </c>
      <c r="K98" s="61"/>
      <c r="L98" s="23">
        <f>(F98/F91-1)*100</f>
        <v>8.6635766412283211</v>
      </c>
      <c r="M98" s="61"/>
      <c r="N98" s="23">
        <f>(F98/F97-1)*100</f>
        <v>-27.115664465181588</v>
      </c>
      <c r="O98" s="61"/>
      <c r="P98" s="143">
        <f>D98/H98</f>
        <v>1.5895331195653615</v>
      </c>
      <c r="Q98" s="20"/>
      <c r="R98" s="148">
        <f>D102/F98</f>
        <v>1.3146761610555526</v>
      </c>
      <c r="S98" s="17"/>
      <c r="T98" s="17">
        <f>qtrSales!I138</f>
        <v>987</v>
      </c>
      <c r="U98" s="58"/>
      <c r="V98" s="23">
        <f>F98/T98*1000</f>
        <v>290.258358662614</v>
      </c>
      <c r="W98" s="17"/>
      <c r="X98" s="23">
        <f>(V98/V91-1)*100</f>
        <v>0.29637114504459383</v>
      </c>
      <c r="Y98" s="17"/>
      <c r="Z98" s="226">
        <f>qtrSales!X138</f>
        <v>5.7099320000000002</v>
      </c>
      <c r="AA98" s="212"/>
      <c r="AB98" s="227">
        <f>F98/Z98</f>
        <v>50.173101886327196</v>
      </c>
      <c r="AC98" s="17"/>
      <c r="AD98" s="297">
        <f>(AB98/AB91-1)*100</f>
        <v>-1.5533380962232446</v>
      </c>
      <c r="AE98" s="212"/>
      <c r="AF98" s="17">
        <f>H98/(D98/(365/4))</f>
        <v>57.406793779138873</v>
      </c>
      <c r="AG98" s="17"/>
      <c r="AH98" s="17">
        <f>F98/(D102/(365/4))</f>
        <v>69.408727946154769</v>
      </c>
      <c r="AI98" s="231"/>
      <c r="AJ98" s="231"/>
      <c r="AK98" s="490">
        <f>((D98-('yrP&amp;L'!$N$16/4)))/H98</f>
        <v>1.3998665299101027</v>
      </c>
      <c r="AL98" s="491"/>
      <c r="AM98" s="17"/>
      <c r="AN98" s="17">
        <f>(F98/F84-1)*100</f>
        <v>35.943038545309605</v>
      </c>
      <c r="AP98" s="17">
        <f>(B98/B84-1)*100</f>
        <v>29.429180698766032</v>
      </c>
      <c r="AQ98" s="17">
        <f>-AN98+AP99</f>
        <v>-35.943038545309605</v>
      </c>
    </row>
    <row r="99" spans="1:43" ht="12.75" hidden="1" outlineLevel="1">
      <c r="A99" s="20" t="s">
        <v>762</v>
      </c>
      <c r="B99" s="290">
        <f>+'qtrP&amp;L'!AZ14</f>
        <v>3055.4189999999999</v>
      </c>
      <c r="C99" s="20"/>
      <c r="D99" s="38">
        <f>+SUM(D95:D98)</f>
        <v>1632.2810000000002</v>
      </c>
      <c r="E99" s="17"/>
      <c r="F99" s="17"/>
      <c r="G99" s="17"/>
      <c r="H99" s="38">
        <f>AVERAGEA(H98,H97,H96,H95,H91)</f>
        <v>314.07580000000002</v>
      </c>
      <c r="I99" s="17"/>
      <c r="J99" s="24">
        <f>(B99/B92-1)*100</f>
        <v>9.3404365645830758</v>
      </c>
      <c r="K99" s="61"/>
      <c r="L99" s="23"/>
      <c r="M99" s="61"/>
      <c r="N99" s="23"/>
      <c r="O99" s="61"/>
      <c r="P99" s="150">
        <f>D99/H99</f>
        <v>5.1970925489961344</v>
      </c>
      <c r="Q99" s="151" t="s">
        <v>159</v>
      </c>
      <c r="R99" s="642">
        <f>P98/P91-1</f>
        <v>-3.9997444433820251E-2</v>
      </c>
      <c r="S99" s="17"/>
      <c r="T99" s="17">
        <f>T98-T97</f>
        <v>13</v>
      </c>
      <c r="U99" s="17"/>
      <c r="V99" s="17"/>
      <c r="W99" s="17"/>
      <c r="X99" s="44"/>
      <c r="Y99" s="17"/>
      <c r="Z99" s="642">
        <f>X98/X91-1</f>
        <v>-0.98467320378000633</v>
      </c>
      <c r="AA99" s="58"/>
      <c r="AB99" s="17">
        <f>AVERAGE(AB95:AB98)</f>
        <v>58.114630354453496</v>
      </c>
      <c r="AC99" s="17"/>
      <c r="AD99" s="44"/>
      <c r="AE99" s="61"/>
      <c r="AF99" s="60"/>
      <c r="AG99" s="17"/>
      <c r="AH99" s="17"/>
      <c r="AI99" s="17"/>
      <c r="AJ99" s="17"/>
      <c r="AK99" s="492">
        <f>(D99-'yrP&amp;L'!$N$16)/H99</f>
        <v>4.3763448186711615</v>
      </c>
      <c r="AL99" s="493" t="s">
        <v>159</v>
      </c>
      <c r="AM99" s="17"/>
      <c r="AN99" s="17"/>
      <c r="AP99" s="17"/>
    </row>
    <row r="100" spans="1:43" ht="10.5" hidden="1" customHeight="1" outlineLevel="1">
      <c r="A100" s="17"/>
      <c r="B100" s="17"/>
      <c r="C100" s="17"/>
      <c r="D100" s="17"/>
      <c r="E100" s="17"/>
      <c r="F100" s="17"/>
      <c r="G100" s="17"/>
      <c r="H100" s="17"/>
      <c r="I100" s="17"/>
      <c r="J100" s="17"/>
      <c r="K100" s="61"/>
      <c r="L100" s="17"/>
      <c r="M100" s="61"/>
      <c r="N100" s="17"/>
      <c r="O100" s="17"/>
      <c r="P100" s="17"/>
      <c r="Q100" s="17"/>
      <c r="R100" s="65"/>
      <c r="S100" s="17"/>
      <c r="T100" s="17"/>
      <c r="U100" s="17"/>
      <c r="V100" s="17"/>
      <c r="W100" s="17"/>
      <c r="X100" s="17"/>
      <c r="Y100" s="17"/>
      <c r="Z100" s="17"/>
      <c r="AA100" s="17"/>
      <c r="AB100" s="17"/>
      <c r="AC100" s="17"/>
      <c r="AD100" s="17"/>
      <c r="AE100" s="17"/>
      <c r="AF100" s="17"/>
      <c r="AG100" s="17"/>
      <c r="AH100" s="17"/>
      <c r="AI100" s="17"/>
      <c r="AJ100" s="17"/>
      <c r="AK100" s="17"/>
      <c r="AL100" s="17"/>
      <c r="AM100" s="17"/>
      <c r="AN100" s="17"/>
      <c r="AP100" s="17"/>
    </row>
    <row r="101" spans="1:43" ht="12.75" hidden="1" outlineLevel="1">
      <c r="A101" s="230" t="s">
        <v>257</v>
      </c>
      <c r="B101" s="328"/>
      <c r="C101" s="328"/>
      <c r="D101" s="144"/>
      <c r="E101" s="37"/>
      <c r="F101" s="37"/>
      <c r="G101" s="37"/>
      <c r="H101" s="144"/>
      <c r="I101" s="37"/>
      <c r="J101" s="145"/>
      <c r="K101" s="61"/>
      <c r="L101" s="37"/>
      <c r="M101" s="61"/>
      <c r="N101" s="37"/>
      <c r="O101" s="61"/>
      <c r="P101" s="482"/>
      <c r="Q101" s="147"/>
      <c r="R101" s="330"/>
      <c r="S101" s="37"/>
      <c r="T101" s="37"/>
      <c r="U101" s="37"/>
      <c r="V101" s="37"/>
      <c r="W101" s="37"/>
      <c r="X101" s="147"/>
      <c r="Y101" s="61"/>
      <c r="Z101" s="331"/>
      <c r="AA101" s="288"/>
      <c r="AB101" s="288"/>
      <c r="AC101" s="37"/>
      <c r="AD101" s="147"/>
      <c r="AE101" s="61"/>
      <c r="AF101" s="17"/>
      <c r="AG101" s="17"/>
      <c r="AH101" s="17"/>
      <c r="AI101" s="17"/>
      <c r="AJ101" s="17"/>
      <c r="AK101" s="487"/>
      <c r="AL101" s="487"/>
      <c r="AM101" s="17"/>
      <c r="AN101" s="17"/>
      <c r="AP101" s="17"/>
    </row>
    <row r="102" spans="1:43" ht="12.75" hidden="1" outlineLevel="1">
      <c r="A102" s="20" t="s">
        <v>734</v>
      </c>
      <c r="B102" s="290">
        <f>+'qtrP&amp;L'!BD10</f>
        <v>640.30200000000002</v>
      </c>
      <c r="C102" s="20"/>
      <c r="D102" s="38">
        <f>+'qtrP&amp;L'!BD20</f>
        <v>376.63499999999999</v>
      </c>
      <c r="E102" s="17"/>
      <c r="F102" s="38">
        <f>work!AV10</f>
        <v>262.20100000000002</v>
      </c>
      <c r="G102" s="17"/>
      <c r="H102" s="38">
        <f>(F98+F102)/2</f>
        <v>274.34300000000002</v>
      </c>
      <c r="I102" s="17"/>
      <c r="J102" s="24">
        <f>(B102/B95-1)*100</f>
        <v>4.5585627365746451</v>
      </c>
      <c r="K102" s="61" t="s">
        <v>697</v>
      </c>
      <c r="L102" s="23">
        <f>(F102/F95-1)*100</f>
        <v>-4.6007582427977756</v>
      </c>
      <c r="M102" s="61" t="s">
        <v>697</v>
      </c>
      <c r="N102" s="23">
        <f>(F102/F98-1)*100</f>
        <v>-8.4765345480566126</v>
      </c>
      <c r="O102" s="61" t="s">
        <v>697</v>
      </c>
      <c r="P102" s="143">
        <f>D102/H102</f>
        <v>1.3728617096116904</v>
      </c>
      <c r="Q102" s="20" t="s">
        <v>159</v>
      </c>
      <c r="R102" s="148">
        <f>D103/F102</f>
        <v>1.523377103824928</v>
      </c>
      <c r="S102" s="17"/>
      <c r="T102" s="17">
        <f>qtrSales!I142</f>
        <v>1018</v>
      </c>
      <c r="U102" s="17"/>
      <c r="V102" s="38">
        <f>F102/T102*1000</f>
        <v>257.56483300589395</v>
      </c>
      <c r="W102" s="22"/>
      <c r="X102" s="23">
        <f>(V102/V95-1)*100</f>
        <v>-13.597150392789326</v>
      </c>
      <c r="Y102" s="61" t="s">
        <v>697</v>
      </c>
      <c r="Z102" s="226">
        <f>qtrSales!X142</f>
        <v>5.8886289999999999</v>
      </c>
      <c r="AA102" s="58"/>
      <c r="AB102" s="228">
        <f>F102/Z102</f>
        <v>44.526663167266953</v>
      </c>
      <c r="AC102" s="22"/>
      <c r="AD102" s="295">
        <f>(AB102/AB95-1)*100</f>
        <v>-14.832999889558629</v>
      </c>
      <c r="AE102" s="61" t="s">
        <v>697</v>
      </c>
      <c r="AF102" s="17">
        <f>H102/(D102/(365/4))</f>
        <v>66.467000544293555</v>
      </c>
      <c r="AG102" s="17"/>
      <c r="AH102" s="17">
        <f>F102/(D103/(365/4))</f>
        <v>59.899810605586445</v>
      </c>
      <c r="AI102" s="17"/>
      <c r="AJ102" s="17"/>
      <c r="AK102" s="490">
        <f>((D102-('yrP&amp;L'!$O$16/4)))/H102</f>
        <v>1.1067073413489932</v>
      </c>
      <c r="AL102" s="491" t="s">
        <v>159</v>
      </c>
      <c r="AM102" s="17"/>
      <c r="AN102" s="17">
        <f>(F102/F88-1)*100</f>
        <v>34.247255672974532</v>
      </c>
      <c r="AP102" s="17">
        <f>(B102/B88-1)*100</f>
        <v>22.562726346979865</v>
      </c>
      <c r="AQ102" s="17">
        <f>-AN102+AP103</f>
        <v>-19.88808804614122</v>
      </c>
    </row>
    <row r="103" spans="1:43" ht="12.75" hidden="1" outlineLevel="1">
      <c r="A103" s="20" t="s">
        <v>735</v>
      </c>
      <c r="B103" s="484">
        <f>+'qtrP&amp;L'!BD11</f>
        <v>688.81500000000005</v>
      </c>
      <c r="C103" s="20"/>
      <c r="D103" s="23">
        <f>+'qtrP&amp;L'!BD21</f>
        <v>399.43099999999998</v>
      </c>
      <c r="E103" s="17"/>
      <c r="F103" s="25">
        <f>work!AV11</f>
        <v>341.46300000000002</v>
      </c>
      <c r="G103" s="17"/>
      <c r="H103" s="25">
        <f>AVERAGEA(F102:F103)</f>
        <v>301.83199999999999</v>
      </c>
      <c r="I103" s="17"/>
      <c r="J103" s="24">
        <f>(B103/B96-1)*100</f>
        <v>-2.0441161622266391</v>
      </c>
      <c r="K103" s="61"/>
      <c r="L103" s="23">
        <f>(F103/F96-1)*100</f>
        <v>6.2876832999754217</v>
      </c>
      <c r="M103" s="61"/>
      <c r="N103" s="23">
        <f>(F103/F102-1)*100</f>
        <v>30.229480436764167</v>
      </c>
      <c r="O103" s="61"/>
      <c r="P103" s="143">
        <f>D103/H103</f>
        <v>1.3233553765008348</v>
      </c>
      <c r="Q103" s="20"/>
      <c r="R103" s="148">
        <f>D104/F103</f>
        <v>1.3021147239964506</v>
      </c>
      <c r="S103" s="17"/>
      <c r="T103" s="17">
        <f>qtrSales!I143</f>
        <v>1054</v>
      </c>
      <c r="U103" s="58"/>
      <c r="V103" s="23">
        <f>F103/T103*1000</f>
        <v>323.96869070208726</v>
      </c>
      <c r="W103" s="17"/>
      <c r="X103" s="23">
        <f>(V103/V96-1)*100</f>
        <v>-6.4184344379723086</v>
      </c>
      <c r="Y103" s="17"/>
      <c r="Z103" s="226">
        <f>qtrSales!X143</f>
        <v>6.0928550000000001</v>
      </c>
      <c r="AA103" s="212"/>
      <c r="AB103" s="227">
        <f>F103/Z103</f>
        <v>56.0431850093265</v>
      </c>
      <c r="AC103" s="17"/>
      <c r="AD103" s="299">
        <f>(AB103/AB96-1)*100</f>
        <v>-6.6629932452597407</v>
      </c>
      <c r="AE103" s="212"/>
      <c r="AF103" s="17">
        <f>H103/(D103/(365/4))</f>
        <v>68.953511369923717</v>
      </c>
      <c r="AG103" s="17"/>
      <c r="AH103" s="17">
        <f>F103/(D104/(365/4))</f>
        <v>70.078310550037784</v>
      </c>
      <c r="AI103" s="17"/>
      <c r="AJ103" s="17"/>
      <c r="AK103" s="490">
        <f>((D103-('yrP&amp;L'!$O$16/4)))/H103</f>
        <v>1.0814407092280038</v>
      </c>
      <c r="AL103" s="491"/>
      <c r="AM103" s="17"/>
      <c r="AN103" s="17">
        <f>(F103/F89-1)*100</f>
        <v>27.701277525131651</v>
      </c>
      <c r="AP103" s="17">
        <f>(B103/B89-1)*100</f>
        <v>14.359167626833313</v>
      </c>
      <c r="AQ103" s="17">
        <f>-AN103+AP104</f>
        <v>-19.407894021131877</v>
      </c>
    </row>
    <row r="104" spans="1:43" ht="12.75" hidden="1" outlineLevel="1">
      <c r="A104" s="20" t="s">
        <v>736</v>
      </c>
      <c r="B104" s="484">
        <f>+'qtrP&amp;L'!BD12</f>
        <v>754.03599999999994</v>
      </c>
      <c r="C104" s="20"/>
      <c r="D104" s="23">
        <f>+'qtrP&amp;L'!BD22</f>
        <v>444.62400000000002</v>
      </c>
      <c r="E104" s="17"/>
      <c r="F104" s="25">
        <f>work!AV12</f>
        <v>421.90899999999999</v>
      </c>
      <c r="G104" s="17"/>
      <c r="H104" s="25">
        <f>AVERAGEA(F103:F104)</f>
        <v>381.68600000000004</v>
      </c>
      <c r="I104" s="17"/>
      <c r="J104" s="24">
        <f>(B104/B97-1)*100</f>
        <v>1.2886144405951816</v>
      </c>
      <c r="K104" s="61"/>
      <c r="L104" s="23">
        <f>(F104/F97-1)*100</f>
        <v>7.337407267953644</v>
      </c>
      <c r="M104" s="61"/>
      <c r="N104" s="23">
        <f>(F104/F103-1)*100</f>
        <v>23.559214321903088</v>
      </c>
      <c r="O104" s="61"/>
      <c r="P104" s="143">
        <f>D104/H104</f>
        <v>1.1648947040237263</v>
      </c>
      <c r="Q104" s="20"/>
      <c r="R104" s="148">
        <f>D105/F104</f>
        <v>1.4080666684047982</v>
      </c>
      <c r="S104" s="17"/>
      <c r="T104" s="17">
        <f>qtrSales!I144</f>
        <v>1101</v>
      </c>
      <c r="U104" s="58"/>
      <c r="V104" s="23">
        <f>F104/T104*1000</f>
        <v>383.20526793823797</v>
      </c>
      <c r="W104" s="17"/>
      <c r="X104" s="23">
        <f>(V104/V97-1)*100</f>
        <v>-5.0439285386132067</v>
      </c>
      <c r="Y104" s="17"/>
      <c r="Z104" s="226">
        <f>qtrSales!X144</f>
        <v>6.3104019999999998</v>
      </c>
      <c r="AA104" s="212"/>
      <c r="AB104" s="227">
        <f>F104/Z104</f>
        <v>66.859290422385129</v>
      </c>
      <c r="AC104" s="17"/>
      <c r="AD104" s="299">
        <f>(AB104/AB97-1)*100</f>
        <v>-4.4320105181241187</v>
      </c>
      <c r="AE104" s="212"/>
      <c r="AF104" s="17">
        <f>H104/(D104/(365/4))</f>
        <v>78.333260237863911</v>
      </c>
      <c r="AG104" s="17"/>
      <c r="AH104" s="17">
        <f>F104/(D105/(365/4))</f>
        <v>64.805170129747708</v>
      </c>
      <c r="AI104" s="17"/>
      <c r="AJ104" s="17"/>
      <c r="AK104" s="490">
        <f>((D104-('yrP&amp;L'!$O$16/4)))/H104</f>
        <v>0.97359193721463932</v>
      </c>
      <c r="AL104" s="491"/>
      <c r="AM104" s="17"/>
      <c r="AN104" s="17">
        <f>(F104/F90-1)*100</f>
        <v>21.01878490438316</v>
      </c>
      <c r="AP104" s="17">
        <f>(B104/B90-1)*100</f>
        <v>8.2933835039997739</v>
      </c>
      <c r="AQ104" s="17">
        <f>-AN104+AP105</f>
        <v>-27.969106726104719</v>
      </c>
    </row>
    <row r="105" spans="1:43" ht="12.75" hidden="1" outlineLevel="1">
      <c r="A105" s="20" t="s">
        <v>737</v>
      </c>
      <c r="B105" s="485">
        <f>+'qtrP&amp;L'!BD13</f>
        <v>905.71299999999997</v>
      </c>
      <c r="C105" s="20"/>
      <c r="D105" s="42">
        <f>+'qtrP&amp;L'!BD23</f>
        <v>594.07600000000002</v>
      </c>
      <c r="E105" s="17"/>
      <c r="F105" s="25">
        <f>work!AV13</f>
        <v>294.928</v>
      </c>
      <c r="G105" s="17"/>
      <c r="H105" s="35">
        <f>AVERAGEA(F104:F105)</f>
        <v>358.41849999999999</v>
      </c>
      <c r="I105" s="17"/>
      <c r="J105" s="82">
        <f>(B105/B98-1)*100</f>
        <v>-9.0102380849526931</v>
      </c>
      <c r="K105" s="61"/>
      <c r="L105" s="23">
        <f>(F105/F98-1)*100</f>
        <v>2.947100197218</v>
      </c>
      <c r="M105" s="61"/>
      <c r="N105" s="23">
        <f>(F105/F104-1)*100</f>
        <v>-30.096774422920582</v>
      </c>
      <c r="O105" s="61"/>
      <c r="P105" s="143">
        <f>D105/H105</f>
        <v>1.6574925680454553</v>
      </c>
      <c r="Q105" s="20"/>
      <c r="R105" s="148">
        <f>D109/F105</f>
        <v>1.2819264362827536</v>
      </c>
      <c r="S105" s="17"/>
      <c r="T105" s="17">
        <f>qtrSales!I145</f>
        <v>1098</v>
      </c>
      <c r="U105" s="58"/>
      <c r="V105" s="23">
        <f>F105/T105*1000</f>
        <v>268.60473588342444</v>
      </c>
      <c r="W105" s="17"/>
      <c r="X105" s="23">
        <f>(V105/V98-1)*100</f>
        <v>-7.4601203145226114</v>
      </c>
      <c r="Y105" s="17"/>
      <c r="Z105" s="226">
        <f>qtrSales!X145</f>
        <v>6.3281669999999997</v>
      </c>
      <c r="AA105" s="212"/>
      <c r="AB105" s="227">
        <f>F105/Z105</f>
        <v>46.605596849767082</v>
      </c>
      <c r="AC105" s="17"/>
      <c r="AD105" s="297">
        <f>(AB105/AB98-1)*100</f>
        <v>-7.1103936221497683</v>
      </c>
      <c r="AE105" s="212"/>
      <c r="AF105" s="17">
        <f>H105/(D105/(365/4))</f>
        <v>55.053037195577666</v>
      </c>
      <c r="AG105" s="17"/>
      <c r="AH105" s="17">
        <f>F105/(D109/(365/4))</f>
        <v>71.181931675112949</v>
      </c>
      <c r="AI105" s="231"/>
      <c r="AJ105" s="231"/>
      <c r="AK105" s="490">
        <f>((D105-('yrP&amp;L'!$O$16/4)))/H105</f>
        <v>1.4537709748456256</v>
      </c>
      <c r="AL105" s="491"/>
      <c r="AM105" s="17"/>
      <c r="AN105" s="17">
        <f>(F105/F91-1)*100</f>
        <v>11.86600112272609</v>
      </c>
      <c r="AP105" s="17">
        <f>(B105/B91-1)*100</f>
        <v>-6.9503218217215608</v>
      </c>
      <c r="AQ105" s="17">
        <f>-AN105+AP106</f>
        <v>-11.86600112272609</v>
      </c>
    </row>
    <row r="106" spans="1:43" ht="12.75" hidden="1" outlineLevel="1">
      <c r="A106" s="20" t="s">
        <v>762</v>
      </c>
      <c r="B106" s="290">
        <f>+'qtrP&amp;L'!BD14</f>
        <v>2988.866</v>
      </c>
      <c r="C106" s="20"/>
      <c r="D106" s="38">
        <f>+'qtrP&amp;L'!BD24</f>
        <v>1814.7660000000001</v>
      </c>
      <c r="E106" s="17"/>
      <c r="F106" s="17"/>
      <c r="G106" s="17"/>
      <c r="H106" s="38">
        <f>AVERAGEA(H105,H104,H103,H102,H98)</f>
        <v>331.21120000000002</v>
      </c>
      <c r="I106" s="17"/>
      <c r="J106" s="24">
        <f>(B106/B99-1)*100</f>
        <v>-2.1781955273564746</v>
      </c>
      <c r="K106" s="61"/>
      <c r="L106" s="23"/>
      <c r="M106" s="61"/>
      <c r="N106" s="23"/>
      <c r="O106" s="61"/>
      <c r="P106" s="150">
        <f>D106/H106</f>
        <v>5.4791806557266183</v>
      </c>
      <c r="Q106" s="151" t="s">
        <v>159</v>
      </c>
      <c r="R106" s="17"/>
      <c r="S106" s="17"/>
      <c r="T106" s="17"/>
      <c r="U106" s="17"/>
      <c r="V106" s="17"/>
      <c r="W106" s="17"/>
      <c r="X106" s="44"/>
      <c r="Y106" s="17"/>
      <c r="Z106" s="650"/>
      <c r="AA106" s="58"/>
      <c r="AB106" s="17">
        <f>AVERAGE(AB102:AB105)</f>
        <v>53.508683862186416</v>
      </c>
      <c r="AC106" s="17"/>
      <c r="AD106" s="44"/>
      <c r="AE106" s="61"/>
      <c r="AF106" s="60"/>
      <c r="AG106" s="17"/>
      <c r="AH106" s="17"/>
      <c r="AI106" s="17"/>
      <c r="AJ106" s="17"/>
      <c r="AK106" s="492">
        <f>(D106-'yrP&amp;L'!$O$16)/H106</f>
        <v>4.5973555501469372</v>
      </c>
      <c r="AL106" s="493" t="s">
        <v>159</v>
      </c>
      <c r="AM106" s="17"/>
      <c r="AN106" s="490"/>
      <c r="AP106" s="490"/>
    </row>
    <row r="107" spans="1:43" ht="10.5" hidden="1" customHeight="1" outlineLevel="1">
      <c r="A107" s="17"/>
      <c r="B107" s="17"/>
      <c r="C107" s="17"/>
      <c r="D107" s="17"/>
      <c r="E107" s="17"/>
      <c r="F107" s="17"/>
      <c r="G107" s="17"/>
      <c r="H107" s="17"/>
      <c r="I107" s="17"/>
      <c r="J107" s="17"/>
      <c r="K107" s="61"/>
      <c r="L107" s="17"/>
      <c r="M107" s="61"/>
      <c r="N107" s="17"/>
      <c r="O107" s="17"/>
      <c r="Q107" s="17"/>
      <c r="R107" s="17"/>
      <c r="S107" s="17"/>
      <c r="T107" s="17"/>
      <c r="U107" s="17"/>
      <c r="V107" s="17"/>
      <c r="W107" s="17"/>
      <c r="X107" s="17"/>
      <c r="Y107" s="17"/>
      <c r="Z107" s="17"/>
      <c r="AA107" s="17"/>
      <c r="AB107" s="17"/>
      <c r="AC107" s="17"/>
      <c r="AD107" s="17"/>
      <c r="AE107" s="17"/>
      <c r="AF107" s="17"/>
      <c r="AG107" s="17"/>
      <c r="AH107" s="17"/>
      <c r="AI107" s="17"/>
      <c r="AJ107" s="17"/>
      <c r="AK107" s="17"/>
      <c r="AL107" s="17"/>
      <c r="AM107" s="17"/>
      <c r="AN107" s="17"/>
      <c r="AP107" s="17"/>
    </row>
    <row r="108" spans="1:43" ht="12.75" hidden="1" outlineLevel="1">
      <c r="A108" s="230" t="s">
        <v>747</v>
      </c>
      <c r="B108" s="328"/>
      <c r="C108" s="328"/>
      <c r="D108" s="144"/>
      <c r="E108" s="37"/>
      <c r="F108" s="37"/>
      <c r="G108" s="37"/>
      <c r="H108" s="144"/>
      <c r="I108" s="37"/>
      <c r="J108" s="145"/>
      <c r="K108" s="61"/>
      <c r="L108" s="37"/>
      <c r="M108" s="61"/>
      <c r="N108" s="37"/>
      <c r="O108" s="61"/>
      <c r="P108" s="482"/>
      <c r="Q108" s="147"/>
      <c r="R108" s="330"/>
      <c r="S108" s="37"/>
      <c r="T108" s="37"/>
      <c r="U108" s="37"/>
      <c r="V108" s="37"/>
      <c r="W108" s="37"/>
      <c r="X108" s="147"/>
      <c r="Y108" s="61"/>
      <c r="Z108" s="650"/>
      <c r="AA108" s="288"/>
      <c r="AB108" s="288"/>
      <c r="AC108" s="37"/>
      <c r="AD108" s="147"/>
      <c r="AE108" s="61"/>
      <c r="AF108" s="17"/>
      <c r="AG108" s="17"/>
      <c r="AH108" s="17"/>
      <c r="AI108" s="17"/>
      <c r="AJ108" s="17"/>
      <c r="AK108" s="487"/>
      <c r="AL108" s="487"/>
      <c r="AM108" s="17"/>
      <c r="AN108" s="17"/>
      <c r="AP108" s="17"/>
    </row>
    <row r="109" spans="1:43" ht="12.75" hidden="1" outlineLevel="1">
      <c r="A109" s="20" t="s">
        <v>734</v>
      </c>
      <c r="B109" s="290">
        <f>+'qtrP&amp;L'!BH10</f>
        <v>601.67899999999997</v>
      </c>
      <c r="C109" s="20"/>
      <c r="D109" s="38">
        <f>+'qtrP&amp;L'!BH20</f>
        <v>378.07599999999996</v>
      </c>
      <c r="E109" s="17"/>
      <c r="F109" s="38">
        <f>work!AZ10</f>
        <v>279.233</v>
      </c>
      <c r="G109" s="17"/>
      <c r="H109" s="38">
        <f>(F105+F109)/2</f>
        <v>287.08050000000003</v>
      </c>
      <c r="I109" s="17"/>
      <c r="J109" s="24">
        <f>(B109/B102-1)*100</f>
        <v>-6.0319974012263078</v>
      </c>
      <c r="K109" s="61" t="s">
        <v>697</v>
      </c>
      <c r="L109" s="23">
        <f>(F109/F102-1)*100</f>
        <v>6.4957799550726225</v>
      </c>
      <c r="M109" s="61" t="s">
        <v>697</v>
      </c>
      <c r="N109" s="23">
        <f>(F109/F105-1)*100</f>
        <v>-5.3216378234687722</v>
      </c>
      <c r="O109" s="61" t="s">
        <v>697</v>
      </c>
      <c r="P109" s="143">
        <f>D109/H109</f>
        <v>1.3169685854664455</v>
      </c>
      <c r="Q109" s="20" t="s">
        <v>159</v>
      </c>
      <c r="R109" s="148">
        <f>D110/F109</f>
        <v>1.407068648762861</v>
      </c>
      <c r="S109" s="17"/>
      <c r="T109" s="17">
        <f>qtrSales!I149</f>
        <v>1082</v>
      </c>
      <c r="U109" s="17"/>
      <c r="V109" s="38">
        <f>F109/T109*1000</f>
        <v>258.0711645101664</v>
      </c>
      <c r="W109" s="22"/>
      <c r="X109" s="23">
        <f>(V109/V102-1)*100</f>
        <v>0.19658409821066147</v>
      </c>
      <c r="Y109" s="61" t="s">
        <v>697</v>
      </c>
      <c r="Z109" s="226">
        <f>qtrSales!X149</f>
        <v>6.2181990000000003</v>
      </c>
      <c r="AA109" s="58"/>
      <c r="AB109" s="228">
        <f>F109/Z109</f>
        <v>44.905767731138873</v>
      </c>
      <c r="AC109" s="22"/>
      <c r="AD109" s="295">
        <f>(AB109/AB102-1)*100</f>
        <v>0.85141022682924117</v>
      </c>
      <c r="AE109" s="61" t="s">
        <v>697</v>
      </c>
      <c r="AF109" s="17">
        <f>H109/(D109/(365/4))</f>
        <v>69.287909375363697</v>
      </c>
      <c r="AG109" s="17"/>
      <c r="AH109" s="17">
        <f>F109/(D110/(365/4))</f>
        <v>64.851135785187068</v>
      </c>
      <c r="AI109" s="17"/>
      <c r="AJ109" s="17"/>
      <c r="AK109" s="490">
        <f>((D109-('yrP&amp;L'!$P$16/4)))/H109</f>
        <v>1.0268171645235393</v>
      </c>
      <c r="AL109" s="491" t="s">
        <v>159</v>
      </c>
      <c r="AM109" s="17"/>
      <c r="AN109" s="17">
        <f>(F109/F95-1)*100</f>
        <v>1.596166580557834</v>
      </c>
      <c r="AP109" s="17">
        <f>(B109/B95-1)*100</f>
        <v>-1.748407050455103</v>
      </c>
      <c r="AQ109" s="17">
        <f>-AN109+AP110</f>
        <v>-9.6154899772548781</v>
      </c>
    </row>
    <row r="110" spans="1:43" ht="12.75" hidden="1" outlineLevel="1">
      <c r="A110" s="20" t="s">
        <v>735</v>
      </c>
      <c r="B110" s="484">
        <f>+'qtrP&amp;L'!BH11</f>
        <v>646.798</v>
      </c>
      <c r="C110" s="20"/>
      <c r="D110" s="23">
        <f>+'qtrP&amp;L'!BH21</f>
        <v>392.9</v>
      </c>
      <c r="E110" s="17"/>
      <c r="F110" s="25">
        <f>work!AZ11</f>
        <v>352.81900000000002</v>
      </c>
      <c r="G110" s="17"/>
      <c r="H110" s="25">
        <f>AVERAGEA(F109:F110)</f>
        <v>316.02600000000001</v>
      </c>
      <c r="I110" s="17"/>
      <c r="J110" s="24">
        <f>(B110/B103-1)*100</f>
        <v>-6.0998961985438864</v>
      </c>
      <c r="K110" s="61"/>
      <c r="L110" s="23">
        <f>(F110/F103-1)*100</f>
        <v>3.3256897526232621</v>
      </c>
      <c r="M110" s="61"/>
      <c r="N110" s="23">
        <f>(F110/F109-1)*100</f>
        <v>26.352902414829195</v>
      </c>
      <c r="O110" s="61"/>
      <c r="P110" s="143">
        <f>D110/H110</f>
        <v>1.2432521374823589</v>
      </c>
      <c r="Q110" s="20"/>
      <c r="R110" s="148">
        <f>D111/F110</f>
        <v>1.2239590271498983</v>
      </c>
      <c r="S110" s="17"/>
      <c r="T110" s="17">
        <f>qtrSales!I150</f>
        <v>1086</v>
      </c>
      <c r="U110" s="58"/>
      <c r="V110" s="23">
        <f>F110/T110*1000</f>
        <v>324.87937384898714</v>
      </c>
      <c r="W110" s="17"/>
      <c r="X110" s="23">
        <f>(V110/V103-1)*100</f>
        <v>0.28110220926791385</v>
      </c>
      <c r="Y110" s="17"/>
      <c r="Z110" s="226">
        <f>qtrSales!X150</f>
        <v>6.2424559999999998</v>
      </c>
      <c r="AA110" s="212"/>
      <c r="AB110" s="227">
        <f>F110/Z110</f>
        <v>56.51926100880808</v>
      </c>
      <c r="AC110" s="17"/>
      <c r="AD110" s="299">
        <f>(AB110/AB103-1)*100</f>
        <v>0.8494806271313049</v>
      </c>
      <c r="AE110" s="212"/>
      <c r="AF110" s="17">
        <f>H110/(D110/(365/4))</f>
        <v>73.396214049376439</v>
      </c>
      <c r="AG110" s="17"/>
      <c r="AH110" s="17">
        <f>F110/(D111/(365/4))</f>
        <v>74.553149227947657</v>
      </c>
      <c r="AI110" s="17"/>
      <c r="AJ110" s="17"/>
      <c r="AK110" s="490">
        <f>((D110-('yrP&amp;L'!$P$16/4)))/H110</f>
        <v>0.97967630827843277</v>
      </c>
      <c r="AL110" s="491"/>
      <c r="AM110" s="17"/>
      <c r="AN110" s="17">
        <f>(F110/F96-1)*100</f>
        <v>9.8224818917833865</v>
      </c>
      <c r="AP110" s="17">
        <f>(B110/B96-1)*100</f>
        <v>-8.0193233966970432</v>
      </c>
      <c r="AQ110" s="17">
        <f>-AN110+AP111</f>
        <v>-10.955140805897702</v>
      </c>
    </row>
    <row r="111" spans="1:43" ht="12.75" hidden="1" outlineLevel="1">
      <c r="A111" s="20" t="s">
        <v>736</v>
      </c>
      <c r="B111" s="484">
        <f>+'qtrP&amp;L'!BH12</f>
        <v>736.01099999999997</v>
      </c>
      <c r="C111" s="20"/>
      <c r="D111" s="23">
        <f>+'qtrP&amp;L'!BH22</f>
        <v>431.83600000000001</v>
      </c>
      <c r="E111" s="17"/>
      <c r="F111" s="25">
        <f>work!AZ12</f>
        <v>425.41500000000002</v>
      </c>
      <c r="G111" s="17"/>
      <c r="H111" s="25">
        <f>AVERAGEA(F110:F111)</f>
        <v>389.11700000000002</v>
      </c>
      <c r="I111" s="17"/>
      <c r="J111" s="24">
        <f>(B111/B104-1)*100</f>
        <v>-2.3904694205581722</v>
      </c>
      <c r="K111" s="61"/>
      <c r="L111" s="23">
        <f>(F111/F104-1)*100</f>
        <v>0.83098488062591791</v>
      </c>
      <c r="M111" s="61"/>
      <c r="N111" s="23">
        <f>(F111/F110-1)*100</f>
        <v>20.575989388326587</v>
      </c>
      <c r="O111" s="61"/>
      <c r="P111" s="143">
        <f>D111/H111</f>
        <v>1.1097844607149006</v>
      </c>
      <c r="Q111" s="20"/>
      <c r="R111" s="148">
        <f>D112/F111</f>
        <v>1.3258277211663905</v>
      </c>
      <c r="S111" s="17"/>
      <c r="T111" s="17">
        <f>qtrSales!I151</f>
        <v>1089</v>
      </c>
      <c r="U111" s="58"/>
      <c r="V111" s="23">
        <f>F111/T111*1000</f>
        <v>390.6473829201102</v>
      </c>
      <c r="W111" s="17"/>
      <c r="X111" s="23">
        <f>(V111/V104-1)*100</f>
        <v>1.9420701134702734</v>
      </c>
      <c r="Y111" s="17"/>
      <c r="Z111" s="226">
        <f>qtrSales!X151</f>
        <v>6.2744169999999997</v>
      </c>
      <c r="AA111" s="212"/>
      <c r="AB111" s="227">
        <f>F111/Z111</f>
        <v>67.801518451833857</v>
      </c>
      <c r="AC111" s="17"/>
      <c r="AD111" s="299">
        <f>(AB111/AB104-1)*100</f>
        <v>1.4092701605060043</v>
      </c>
      <c r="AE111" s="212"/>
      <c r="AF111" s="17">
        <f>H111/(D111/(365/4))</f>
        <v>82.223173264850558</v>
      </c>
      <c r="AG111" s="17"/>
      <c r="AH111" s="17">
        <f>F111/(D112/(365/4))</f>
        <v>68.824929923567495</v>
      </c>
      <c r="AI111" s="17"/>
      <c r="AJ111" s="17"/>
      <c r="AK111" s="490">
        <f>((D111-('yrP&amp;L'!$P$16/4)))/H111</f>
        <v>0.89571821585795541</v>
      </c>
      <c r="AL111" s="491"/>
      <c r="AM111" s="17"/>
      <c r="AN111" s="17">
        <f>(F111/F97-1)*100</f>
        <v>8.2293648936061956</v>
      </c>
      <c r="AP111" s="17">
        <f>(B111/B97-1)*100</f>
        <v>-1.1326589141143151</v>
      </c>
      <c r="AQ111" s="17">
        <f>-AN111+AP112</f>
        <v>-12.209670318254151</v>
      </c>
    </row>
    <row r="112" spans="1:43" ht="12.75" hidden="1" outlineLevel="1">
      <c r="A112" s="20" t="s">
        <v>737</v>
      </c>
      <c r="B112" s="485">
        <f>+'qtrP&amp;L'!BH13</f>
        <v>955.78099999999995</v>
      </c>
      <c r="C112" s="20"/>
      <c r="D112" s="42">
        <f>+'qtrP&amp;L'!BH23</f>
        <v>564.02700000000004</v>
      </c>
      <c r="E112" s="17"/>
      <c r="F112" s="25">
        <f>work!AZ13</f>
        <v>326.45400000000001</v>
      </c>
      <c r="G112" s="17"/>
      <c r="H112" s="35">
        <f>AVERAGEA(F111:F112)</f>
        <v>375.93450000000001</v>
      </c>
      <c r="I112" s="17"/>
      <c r="J112" s="82">
        <f>(B112/B105-1)*100</f>
        <v>5.5280204656442011</v>
      </c>
      <c r="K112" s="61"/>
      <c r="L112" s="23">
        <f>(F112/F105-1)*100</f>
        <v>10.68938859653883</v>
      </c>
      <c r="M112" s="61"/>
      <c r="N112" s="23">
        <f>(F112/F111-1)*100</f>
        <v>-23.262226296675014</v>
      </c>
      <c r="O112" s="61"/>
      <c r="P112" s="143">
        <f>D112/H112</f>
        <v>1.5003331697410054</v>
      </c>
      <c r="Q112" s="20"/>
      <c r="R112" s="148">
        <f>D116/F112</f>
        <v>1.1823932315119434</v>
      </c>
      <c r="S112" s="17"/>
      <c r="T112" s="17">
        <f>qtrSales!I152</f>
        <v>1075</v>
      </c>
      <c r="U112" s="58"/>
      <c r="V112" s="23">
        <f>F112/T112*1000</f>
        <v>303.67813953488371</v>
      </c>
      <c r="W112" s="17"/>
      <c r="X112" s="23">
        <f>(V112/V105-1)*100</f>
        <v>13.057626678139167</v>
      </c>
      <c r="Y112" s="17"/>
      <c r="Z112" s="226">
        <f>qtrSales!X152</f>
        <v>6.2153549999999997</v>
      </c>
      <c r="AA112" s="212"/>
      <c r="AB112" s="227">
        <f>F112/Z112</f>
        <v>52.523789872018575</v>
      </c>
      <c r="AC112" s="17"/>
      <c r="AD112" s="297">
        <f>(AB112/AB105-1)*100</f>
        <v>12.698459889546655</v>
      </c>
      <c r="AE112" s="212"/>
      <c r="AF112" s="17">
        <f>H112/(D112/(365/4))</f>
        <v>60.81982444989336</v>
      </c>
      <c r="AG112" s="17"/>
      <c r="AH112" s="17">
        <f>F112/(D116/(365/4))</f>
        <v>77.173987103526713</v>
      </c>
      <c r="AI112" s="231"/>
      <c r="AJ112" s="231"/>
      <c r="AK112" s="490">
        <f>((D112-('yrP&amp;L'!$P$16/4)))/H112</f>
        <v>1.2787604888617565</v>
      </c>
      <c r="AL112" s="491"/>
      <c r="AM112" s="17"/>
      <c r="AN112" s="17">
        <f>(F112/F98-1)*100</f>
        <v>13.951515786166802</v>
      </c>
      <c r="AP112" s="17">
        <f>(B112/B98-1)*100</f>
        <v>-3.9803054246479563</v>
      </c>
      <c r="AQ112" s="17">
        <f>-AN112+AP113</f>
        <v>-13.951515786166802</v>
      </c>
    </row>
    <row r="113" spans="1:43" ht="12.75" hidden="1" outlineLevel="1">
      <c r="A113" s="20" t="s">
        <v>762</v>
      </c>
      <c r="B113" s="290">
        <f>+'qtrP&amp;L'!BH14</f>
        <v>2940.2689999999998</v>
      </c>
      <c r="C113" s="20"/>
      <c r="D113" s="38">
        <f>+'qtrP&amp;L'!BH24</f>
        <v>1766.8389999999999</v>
      </c>
      <c r="E113" s="17"/>
      <c r="F113" s="17"/>
      <c r="G113" s="17"/>
      <c r="H113" s="38">
        <f>AVERAGEA(H112,H111,H110,H109,H105)</f>
        <v>345.31530000000004</v>
      </c>
      <c r="I113" s="17"/>
      <c r="J113" s="24">
        <f>(B113/B106-1)*100</f>
        <v>-1.6259343844789331</v>
      </c>
      <c r="K113" s="61"/>
      <c r="L113" s="23"/>
      <c r="M113" s="61"/>
      <c r="N113" s="23"/>
      <c r="O113" s="61"/>
      <c r="P113" s="150">
        <f>D113/H113</f>
        <v>5.1165963396351097</v>
      </c>
      <c r="Q113" s="151" t="s">
        <v>159</v>
      </c>
      <c r="R113" s="17"/>
      <c r="S113" s="17"/>
      <c r="T113" s="17"/>
      <c r="U113" s="17"/>
      <c r="V113" s="17"/>
      <c r="W113" s="17"/>
      <c r="X113" s="44"/>
      <c r="Y113" s="17"/>
      <c r="Z113" s="650"/>
      <c r="AA113" s="58"/>
      <c r="AB113" s="17">
        <f>AVERAGE(AB109:AB112)</f>
        <v>55.437584265949845</v>
      </c>
      <c r="AC113" s="17"/>
      <c r="AD113" s="44"/>
      <c r="AE113" s="61"/>
      <c r="AF113" s="60"/>
      <c r="AG113" s="17"/>
      <c r="AH113" s="17"/>
      <c r="AI113" s="17"/>
      <c r="AJ113" s="17"/>
      <c r="AK113" s="492">
        <f>(D113-'yrP&amp;L'!$P$16)/H113</f>
        <v>4.151717980639722</v>
      </c>
      <c r="AL113" s="493" t="s">
        <v>159</v>
      </c>
      <c r="AM113" s="17"/>
      <c r="AN113" s="17"/>
      <c r="AP113" s="17"/>
    </row>
    <row r="114" spans="1:43" ht="10.5" hidden="1" customHeight="1" outlineLevel="1">
      <c r="A114" s="17"/>
      <c r="B114" s="17"/>
      <c r="C114" s="17"/>
      <c r="D114" s="17"/>
      <c r="E114" s="17"/>
      <c r="F114" s="17"/>
      <c r="G114" s="17"/>
      <c r="H114" s="17"/>
      <c r="I114" s="17"/>
      <c r="J114" s="17"/>
      <c r="K114" s="61"/>
      <c r="L114" s="17"/>
      <c r="M114" s="61"/>
      <c r="N114" s="17"/>
      <c r="O114" s="17"/>
      <c r="P114" s="17"/>
      <c r="Q114" s="17"/>
      <c r="R114" s="17"/>
      <c r="S114" s="17"/>
      <c r="T114" s="17"/>
      <c r="U114" s="17"/>
      <c r="V114" s="17"/>
      <c r="W114" s="17"/>
      <c r="X114" s="17"/>
      <c r="Y114" s="17"/>
      <c r="Z114" s="17"/>
      <c r="AA114" s="17"/>
      <c r="AB114" s="17"/>
      <c r="AC114" s="17"/>
      <c r="AD114" s="17"/>
      <c r="AE114" s="17"/>
      <c r="AF114" s="17"/>
      <c r="AG114" s="17"/>
      <c r="AH114" s="17"/>
      <c r="AI114" s="17"/>
      <c r="AJ114" s="17"/>
      <c r="AK114" s="17"/>
      <c r="AL114" s="17"/>
      <c r="AM114" s="17"/>
      <c r="AN114" s="17"/>
      <c r="AP114" s="17"/>
    </row>
    <row r="115" spans="1:43" ht="12.75" hidden="1" outlineLevel="1">
      <c r="A115" s="230" t="s">
        <v>748</v>
      </c>
      <c r="B115" s="328"/>
      <c r="C115" s="328"/>
      <c r="D115" s="144"/>
      <c r="E115" s="37"/>
      <c r="F115" s="37"/>
      <c r="G115" s="37"/>
      <c r="H115" s="144"/>
      <c r="I115" s="37"/>
      <c r="J115" s="145"/>
      <c r="K115" s="61"/>
      <c r="L115" s="37"/>
      <c r="M115" s="61"/>
      <c r="N115" s="37"/>
      <c r="O115" s="61"/>
      <c r="P115" s="482"/>
      <c r="Q115" s="147"/>
      <c r="R115" s="330"/>
      <c r="S115" s="37"/>
      <c r="T115" s="37"/>
      <c r="U115" s="37"/>
      <c r="V115" s="37"/>
      <c r="W115" s="37"/>
      <c r="X115" s="147"/>
      <c r="Y115" s="61"/>
      <c r="Z115" s="650"/>
      <c r="AA115" s="288"/>
      <c r="AB115" s="288"/>
      <c r="AC115" s="37"/>
      <c r="AD115" s="147"/>
      <c r="AE115" s="61"/>
      <c r="AF115" s="17"/>
      <c r="AG115" s="17"/>
      <c r="AH115" s="17"/>
      <c r="AI115" s="17"/>
      <c r="AJ115" s="17"/>
      <c r="AK115" s="487"/>
      <c r="AL115" s="487"/>
      <c r="AM115" s="17"/>
      <c r="AN115" s="17"/>
      <c r="AP115" s="17"/>
    </row>
    <row r="116" spans="1:43" ht="12.75" hidden="1" outlineLevel="1">
      <c r="A116" s="20" t="s">
        <v>734</v>
      </c>
      <c r="B116" s="662">
        <f>+'qtrP&amp;L'!BL10</f>
        <v>645.12</v>
      </c>
      <c r="C116" s="20"/>
      <c r="D116" s="38">
        <f>+'qtrP&amp;L'!BL20</f>
        <v>385.99700000000001</v>
      </c>
      <c r="E116" s="17"/>
      <c r="F116" s="38">
        <f>work!BD10</f>
        <v>326.41699999999997</v>
      </c>
      <c r="G116" s="17"/>
      <c r="H116" s="38">
        <f>(F112+F116)/2</f>
        <v>326.43549999999999</v>
      </c>
      <c r="I116" s="17"/>
      <c r="J116" s="24">
        <f>(B116/B109-1)*100</f>
        <v>7.219962804086566</v>
      </c>
      <c r="K116" s="61" t="s">
        <v>697</v>
      </c>
      <c r="L116" s="23">
        <f>(F116/F109-1)*100</f>
        <v>16.897716244140181</v>
      </c>
      <c r="M116" s="61" t="s">
        <v>697</v>
      </c>
      <c r="N116" s="23">
        <f>(F116/F112-1)*100</f>
        <v>-1.1333909218458338E-2</v>
      </c>
      <c r="O116" s="61" t="s">
        <v>697</v>
      </c>
      <c r="P116" s="143">
        <f>D116/H116</f>
        <v>1.182460240997073</v>
      </c>
      <c r="Q116" s="20" t="s">
        <v>159</v>
      </c>
      <c r="R116" s="148">
        <f>D117/F116</f>
        <v>1.24819173021013</v>
      </c>
      <c r="S116" s="17"/>
      <c r="T116" s="341">
        <f>qtrSales!I156</f>
        <v>1077</v>
      </c>
      <c r="U116" s="17"/>
      <c r="V116" s="38">
        <f>F116/T116*1000</f>
        <v>303.07985143918285</v>
      </c>
      <c r="W116" s="22"/>
      <c r="X116" s="23">
        <f>(V116/V109-1)*100</f>
        <v>17.44041687665705</v>
      </c>
      <c r="Y116" s="61" t="s">
        <v>697</v>
      </c>
      <c r="Z116" s="226">
        <f>qtrSales!X156</f>
        <v>6.2417189999999998</v>
      </c>
      <c r="AA116" s="58"/>
      <c r="AB116" s="228">
        <f>F116/Z116</f>
        <v>52.296010121570674</v>
      </c>
      <c r="AC116" s="22"/>
      <c r="AD116" s="295">
        <f>(AB116/AB109-1)*100</f>
        <v>16.457223122603935</v>
      </c>
      <c r="AE116" s="61" t="s">
        <v>697</v>
      </c>
      <c r="AF116" s="17">
        <f>H116/(D116/(365/4))</f>
        <v>77.169613688707429</v>
      </c>
      <c r="AG116" s="17"/>
      <c r="AH116" s="17">
        <f>F116/(D117/(365/4))</f>
        <v>73.105755943951237</v>
      </c>
      <c r="AI116" s="17"/>
      <c r="AJ116" s="17"/>
      <c r="AK116" s="490">
        <f>((D116-('yrP&amp;L'!$Q$16/4)))/H116</f>
        <v>0.91523101041400212</v>
      </c>
      <c r="AL116" s="491" t="s">
        <v>159</v>
      </c>
      <c r="AM116" s="17"/>
      <c r="AN116" s="17">
        <f>(F116/F102-1)*100</f>
        <v>24.49113466386472</v>
      </c>
      <c r="AP116" s="17">
        <f>(B116/B102-1)*100</f>
        <v>0.75245743414826816</v>
      </c>
      <c r="AQ116" s="17">
        <f>-AN116+AP117</f>
        <v>-30.308952220102611</v>
      </c>
    </row>
    <row r="117" spans="1:43" ht="12.75" hidden="1" outlineLevel="1">
      <c r="A117" s="20" t="s">
        <v>735</v>
      </c>
      <c r="B117" s="484">
        <f>+'qtrP&amp;L'!BL11</f>
        <v>648.74099999999999</v>
      </c>
      <c r="C117" s="20"/>
      <c r="D117" s="23">
        <f>+'qtrP&amp;L'!BL21</f>
        <v>407.43099999999998</v>
      </c>
      <c r="E117" s="17"/>
      <c r="F117" s="25">
        <f>work!BD11</f>
        <v>349.09100000000001</v>
      </c>
      <c r="G117" s="17"/>
      <c r="H117" s="25">
        <f>AVERAGEA(F116:F117)</f>
        <v>337.75400000000002</v>
      </c>
      <c r="I117" s="17"/>
      <c r="J117" s="24">
        <f>(B117/B110-1)*100</f>
        <v>0.30040290786303991</v>
      </c>
      <c r="K117" s="61"/>
      <c r="L117" s="23">
        <f>(F117/F110-1)*100</f>
        <v>-1.0566324375954839</v>
      </c>
      <c r="M117" s="61"/>
      <c r="N117" s="23">
        <f>(F117/F116-1)*100</f>
        <v>6.9463293884816091</v>
      </c>
      <c r="O117" s="61"/>
      <c r="P117" s="143">
        <f>D117/H117</f>
        <v>1.2062951141955387</v>
      </c>
      <c r="Q117" s="20"/>
      <c r="R117" s="148">
        <f>D118/F117</f>
        <v>1.2301348359023865</v>
      </c>
      <c r="S117" s="17"/>
      <c r="T117" s="17">
        <f>qtrSales!I157</f>
        <v>1083</v>
      </c>
      <c r="U117" s="58"/>
      <c r="V117" s="23">
        <f>F117/T117*1000</f>
        <v>322.33702677746999</v>
      </c>
      <c r="W117" s="17"/>
      <c r="X117" s="23">
        <f>(V117/V110-1)*100</f>
        <v>-0.78255108700711062</v>
      </c>
      <c r="Y117" s="17"/>
      <c r="Z117" s="226">
        <f>qtrSales!X157</f>
        <v>6.2795100000000001</v>
      </c>
      <c r="AA117" s="212"/>
      <c r="AB117" s="227">
        <f>F117/Z117</f>
        <v>55.592076451825065</v>
      </c>
      <c r="AC117" s="17"/>
      <c r="AD117" s="295">
        <f>(AB117/AB110-1)*100</f>
        <v>-1.6404753714641118</v>
      </c>
      <c r="AE117" s="212"/>
      <c r="AF117" s="17">
        <f>H117/(D117/(365/4))</f>
        <v>75.64483924885441</v>
      </c>
      <c r="AG117" s="17"/>
      <c r="AH117" s="17">
        <f>F117/(D118/(365/4))</f>
        <v>74.178860184104948</v>
      </c>
      <c r="AI117" s="17"/>
      <c r="AJ117" s="17"/>
      <c r="AK117" s="490">
        <f>((D117-('yrP&amp;L'!$Q$16/4)))/H117</f>
        <v>0.94802102269699229</v>
      </c>
      <c r="AL117" s="491"/>
      <c r="AM117" s="17"/>
      <c r="AN117" s="17">
        <f>(F117/F103-1)*100</f>
        <v>2.2339169983277785</v>
      </c>
      <c r="AP117" s="17">
        <f>(B117/B103-1)*100</f>
        <v>-5.817817556237892</v>
      </c>
      <c r="AQ117" s="17">
        <f>-AN117+AP118</f>
        <v>-3.4522938397517966</v>
      </c>
    </row>
    <row r="118" spans="1:43" ht="12.75" hidden="1" outlineLevel="1">
      <c r="A118" s="20" t="s">
        <v>736</v>
      </c>
      <c r="B118" s="484">
        <f>+'qtrP&amp;L'!BL12</f>
        <v>744.84899999999993</v>
      </c>
      <c r="C118" s="20"/>
      <c r="D118" s="23">
        <f>+'qtrP&amp;L'!BL22</f>
        <v>429.42899999999997</v>
      </c>
      <c r="E118" s="17"/>
      <c r="F118" s="25">
        <f>work!BD12</f>
        <v>409.50900000000001</v>
      </c>
      <c r="G118" s="17"/>
      <c r="H118" s="25">
        <f>AVERAGEA(F117:F118)</f>
        <v>379.3</v>
      </c>
      <c r="I118" s="17"/>
      <c r="J118" s="24">
        <f>(B118/B111-1)*100</f>
        <v>1.2007972706929548</v>
      </c>
      <c r="K118" s="61"/>
      <c r="L118" s="23">
        <f>(F118/F111-1)*100</f>
        <v>-3.7389372730157633</v>
      </c>
      <c r="M118" s="61"/>
      <c r="N118" s="23">
        <f>(F118/F117-1)*100</f>
        <v>17.307235076240858</v>
      </c>
      <c r="O118" s="61"/>
      <c r="P118" s="143">
        <f>D118/H118</f>
        <v>1.1321618771421038</v>
      </c>
      <c r="Q118" s="20"/>
      <c r="R118" s="148">
        <f>D119/F118</f>
        <v>1.3193517114397972</v>
      </c>
      <c r="S118" s="17"/>
      <c r="T118" s="17">
        <f>qtrSales!I158</f>
        <v>1089</v>
      </c>
      <c r="U118" s="58"/>
      <c r="V118" s="23">
        <f>F118/T118*1000</f>
        <v>376.04132231404958</v>
      </c>
      <c r="W118" s="17"/>
      <c r="X118" s="23">
        <f>(V118/V111-1)*100</f>
        <v>-3.7389372730157633</v>
      </c>
      <c r="Y118" s="17"/>
      <c r="Z118" s="226">
        <f>qtrSales!X158</f>
        <v>6.323099</v>
      </c>
      <c r="AA118" s="212"/>
      <c r="AB118" s="227">
        <f>F118/Z118</f>
        <v>64.763970957911624</v>
      </c>
      <c r="AC118" s="17"/>
      <c r="AD118" s="295">
        <f>(AB118/AB111-1)*100</f>
        <v>-4.4800582100238735</v>
      </c>
      <c r="AE118" s="212"/>
      <c r="AF118" s="17">
        <f>H118/(D118/(365/4))</f>
        <v>80.598015038574488</v>
      </c>
      <c r="AG118" s="17"/>
      <c r="AH118" s="17">
        <f>F118/(D119/(365/4))</f>
        <v>69.162755623684035</v>
      </c>
      <c r="AI118" s="17"/>
      <c r="AJ118" s="17"/>
      <c r="AK118" s="490">
        <f>((D118-('yrP&amp;L'!$Q$16/4)))/H118</f>
        <v>0.90217741233851823</v>
      </c>
      <c r="AL118" s="491"/>
      <c r="AM118" s="17"/>
      <c r="AN118" s="17">
        <f>(F118/F104-1)*100</f>
        <v>-2.9390223958246864</v>
      </c>
      <c r="AP118" s="17">
        <f>(B118/B104-1)*100</f>
        <v>-1.2183768414240181</v>
      </c>
      <c r="AQ118" s="17">
        <f>-AN118+AP119</f>
        <v>3.0351897247688386</v>
      </c>
    </row>
    <row r="119" spans="1:43" ht="12.75" hidden="1" outlineLevel="1">
      <c r="A119" s="20" t="s">
        <v>737</v>
      </c>
      <c r="B119" s="485">
        <f>+'qtrP&amp;L'!BL13</f>
        <v>906.58399999999995</v>
      </c>
      <c r="C119" s="20"/>
      <c r="D119" s="42">
        <f>+'qtrP&amp;L'!BL23</f>
        <v>540.28639999999996</v>
      </c>
      <c r="E119" s="17"/>
      <c r="F119" s="25">
        <f>+work!BD13</f>
        <v>301.20800000000003</v>
      </c>
      <c r="G119" s="17"/>
      <c r="H119" s="35">
        <f>AVERAGEA(F118:F119)</f>
        <v>355.35850000000005</v>
      </c>
      <c r="I119" s="17"/>
      <c r="J119" s="82">
        <f>(B119/B112-1)*100</f>
        <v>-5.1473088500399111</v>
      </c>
      <c r="K119" s="61"/>
      <c r="L119" s="23">
        <f>(F119/F112-1)*100</f>
        <v>-7.733401949432384</v>
      </c>
      <c r="M119" s="61"/>
      <c r="N119" s="23">
        <f>(F119/F118-1)*100</f>
        <v>-26.446549404286589</v>
      </c>
      <c r="O119" s="61"/>
      <c r="P119" s="143">
        <f>D119/H119</f>
        <v>1.520398133152858</v>
      </c>
      <c r="Q119" s="20"/>
      <c r="R119" s="148">
        <f>D123/F119</f>
        <v>1.2259468540012215</v>
      </c>
      <c r="S119" s="17"/>
      <c r="T119" s="17">
        <f>qtrSales!I159</f>
        <v>1077</v>
      </c>
      <c r="U119" s="58"/>
      <c r="V119" s="23">
        <f>F119/T119*1000</f>
        <v>279.67316620241411</v>
      </c>
      <c r="W119" s="17"/>
      <c r="X119" s="23">
        <f>(V119/V112-1)*100</f>
        <v>-7.9047419643823673</v>
      </c>
      <c r="Y119" s="17"/>
      <c r="Z119" s="226">
        <f>qtrSales!X159</f>
        <v>6.2884250000000002</v>
      </c>
      <c r="AA119" s="212"/>
      <c r="AB119" s="227">
        <f>F119/Z119</f>
        <v>47.898798188735654</v>
      </c>
      <c r="AC119" s="17"/>
      <c r="AD119" s="297">
        <f>(AB119/AB112-1)*100</f>
        <v>-8.8055178321144503</v>
      </c>
      <c r="AE119" s="212"/>
      <c r="AF119" s="17">
        <f>H119/(D119/(365/4))</f>
        <v>60.017174455992247</v>
      </c>
      <c r="AG119" s="17"/>
      <c r="AH119" s="17">
        <f>F119/(D123/(365/4))</f>
        <v>74.432264092183132</v>
      </c>
      <c r="AI119" s="231"/>
      <c r="AJ119" s="231"/>
      <c r="AK119" s="490">
        <f>((D119-('yrP&amp;L'!$Q$16/4)))/H119</f>
        <v>1.2749189691536853</v>
      </c>
      <c r="AL119" s="491"/>
      <c r="AM119" s="17"/>
      <c r="AN119" s="17">
        <f>(F119/F105-1)*100</f>
        <v>2.129333260999311</v>
      </c>
      <c r="AP119" s="17">
        <f>(B119/B105-1)*100</f>
        <v>9.6167328944152253E-2</v>
      </c>
      <c r="AQ119" s="17">
        <f>-AN119+AP120</f>
        <v>-2.129333260999311</v>
      </c>
    </row>
    <row r="120" spans="1:43" ht="12.75" hidden="1" outlineLevel="1">
      <c r="A120" s="20" t="s">
        <v>762</v>
      </c>
      <c r="B120" s="290">
        <f>+'qtrP&amp;L'!BL14</f>
        <v>2945.2939999999999</v>
      </c>
      <c r="C120" s="20"/>
      <c r="D120" s="38">
        <f>+'qtrP&amp;L'!BL24</f>
        <v>1763.1433999999999</v>
      </c>
      <c r="E120" s="17"/>
      <c r="F120" s="17"/>
      <c r="G120" s="17"/>
      <c r="H120" s="38">
        <f>AVERAGEA(H119,H118,H117,H116,H112)</f>
        <v>354.95650000000001</v>
      </c>
      <c r="I120" s="17"/>
      <c r="J120" s="24">
        <f>(B120/B113-1)*100</f>
        <v>0.17090273032842607</v>
      </c>
      <c r="K120" s="61"/>
      <c r="L120" s="23"/>
      <c r="M120" s="61"/>
      <c r="N120" s="23"/>
      <c r="O120" s="61"/>
      <c r="P120" s="150">
        <f>D120/H120</f>
        <v>4.9672097848609615</v>
      </c>
      <c r="Q120" s="151" t="s">
        <v>159</v>
      </c>
      <c r="R120" s="17"/>
      <c r="S120" s="17"/>
      <c r="T120" s="17">
        <f>T119-T118</f>
        <v>-12</v>
      </c>
      <c r="U120" s="17"/>
      <c r="V120" s="17"/>
      <c r="W120" s="17"/>
      <c r="X120" s="44"/>
      <c r="Y120" s="17"/>
      <c r="Z120" s="650"/>
      <c r="AA120" s="58"/>
      <c r="AB120" s="17">
        <f>AVERAGE(AB116:AB119)</f>
        <v>55.137713930010761</v>
      </c>
      <c r="AC120" s="17"/>
      <c r="AD120" s="44"/>
      <c r="AE120" s="61"/>
      <c r="AF120" s="60"/>
      <c r="AG120" s="17"/>
      <c r="AH120" s="17"/>
      <c r="AI120" s="17"/>
      <c r="AJ120" s="17"/>
      <c r="AK120" s="492">
        <f>(D120-'yrP&amp;L'!$Q$16)/H120</f>
        <v>3.9841810757092766</v>
      </c>
      <c r="AL120" s="493" t="s">
        <v>159</v>
      </c>
      <c r="AM120" s="17"/>
      <c r="AN120" s="17"/>
      <c r="AP120" s="17"/>
    </row>
    <row r="121" spans="1:43" ht="10.5" hidden="1" customHeight="1" outlineLevel="1">
      <c r="A121" s="17"/>
      <c r="B121" s="17"/>
      <c r="C121" s="17"/>
      <c r="D121" s="17"/>
      <c r="E121" s="17"/>
      <c r="F121" s="17"/>
      <c r="G121" s="17"/>
      <c r="H121" s="17"/>
      <c r="I121" s="17"/>
      <c r="J121" s="17"/>
      <c r="K121" s="61"/>
      <c r="L121" s="17"/>
      <c r="M121" s="61"/>
      <c r="N121" s="17"/>
      <c r="O121" s="17"/>
      <c r="P121" s="17"/>
      <c r="Q121" s="17"/>
      <c r="R121" s="17"/>
      <c r="S121" s="17"/>
      <c r="T121" s="17"/>
      <c r="U121" s="17"/>
      <c r="V121" s="17"/>
      <c r="W121" s="17"/>
      <c r="X121" s="17"/>
      <c r="Y121" s="17"/>
      <c r="Z121" s="17"/>
      <c r="AA121" s="17"/>
      <c r="AB121" s="17"/>
      <c r="AC121" s="17"/>
      <c r="AD121" s="17"/>
      <c r="AE121" s="17"/>
      <c r="AF121" s="17"/>
      <c r="AG121" s="17"/>
      <c r="AH121" s="17"/>
      <c r="AI121" s="17"/>
      <c r="AJ121" s="17"/>
      <c r="AK121" s="17"/>
      <c r="AL121" s="17"/>
      <c r="AM121" s="17"/>
      <c r="AN121" s="17"/>
      <c r="AP121" s="17"/>
    </row>
    <row r="122" spans="1:43" ht="12.75" collapsed="1">
      <c r="A122" s="230" t="s">
        <v>141</v>
      </c>
      <c r="B122" s="328"/>
      <c r="C122" s="328"/>
      <c r="D122" s="144"/>
      <c r="E122" s="37"/>
      <c r="F122" s="37"/>
      <c r="G122" s="37"/>
      <c r="H122" s="144"/>
      <c r="I122" s="37"/>
      <c r="J122" s="145"/>
      <c r="K122" s="61"/>
      <c r="L122" s="37"/>
      <c r="M122" s="61"/>
      <c r="N122" s="37"/>
      <c r="O122" s="61"/>
      <c r="P122" s="482"/>
      <c r="Q122" s="147"/>
      <c r="R122" s="330"/>
      <c r="S122" s="37"/>
      <c r="T122" s="37"/>
      <c r="U122" s="37"/>
      <c r="V122" s="37"/>
      <c r="W122" s="37"/>
      <c r="X122" s="147"/>
      <c r="Y122" s="61"/>
      <c r="Z122" s="650"/>
      <c r="AA122" s="288"/>
      <c r="AB122" s="288"/>
      <c r="AC122" s="37"/>
      <c r="AD122" s="147"/>
      <c r="AE122" s="61"/>
      <c r="AF122" s="17"/>
      <c r="AG122" s="17"/>
      <c r="AH122" s="17"/>
      <c r="AI122" s="17"/>
      <c r="AJ122" s="17"/>
      <c r="AK122" s="487"/>
      <c r="AL122" s="487"/>
      <c r="AM122" s="17"/>
      <c r="AN122" s="17"/>
      <c r="AP122" s="17"/>
    </row>
    <row r="123" spans="1:43" ht="12.75">
      <c r="A123" s="20" t="s">
        <v>734</v>
      </c>
      <c r="B123" s="662">
        <f>+'qtrP&amp;L'!BP10</f>
        <v>603.08400000000006</v>
      </c>
      <c r="C123" s="20"/>
      <c r="D123" s="38">
        <f>+'qtrP&amp;L'!BP20</f>
        <v>369.26499999999999</v>
      </c>
      <c r="E123" s="17"/>
      <c r="F123" s="38">
        <f>+work!BH10</f>
        <v>331.58800000000002</v>
      </c>
      <c r="G123" s="17"/>
      <c r="H123" s="38">
        <f>(F119+F123)/2</f>
        <v>316.39800000000002</v>
      </c>
      <c r="I123" s="17"/>
      <c r="J123" s="24">
        <f>(B123/B116-1)*100</f>
        <v>-6.5159970238095166</v>
      </c>
      <c r="K123" s="61" t="s">
        <v>697</v>
      </c>
      <c r="L123" s="23">
        <f>(F123/F116-1)*100</f>
        <v>1.5841699421292654</v>
      </c>
      <c r="M123" s="61" t="s">
        <v>697</v>
      </c>
      <c r="N123" s="23">
        <f>(F123/F119-1)*100</f>
        <v>10.086053491275138</v>
      </c>
      <c r="O123" s="61" t="s">
        <v>697</v>
      </c>
      <c r="P123" s="143">
        <f>D123/H123</f>
        <v>1.1670901838823253</v>
      </c>
      <c r="Q123" s="20" t="s">
        <v>159</v>
      </c>
      <c r="R123" s="148">
        <f>D124/F123</f>
        <v>1.3056624485807689</v>
      </c>
      <c r="S123" s="17"/>
      <c r="T123" s="341">
        <f>qtrSales!I163</f>
        <v>1087</v>
      </c>
      <c r="U123" s="17"/>
      <c r="V123" s="38">
        <f>F123/T123*1000</f>
        <v>305.04875804967804</v>
      </c>
      <c r="W123" s="22"/>
      <c r="X123" s="23">
        <f>(V123/V116-1)*100</f>
        <v>0.64963296014095562</v>
      </c>
      <c r="Y123" s="61" t="s">
        <v>697</v>
      </c>
      <c r="Z123" s="226">
        <f>qtrSales!X163</f>
        <v>6.3972049999999996</v>
      </c>
      <c r="AA123" s="58"/>
      <c r="AB123" s="228">
        <f>F123/Z123</f>
        <v>51.833261557195691</v>
      </c>
      <c r="AC123" s="22"/>
      <c r="AD123" s="295">
        <f>(AB123/AB116-1)*100</f>
        <v>-0.88486399497638146</v>
      </c>
      <c r="AE123" s="61" t="s">
        <v>697</v>
      </c>
      <c r="AF123" s="17">
        <f>H123/(D123/(365/4))</f>
        <v>78.185903077735517</v>
      </c>
      <c r="AG123" s="17"/>
      <c r="AH123" s="17">
        <f>F123/(D124/(365/4))</f>
        <v>69.887894914330332</v>
      </c>
      <c r="AI123" s="17"/>
      <c r="AJ123" s="17"/>
      <c r="AK123" s="490">
        <f>((D123-('yrP&amp;L'!$R$16/4)))/H123</f>
        <v>0.87239838747400422</v>
      </c>
      <c r="AL123" s="491" t="s">
        <v>159</v>
      </c>
      <c r="AM123" s="17"/>
      <c r="AN123" s="17">
        <f>(F123/F109-1)*100</f>
        <v>18.749574727915409</v>
      </c>
      <c r="AP123" s="17">
        <f>(B123/B109-1)*100</f>
        <v>0.23351321884261811</v>
      </c>
      <c r="AQ123" s="17">
        <f>-AN123+AP124</f>
        <v>-15.298419962439947</v>
      </c>
    </row>
    <row r="124" spans="1:43" ht="12.75">
      <c r="A124" s="20" t="s">
        <v>735</v>
      </c>
      <c r="B124" s="484">
        <f>+'qtrP&amp;L'!BP11</f>
        <v>669.12</v>
      </c>
      <c r="C124" s="20"/>
      <c r="D124" s="23">
        <f>+'qtrP&amp;L'!BP21</f>
        <v>432.94200000000001</v>
      </c>
      <c r="E124" s="17"/>
      <c r="F124" s="25">
        <f>+work!BH11</f>
        <v>457.28199999999998</v>
      </c>
      <c r="G124" s="17"/>
      <c r="H124" s="25">
        <f>AVERAGEA(F123:F124)</f>
        <v>394.435</v>
      </c>
      <c r="I124" s="17"/>
      <c r="J124" s="24">
        <f>(B124/B117-1)*100</f>
        <v>3.1413152552405288</v>
      </c>
      <c r="K124" s="61"/>
      <c r="L124" s="23">
        <f>(F124/F117-1)*100</f>
        <v>30.992205470779808</v>
      </c>
      <c r="M124" s="61"/>
      <c r="N124" s="23">
        <f>(F124/F123-1)*100</f>
        <v>37.906679373198045</v>
      </c>
      <c r="O124" s="61"/>
      <c r="P124" s="143">
        <f>D124/H124</f>
        <v>1.0976257177988769</v>
      </c>
      <c r="Q124" s="20"/>
      <c r="R124" s="148">
        <f>D125/F124</f>
        <v>1.1090836726571351</v>
      </c>
      <c r="S124" s="17"/>
      <c r="T124" s="17">
        <f>qtrSales!I164</f>
        <v>1082</v>
      </c>
      <c r="U124" s="58"/>
      <c r="V124" s="23">
        <f>F124/T124*1000</f>
        <v>422.62661737523104</v>
      </c>
      <c r="W124" s="17"/>
      <c r="X124" s="23">
        <f>(V124/V117-1)*100</f>
        <v>31.113270355688115</v>
      </c>
      <c r="Y124" s="17"/>
      <c r="Z124" s="226">
        <f>qtrSales!X164</f>
        <v>6.4587839999999996</v>
      </c>
      <c r="AA124" s="212"/>
      <c r="AB124" s="227">
        <f>F124/Z124</f>
        <v>70.80001436802965</v>
      </c>
      <c r="AC124" s="17"/>
      <c r="AD124" s="295">
        <f>(AB124/AB117-1)*100</f>
        <v>27.356304867265525</v>
      </c>
      <c r="AE124" s="212"/>
      <c r="AF124" s="17">
        <f>H124/(D124/(365/4))</f>
        <v>83.133985037256721</v>
      </c>
      <c r="AG124" s="17"/>
      <c r="AH124" s="17">
        <f>F124/(D125/(365/4))</f>
        <v>82.27512698062165</v>
      </c>
      <c r="AI124" s="17"/>
      <c r="AJ124" s="17"/>
      <c r="AK124" s="490">
        <f>((D124-('yrP&amp;L'!$R$16/4)))/H124</f>
        <v>0.86123722539835468</v>
      </c>
      <c r="AL124" s="491"/>
      <c r="AM124" s="17"/>
      <c r="AN124" s="17">
        <f>(F124/F110-1)*100</f>
        <v>29.60809933705384</v>
      </c>
      <c r="AP124" s="17">
        <f>(B124/B110-1)*100</f>
        <v>3.4511547654754615</v>
      </c>
      <c r="AQ124" s="17">
        <f>-AN124+AP125</f>
        <v>-18.275660012098108</v>
      </c>
    </row>
    <row r="125" spans="1:43" ht="12.75">
      <c r="A125" s="20" t="s">
        <v>736</v>
      </c>
      <c r="B125" s="484">
        <f>+'qtrP&amp;L'!BP12</f>
        <v>819.41899999999998</v>
      </c>
      <c r="C125" s="20"/>
      <c r="D125" s="23">
        <f>+'qtrP&amp;L'!BP22</f>
        <v>507.16400000000004</v>
      </c>
      <c r="E125" s="17"/>
      <c r="F125" s="25">
        <f>+work!BH12</f>
        <v>571.75099999999998</v>
      </c>
      <c r="G125" s="17"/>
      <c r="H125" s="25">
        <f>AVERAGEA(F124:F125)</f>
        <v>514.51649999999995</v>
      </c>
      <c r="I125" s="17"/>
      <c r="J125" s="24">
        <f>(B125/B118-1)*100</f>
        <v>10.011425134490359</v>
      </c>
      <c r="K125" s="61"/>
      <c r="L125" s="23">
        <f>(F125/F118-1)*100</f>
        <v>39.618665279639757</v>
      </c>
      <c r="M125" s="61"/>
      <c r="N125" s="23">
        <f>(F125/F124-1)*100</f>
        <v>25.032474490576927</v>
      </c>
      <c r="O125" s="61"/>
      <c r="P125" s="143">
        <f>D125/H125</f>
        <v>0.98570988491136846</v>
      </c>
      <c r="Q125" s="20"/>
      <c r="R125" s="148">
        <f>D126/F125</f>
        <v>1.1650176387973086</v>
      </c>
      <c r="S125" s="17"/>
      <c r="T125" s="17">
        <f>qtrSales!I165</f>
        <v>1116</v>
      </c>
      <c r="U125" s="58"/>
      <c r="V125" s="23">
        <f>F125/T125*1000</f>
        <v>512.32168458781359</v>
      </c>
      <c r="W125" s="17"/>
      <c r="X125" s="23">
        <f>(V125/V118-1)*100</f>
        <v>36.24079434545493</v>
      </c>
      <c r="Y125" s="17"/>
      <c r="Z125" s="226">
        <f>qtrSales!X165</f>
        <v>6.5365640000000003</v>
      </c>
      <c r="AA125" s="212"/>
      <c r="AB125" s="227">
        <f>F125/Z125</f>
        <v>87.469655311261377</v>
      </c>
      <c r="AC125" s="17"/>
      <c r="AD125" s="295">
        <f>(AB125/AB118-1)*100</f>
        <v>35.059129354661664</v>
      </c>
      <c r="AE125" s="212"/>
      <c r="AF125" s="17">
        <f>H125/(D125/(365/4))</f>
        <v>92.572877067378585</v>
      </c>
      <c r="AG125" s="17"/>
      <c r="AH125" s="17">
        <f>F125/(D126/(365/4))</f>
        <v>78.324994370214696</v>
      </c>
      <c r="AI125" s="17"/>
      <c r="AJ125" s="17"/>
      <c r="AK125" s="490">
        <f>((D125-('yrP&amp;L'!$R$16/4)))/H125</f>
        <v>0.80449141086826192</v>
      </c>
      <c r="AL125" s="491"/>
      <c r="AM125" s="17"/>
      <c r="AN125" s="17">
        <f>(F125/F111-1)*100</f>
        <v>34.398410963412182</v>
      </c>
      <c r="AP125" s="17">
        <f>(B125/B111-1)*100</f>
        <v>11.332439324955734</v>
      </c>
      <c r="AQ125" s="17">
        <f>-AN125+AP126</f>
        <v>-26.796146427917119</v>
      </c>
    </row>
    <row r="126" spans="1:43" ht="12.75">
      <c r="A126" s="20" t="s">
        <v>737</v>
      </c>
      <c r="B126" s="485">
        <f>+'qtrP&amp;L'!BP13</f>
        <v>1028.442</v>
      </c>
      <c r="C126" s="20"/>
      <c r="D126" s="42">
        <f>+'qtrP&amp;L'!BP23</f>
        <v>666.09999999999991</v>
      </c>
      <c r="E126" s="17"/>
      <c r="F126" s="25">
        <f>+bal!AK10</f>
        <v>378.42599999999999</v>
      </c>
      <c r="G126" s="17"/>
      <c r="H126" s="35">
        <f>AVERAGEA(F125:F126)</f>
        <v>475.08849999999995</v>
      </c>
      <c r="I126" s="17"/>
      <c r="J126" s="82">
        <f>(B126/B119-1)*100</f>
        <v>13.441446131853208</v>
      </c>
      <c r="K126" s="61"/>
      <c r="L126" s="23">
        <f>(F126/F119-1)*100</f>
        <v>25.636105282728195</v>
      </c>
      <c r="M126" s="61"/>
      <c r="N126" s="23">
        <f>(F126/F125-1)*100</f>
        <v>-33.81279612978377</v>
      </c>
      <c r="O126" s="61"/>
      <c r="P126" s="143">
        <f>D126/H126</f>
        <v>1.4020545645706011</v>
      </c>
      <c r="Q126" s="20"/>
      <c r="R126" s="148">
        <f>D130/F126</f>
        <v>1.1462795896687861</v>
      </c>
      <c r="S126" s="17"/>
      <c r="T126" s="17">
        <f>qtrSales!I166</f>
        <v>1069</v>
      </c>
      <c r="U126" s="58"/>
      <c r="V126" s="23">
        <f>F126/T126*1000</f>
        <v>354</v>
      </c>
      <c r="W126" s="17"/>
      <c r="X126" s="23">
        <f>(V126/V119-1)*100</f>
        <v>26.576319354067614</v>
      </c>
      <c r="Y126" s="17"/>
      <c r="Z126" s="226">
        <f>qtrSales!X166</f>
        <v>6.2902839999999998</v>
      </c>
      <c r="AA126" s="212"/>
      <c r="AB126" s="227">
        <f>F126/Z126</f>
        <v>60.160399753015923</v>
      </c>
      <c r="AC126" s="17"/>
      <c r="AD126" s="297">
        <f>(AB126/AB119-1)*100</f>
        <v>25.598975398017032</v>
      </c>
      <c r="AE126" s="212"/>
      <c r="AF126" s="17">
        <f>H126/(D126/(365/4))</f>
        <v>65.083059037682034</v>
      </c>
      <c r="AG126" s="17"/>
      <c r="AH126" s="17">
        <f>F126/(D130/(365/4))</f>
        <v>79.605360526716183</v>
      </c>
      <c r="AI126" s="231"/>
      <c r="AJ126" s="231"/>
      <c r="AK126" s="490">
        <f>((D126-('yrP&amp;L'!$R$16/4)))/H126</f>
        <v>1.2057966147359911</v>
      </c>
      <c r="AL126" s="491"/>
      <c r="AM126" s="17"/>
      <c r="AN126" s="17">
        <f>(F126/F112-1)*100</f>
        <v>15.920160267602789</v>
      </c>
      <c r="AP126" s="17">
        <f>(B126/B112-1)*100</f>
        <v>7.6022645354950624</v>
      </c>
      <c r="AQ126" s="17">
        <f>-AN126+AP127</f>
        <v>-15.920160267602789</v>
      </c>
    </row>
    <row r="127" spans="1:43" ht="12.75">
      <c r="A127" s="20" t="s">
        <v>762</v>
      </c>
      <c r="B127" s="290">
        <f>+'qtrP&amp;L'!BP14</f>
        <v>3120.0650000000001</v>
      </c>
      <c r="C127" s="20"/>
      <c r="D127" s="38">
        <f>+'qtrP&amp;L'!BP24</f>
        <v>1975.471</v>
      </c>
      <c r="E127" s="17"/>
      <c r="F127" s="17"/>
      <c r="G127" s="17"/>
      <c r="H127" s="38">
        <f>AVERAGEA(H126,H125,H124,H123,H119)</f>
        <v>411.15930000000009</v>
      </c>
      <c r="I127" s="17"/>
      <c r="J127" s="24">
        <f>(B127/B120-1)*100</f>
        <v>5.9339067678812363</v>
      </c>
      <c r="K127" s="61"/>
      <c r="L127" s="23"/>
      <c r="M127" s="61"/>
      <c r="N127" s="23"/>
      <c r="O127" s="61"/>
      <c r="P127" s="150">
        <f>D127/H127</f>
        <v>4.8046365484132298</v>
      </c>
      <c r="Q127" s="151" t="s">
        <v>159</v>
      </c>
      <c r="R127" s="17"/>
      <c r="S127" s="17"/>
      <c r="T127" s="17"/>
      <c r="U127" s="17"/>
      <c r="V127" s="17"/>
      <c r="W127" s="17"/>
      <c r="X127" s="44"/>
      <c r="Y127" s="17"/>
      <c r="Z127" s="650"/>
      <c r="AA127" s="58"/>
      <c r="AB127" s="17">
        <f>AVERAGE(AB123:AB126)</f>
        <v>67.565832747375651</v>
      </c>
      <c r="AC127" s="17"/>
      <c r="AD127" s="44"/>
      <c r="AE127" s="61"/>
      <c r="AF127" s="60"/>
      <c r="AG127" s="17"/>
      <c r="AH127" s="17"/>
      <c r="AI127" s="17"/>
      <c r="AJ127" s="17"/>
      <c r="AK127" s="492">
        <f>(D127-'yrP&amp;L'!$R$16)/H127</f>
        <v>3.8975438960033246</v>
      </c>
      <c r="AL127" s="493" t="s">
        <v>159</v>
      </c>
      <c r="AM127" s="17"/>
      <c r="AN127" s="17"/>
      <c r="AP127" s="17"/>
    </row>
    <row r="128" spans="1:43" ht="10.5" customHeight="1">
      <c r="A128" s="17"/>
      <c r="B128" s="17"/>
      <c r="C128" s="17"/>
      <c r="D128" s="17"/>
      <c r="E128" s="17"/>
      <c r="F128" s="17"/>
      <c r="G128" s="17"/>
      <c r="H128" s="17"/>
      <c r="I128" s="17"/>
      <c r="J128" s="17"/>
      <c r="K128" s="61"/>
      <c r="L128" s="17"/>
      <c r="M128" s="61"/>
      <c r="N128" s="17"/>
      <c r="O128" s="17"/>
      <c r="P128" s="17"/>
      <c r="Q128" s="17"/>
      <c r="R128" s="17"/>
      <c r="S128" s="17"/>
      <c r="T128" s="17"/>
      <c r="U128" s="17"/>
      <c r="V128" s="17"/>
      <c r="W128" s="17"/>
      <c r="X128" s="17"/>
      <c r="Y128" s="17"/>
      <c r="Z128" s="17"/>
      <c r="AA128" s="17"/>
      <c r="AB128" s="17"/>
      <c r="AC128" s="17"/>
      <c r="AD128" s="17"/>
      <c r="AE128" s="17"/>
      <c r="AF128" s="17"/>
      <c r="AG128" s="17"/>
      <c r="AH128" s="17"/>
      <c r="AI128" s="17"/>
      <c r="AJ128" s="17"/>
      <c r="AK128" s="17"/>
      <c r="AL128" s="17"/>
      <c r="AM128" s="17"/>
      <c r="AN128" s="17"/>
      <c r="AP128" s="17"/>
    </row>
    <row r="129" spans="1:43" ht="12.75">
      <c r="A129" s="230" t="s">
        <v>479</v>
      </c>
      <c r="B129" s="328"/>
      <c r="C129" s="328"/>
      <c r="D129" s="144"/>
      <c r="E129" s="37"/>
      <c r="F129" s="37"/>
      <c r="G129" s="37"/>
      <c r="H129" s="144"/>
      <c r="I129" s="37"/>
      <c r="J129" s="145"/>
      <c r="K129" s="61"/>
      <c r="L129" s="37"/>
      <c r="M129" s="61"/>
      <c r="N129" s="37"/>
      <c r="O129" s="61"/>
      <c r="P129" s="482"/>
      <c r="Q129" s="147"/>
      <c r="R129" s="330"/>
      <c r="S129" s="37"/>
      <c r="T129" s="37"/>
      <c r="U129" s="37"/>
      <c r="V129" s="37"/>
      <c r="W129" s="37"/>
      <c r="X129" s="147"/>
      <c r="Y129" s="61"/>
      <c r="Z129" s="650"/>
      <c r="AA129" s="288"/>
      <c r="AB129" s="288"/>
      <c r="AC129" s="37"/>
      <c r="AD129" s="147"/>
      <c r="AE129" s="61"/>
      <c r="AF129" s="17"/>
      <c r="AG129" s="17"/>
      <c r="AH129" s="17"/>
      <c r="AI129" s="17"/>
      <c r="AJ129" s="17"/>
      <c r="AK129" s="487"/>
      <c r="AL129" s="487"/>
      <c r="AM129" s="17"/>
      <c r="AN129" s="17"/>
      <c r="AP129" s="17"/>
    </row>
    <row r="130" spans="1:43" ht="12.75">
      <c r="A130" s="20" t="s">
        <v>734</v>
      </c>
      <c r="B130" s="662">
        <f>+'qtrP&amp;L'!BT10</f>
        <v>708.69500000000005</v>
      </c>
      <c r="C130" s="20"/>
      <c r="D130" s="38">
        <f>+'qtrP&amp;L'!BT20</f>
        <v>433.78199999999998</v>
      </c>
      <c r="E130" s="17"/>
      <c r="F130" s="38">
        <f>work!BL10</f>
        <v>376.68799999999999</v>
      </c>
      <c r="G130" s="17"/>
      <c r="H130" s="38">
        <f>(F126+F130)/2</f>
        <v>377.55700000000002</v>
      </c>
      <c r="I130" s="17"/>
      <c r="J130" s="24">
        <f>(B130/B123-1)*100</f>
        <v>17.511822565347444</v>
      </c>
      <c r="K130" s="61" t="s">
        <v>697</v>
      </c>
      <c r="L130" s="23">
        <f>(F130/F123-1)*100</f>
        <v>13.601215966802172</v>
      </c>
      <c r="M130" s="61" t="s">
        <v>697</v>
      </c>
      <c r="N130" s="23">
        <f>(F130/F126-1)*100</f>
        <v>-0.45927076892179342</v>
      </c>
      <c r="O130" s="61" t="s">
        <v>697</v>
      </c>
      <c r="P130" s="143">
        <f>D130/H130</f>
        <v>1.148917911732533</v>
      </c>
      <c r="Q130" s="20" t="s">
        <v>159</v>
      </c>
      <c r="R130" s="148">
        <f>D131/F130</f>
        <v>1.2294418723187359</v>
      </c>
      <c r="S130" s="17"/>
      <c r="T130" s="341">
        <f>qtrSales!I170</f>
        <v>1068</v>
      </c>
      <c r="U130" s="17"/>
      <c r="V130" s="38">
        <f>F130/T130*1000</f>
        <v>352.70411985018723</v>
      </c>
      <c r="W130" s="22"/>
      <c r="X130" s="23">
        <f>(V130/V123-1)*100</f>
        <v>15.622211381941886</v>
      </c>
      <c r="Y130" s="61" t="s">
        <v>697</v>
      </c>
      <c r="Z130" s="226">
        <f>qtrSales!X170</f>
        <v>6.4144199999999998</v>
      </c>
      <c r="AA130" s="58"/>
      <c r="AB130" s="228">
        <f>F130/Z130</f>
        <v>58.725184817957043</v>
      </c>
      <c r="AC130" s="22"/>
      <c r="AD130" s="295">
        <f>(AB130/AB123-1)*100</f>
        <v>13.296333384609472</v>
      </c>
      <c r="AE130" s="61" t="s">
        <v>697</v>
      </c>
      <c r="AF130" s="17">
        <f>H130/(D130/(365/4))</f>
        <v>79.422558451019171</v>
      </c>
      <c r="AG130" s="17"/>
      <c r="AH130" s="17">
        <f>F130/(D131/(365/4))</f>
        <v>74.220670415187556</v>
      </c>
      <c r="AI130" s="17"/>
      <c r="AJ130" s="17"/>
      <c r="AK130" s="490">
        <f>((D130-('yrP&amp;L'!$S$16/4)))/H130</f>
        <v>0.89525757700161823</v>
      </c>
      <c r="AL130" s="491" t="s">
        <v>159</v>
      </c>
      <c r="AM130" s="17"/>
      <c r="AN130" s="17">
        <f>(F130/F116-1)*100</f>
        <v>15.400852284041576</v>
      </c>
      <c r="AP130" s="17">
        <f>(B130/B116-1)*100</f>
        <v>9.8547557043650933</v>
      </c>
      <c r="AQ130" s="17">
        <f>-AN130+AP131</f>
        <v>-1.3830855635784012</v>
      </c>
    </row>
    <row r="131" spans="1:43" ht="12.75">
      <c r="A131" s="20" t="s">
        <v>735</v>
      </c>
      <c r="B131" s="662">
        <f>+'qtrP&amp;L'!BT11</f>
        <v>739.68</v>
      </c>
      <c r="C131" s="20"/>
      <c r="D131" s="38">
        <f>+'qtrP&amp;L'!BT21</f>
        <v>463.11599999999999</v>
      </c>
      <c r="E131" s="17"/>
      <c r="F131" s="38">
        <f>work!BL11</f>
        <v>462.01299999999998</v>
      </c>
      <c r="G131" s="17"/>
      <c r="H131" s="25">
        <f>(F130+F131)/2</f>
        <v>419.35050000000001</v>
      </c>
      <c r="I131" s="17"/>
      <c r="J131" s="24">
        <f>(B131/B124-1)*100</f>
        <v>10.545193687230991</v>
      </c>
      <c r="K131" s="61"/>
      <c r="L131" s="23">
        <f>(F131/F124-1)*100</f>
        <v>1.034591346258984</v>
      </c>
      <c r="M131" s="61"/>
      <c r="N131" s="23">
        <f>(F131/F130-1)*100</f>
        <v>22.651371957694423</v>
      </c>
      <c r="O131" s="61"/>
      <c r="P131" s="143">
        <f>D131/H131</f>
        <v>1.1043649643913622</v>
      </c>
      <c r="Q131" s="20"/>
      <c r="R131" s="148">
        <f>D132/F131</f>
        <v>1.1499330105429935</v>
      </c>
      <c r="S131" s="17"/>
      <c r="T131" s="341">
        <f>qtrSales!I171</f>
        <v>1063</v>
      </c>
      <c r="U131" s="58"/>
      <c r="V131" s="23">
        <f>F131/T131*1000</f>
        <v>434.63123236124176</v>
      </c>
      <c r="W131" s="17"/>
      <c r="X131" s="23">
        <f>(V131/V124-1)*100</f>
        <v>2.8404777390895752</v>
      </c>
      <c r="Y131" s="17"/>
      <c r="Z131" s="226">
        <f>qtrSales!X171</f>
        <v>6.2830279999999998</v>
      </c>
      <c r="AA131" s="212"/>
      <c r="AB131" s="227">
        <f>F131/Z131</f>
        <v>73.533493723090203</v>
      </c>
      <c r="AC131" s="17"/>
      <c r="AD131" s="295">
        <f>(AB131/AB124-1)*100</f>
        <v>3.8608457631823301</v>
      </c>
      <c r="AE131" s="212"/>
      <c r="AF131" s="17">
        <f>H131/(D131/(365/4))</f>
        <v>82.626670477806869</v>
      </c>
      <c r="AG131" s="17"/>
      <c r="AH131" s="17">
        <f>F131/(D132/(365/4))</f>
        <v>79.352448502119387</v>
      </c>
      <c r="AI131" s="17"/>
      <c r="AJ131" s="17"/>
      <c r="AK131" s="490">
        <f>((D131-('yrP&amp;L'!$S$16/4)))/H131</f>
        <v>0.87598504115292575</v>
      </c>
      <c r="AL131" s="491"/>
      <c r="AM131" s="17"/>
      <c r="AN131" s="17">
        <f>(F131/F117-1)*100</f>
        <v>32.347439492854278</v>
      </c>
      <c r="AP131" s="17">
        <f>(B131/B117-1)*100</f>
        <v>14.017766720463175</v>
      </c>
      <c r="AQ131" s="17">
        <f>-AN131+AP132</f>
        <v>-10.124814504433786</v>
      </c>
    </row>
    <row r="132" spans="1:43" ht="12.75">
      <c r="A132" s="20" t="s">
        <v>736</v>
      </c>
      <c r="B132" s="662">
        <f>+'qtrP&amp;L'!BT12</f>
        <v>910.37400000000002</v>
      </c>
      <c r="C132" s="20"/>
      <c r="D132" s="38">
        <f>+'qtrP&amp;L'!BT22</f>
        <v>531.28399999999999</v>
      </c>
      <c r="E132" s="17"/>
      <c r="F132" s="38">
        <f>work!BL12</f>
        <v>481.20800000000003</v>
      </c>
      <c r="G132" s="17"/>
      <c r="H132" s="25">
        <f>(F131+F132)/2</f>
        <v>471.6105</v>
      </c>
      <c r="I132" s="17"/>
      <c r="J132" s="24">
        <f>(B132/B125-1)*100</f>
        <v>11.099937882816979</v>
      </c>
      <c r="K132" s="61"/>
      <c r="L132" s="23">
        <f>(F132/F125-1)*100</f>
        <v>-15.836089486507232</v>
      </c>
      <c r="M132" s="61"/>
      <c r="N132" s="23">
        <f>(F132/F131-1)*100</f>
        <v>4.1546449991666901</v>
      </c>
      <c r="O132" s="61"/>
      <c r="P132" s="143">
        <f>D132/H132</f>
        <v>1.1265313219277349</v>
      </c>
      <c r="Q132" s="20"/>
      <c r="R132" s="148">
        <f>D133/F132</f>
        <v>1.3640774883210585</v>
      </c>
      <c r="S132" s="17"/>
      <c r="T132" s="341">
        <f>qtrSales!I172</f>
        <v>1063</v>
      </c>
      <c r="U132" s="58"/>
      <c r="V132" s="23">
        <f>F132/T132*1000</f>
        <v>452.68861712135464</v>
      </c>
      <c r="W132" s="17"/>
      <c r="X132" s="23">
        <f>(V132/V125-1)*100</f>
        <v>-11.639770335787469</v>
      </c>
      <c r="Y132" s="17"/>
      <c r="Z132" s="226">
        <f>qtrSales!X172</f>
        <v>6.3000661999999998</v>
      </c>
      <c r="AA132" s="212"/>
      <c r="AB132" s="227">
        <f>F132/Z132</f>
        <v>76.381419611114566</v>
      </c>
      <c r="AC132" s="17"/>
      <c r="AD132" s="295">
        <f>(AB132/AB125-1)*100</f>
        <v>-12.676665594130043</v>
      </c>
      <c r="AE132" s="212"/>
      <c r="AF132" s="17">
        <f>H132/(D132/(365/4))</f>
        <v>81.000854768824212</v>
      </c>
      <c r="AG132" s="17"/>
      <c r="AH132" s="17">
        <f>F132/(D133/(365/4))</f>
        <v>66.895026698455993</v>
      </c>
      <c r="AI132" s="17"/>
      <c r="AJ132" s="17"/>
      <c r="AK132" s="490">
        <f>((D132-('yrP&amp;L'!$S$16/4)))/H132</f>
        <v>0.92345858499757749</v>
      </c>
      <c r="AL132" s="491"/>
      <c r="AM132" s="17"/>
      <c r="AN132" s="17">
        <f>(F132/F118-1)*100</f>
        <v>17.508528506088993</v>
      </c>
      <c r="AP132" s="17">
        <f>(B132/B118-1)*100</f>
        <v>22.222624988420492</v>
      </c>
      <c r="AQ132" s="17">
        <f>-AN132+AP133</f>
        <v>5.7070808582942547</v>
      </c>
    </row>
    <row r="133" spans="1:43" ht="12.75">
      <c r="A133" s="20" t="s">
        <v>737</v>
      </c>
      <c r="B133" s="873">
        <f>+'qtrP&amp;L'!BT13</f>
        <v>1117.0530000000001</v>
      </c>
      <c r="C133" s="20"/>
      <c r="D133" s="874">
        <f>+'qtrP&amp;L'!BT23</f>
        <v>656.40499999999997</v>
      </c>
      <c r="E133" s="17"/>
      <c r="F133" s="38">
        <f>work!BL13</f>
        <v>332.452</v>
      </c>
      <c r="G133" s="17"/>
      <c r="H133" s="35">
        <f>(F132+F133)/2</f>
        <v>406.83000000000004</v>
      </c>
      <c r="I133" s="17"/>
      <c r="J133" s="82">
        <f>(B133/B126-1)*100</f>
        <v>8.6160425186836207</v>
      </c>
      <c r="K133" s="61"/>
      <c r="L133" s="23">
        <f>(F133/F126-1)*100</f>
        <v>-12.14874242256081</v>
      </c>
      <c r="M133" s="61"/>
      <c r="N133" s="23">
        <f>(F133/F132-1)*100</f>
        <v>-30.913035527256405</v>
      </c>
      <c r="O133" s="61"/>
      <c r="P133" s="143">
        <f>D133/H133</f>
        <v>1.6134626256667401</v>
      </c>
      <c r="Q133" s="20"/>
      <c r="R133" s="872" t="s">
        <v>69</v>
      </c>
      <c r="S133" s="17"/>
      <c r="T133" s="341">
        <f>qtrSales!I173</f>
        <v>1044</v>
      </c>
      <c r="U133" s="58"/>
      <c r="V133" s="23">
        <f>F133/T133*1000</f>
        <v>318.4406130268199</v>
      </c>
      <c r="W133" s="17"/>
      <c r="X133" s="23">
        <f>(V133/V126-1)*100</f>
        <v>-10.045024568694938</v>
      </c>
      <c r="Y133" s="17"/>
      <c r="Z133" s="226">
        <f>qtrSales!X173</f>
        <v>6.2032780000000001</v>
      </c>
      <c r="AA133" s="212"/>
      <c r="AB133" s="227">
        <f>F133/Z133</f>
        <v>53.592955208520401</v>
      </c>
      <c r="AC133" s="17"/>
      <c r="AD133" s="295">
        <f>(AB133/AB126-1)*100</f>
        <v>-10.916557355765056</v>
      </c>
      <c r="AE133" s="212"/>
      <c r="AF133" s="17">
        <f>H133/(D133/(365/4))</f>
        <v>56.555385013825315</v>
      </c>
      <c r="AG133" s="17"/>
      <c r="AH133" s="231" t="s">
        <v>545</v>
      </c>
      <c r="AI133" s="231"/>
      <c r="AJ133" s="231"/>
      <c r="AK133" s="490">
        <f>((D133-('yrP&amp;L'!$S$16/4)))/H133</f>
        <v>1.3780541380920777</v>
      </c>
      <c r="AL133" s="491"/>
      <c r="AM133" s="17"/>
      <c r="AN133" s="17">
        <f>(F133/F119-1)*100</f>
        <v>10.372898462192225</v>
      </c>
      <c r="AP133" s="17">
        <f>(B133/B119-1)*100</f>
        <v>23.215609364383248</v>
      </c>
      <c r="AQ133" s="17">
        <f>-AN133+AP134</f>
        <v>-10.372898462192225</v>
      </c>
    </row>
    <row r="134" spans="1:43" ht="12.75">
      <c r="A134" s="20" t="s">
        <v>762</v>
      </c>
      <c r="B134" s="662">
        <f>+'qtrP&amp;L'!BT14</f>
        <v>3475.8019999999997</v>
      </c>
      <c r="C134" s="20"/>
      <c r="D134" s="38">
        <f>+'qtrP&amp;L'!BT24</f>
        <v>2084.5869999999995</v>
      </c>
      <c r="E134" s="17"/>
      <c r="F134" s="17"/>
      <c r="G134" s="17"/>
      <c r="H134" s="38">
        <f>AVERAGEA(H133,H132,H131,H130,H126)</f>
        <v>430.08730000000003</v>
      </c>
      <c r="I134" s="17"/>
      <c r="J134" s="24">
        <f>(B134/B127-1)*100</f>
        <v>11.401589389964627</v>
      </c>
      <c r="K134" s="61"/>
      <c r="L134" s="23"/>
      <c r="M134" s="61"/>
      <c r="N134" s="23"/>
      <c r="O134" s="61"/>
      <c r="P134" s="150">
        <f>D134/H134</f>
        <v>4.8468927122470236</v>
      </c>
      <c r="Q134" s="151" t="s">
        <v>159</v>
      </c>
      <c r="R134" s="17"/>
      <c r="S134" s="17"/>
      <c r="T134" s="17"/>
      <c r="U134" s="17"/>
      <c r="V134" s="17"/>
      <c r="W134" s="17"/>
      <c r="X134" s="44"/>
      <c r="Y134" s="17"/>
      <c r="Z134" s="650"/>
      <c r="AA134" s="58"/>
      <c r="AB134" s="17">
        <f>AVERAGE(AB130:AB133)</f>
        <v>65.558263340170541</v>
      </c>
      <c r="AC134" s="17"/>
      <c r="AD134" s="44"/>
      <c r="AE134" s="61"/>
      <c r="AF134" s="60"/>
      <c r="AG134" s="17"/>
      <c r="AH134" s="17"/>
      <c r="AI134" s="17"/>
      <c r="AJ134" s="17"/>
      <c r="AK134" s="492">
        <f>((D134-('yrP&amp;L'!$S$16/4)))/H134</f>
        <v>4.6242141188544732</v>
      </c>
      <c r="AL134" s="493" t="s">
        <v>159</v>
      </c>
      <c r="AM134" s="17"/>
      <c r="AN134" s="17"/>
      <c r="AP134" s="17"/>
    </row>
    <row r="135" spans="1:43" ht="12.75">
      <c r="A135" s="20"/>
      <c r="B135" s="290"/>
      <c r="C135" s="20"/>
      <c r="D135" s="38"/>
      <c r="E135" s="17"/>
      <c r="F135" s="17"/>
      <c r="G135" s="17"/>
      <c r="H135" s="38"/>
      <c r="I135" s="17"/>
      <c r="J135" s="24"/>
      <c r="K135" s="61"/>
      <c r="L135" s="23"/>
      <c r="M135" s="61"/>
      <c r="N135" s="23"/>
      <c r="O135" s="61"/>
      <c r="P135" s="153"/>
      <c r="Q135" s="49"/>
      <c r="R135" s="17"/>
      <c r="S135" s="17"/>
      <c r="T135" s="17"/>
      <c r="U135" s="17"/>
      <c r="V135" s="17"/>
      <c r="W135" s="17"/>
      <c r="X135" s="44"/>
      <c r="Y135" s="17"/>
      <c r="Z135" s="650"/>
      <c r="AA135" s="58"/>
      <c r="AB135" s="17"/>
      <c r="AC135" s="17"/>
      <c r="AD135" s="44"/>
      <c r="AE135" s="61"/>
      <c r="AF135" s="60"/>
      <c r="AG135" s="17"/>
      <c r="AH135" s="17"/>
      <c r="AI135" s="17"/>
      <c r="AJ135" s="17"/>
      <c r="AK135" s="490"/>
      <c r="AL135" s="864"/>
      <c r="AM135" s="17"/>
      <c r="AN135" s="17"/>
      <c r="AP135" s="17"/>
    </row>
    <row r="136" spans="1:43" ht="12.75">
      <c r="A136" s="230" t="s">
        <v>190</v>
      </c>
      <c r="B136" s="290"/>
      <c r="C136" s="20"/>
      <c r="D136" s="38"/>
      <c r="E136" s="17"/>
      <c r="F136" s="17"/>
      <c r="G136" s="17"/>
      <c r="H136" s="38"/>
      <c r="I136" s="17"/>
      <c r="J136" s="24"/>
      <c r="K136" s="61"/>
      <c r="L136" s="23"/>
      <c r="M136" s="61"/>
      <c r="N136" s="23"/>
      <c r="O136" s="61"/>
      <c r="P136" s="153"/>
      <c r="Q136" s="49"/>
      <c r="R136" s="17"/>
      <c r="S136" s="17"/>
      <c r="T136" s="17"/>
      <c r="U136" s="17"/>
      <c r="V136" s="17"/>
      <c r="W136" s="17"/>
      <c r="X136" s="44"/>
      <c r="Y136" s="17"/>
      <c r="Z136" s="650"/>
      <c r="AA136" s="58"/>
      <c r="AB136" s="17"/>
      <c r="AC136" s="17"/>
      <c r="AD136" s="44"/>
      <c r="AE136" s="61"/>
      <c r="AF136" s="60"/>
      <c r="AG136" s="17"/>
      <c r="AH136" s="17"/>
      <c r="AI136" s="17"/>
      <c r="AJ136" s="17"/>
      <c r="AK136" s="490"/>
      <c r="AL136" s="864"/>
      <c r="AM136" s="17"/>
      <c r="AN136" s="17"/>
      <c r="AP136" s="17"/>
    </row>
    <row r="137" spans="1:43" ht="12.75">
      <c r="A137" s="20" t="s">
        <v>734</v>
      </c>
      <c r="B137" s="662">
        <f>'qtrP&amp;L'!BX10</f>
        <v>679.47699999999998</v>
      </c>
      <c r="C137" s="20"/>
      <c r="D137" s="38">
        <f>'qtrP&amp;L'!BX20</f>
        <v>413.44299999999998</v>
      </c>
      <c r="E137" s="17"/>
      <c r="F137" s="25">
        <f>work!BP10</f>
        <v>340.50799999999998</v>
      </c>
      <c r="G137" s="17"/>
      <c r="H137" s="38">
        <f>(F133+F137)/2</f>
        <v>336.48</v>
      </c>
      <c r="I137" s="17"/>
      <c r="J137" s="24">
        <f>(B137/B130-1)*100</f>
        <v>-4.1227890700513026</v>
      </c>
      <c r="K137" s="61" t="s">
        <v>697</v>
      </c>
      <c r="L137" s="23">
        <f>(F137/F130-1)*100</f>
        <v>-9.6047657477806645</v>
      </c>
      <c r="M137" s="61" t="s">
        <v>697</v>
      </c>
      <c r="N137" s="23">
        <f>(F137/F133-1)*100</f>
        <v>2.4232069592001304</v>
      </c>
      <c r="O137" s="61" t="s">
        <v>697</v>
      </c>
      <c r="P137" s="143">
        <f>D137/H137</f>
        <v>1.2287297907750832</v>
      </c>
      <c r="Q137" s="20" t="s">
        <v>159</v>
      </c>
      <c r="R137" s="148">
        <f>D138/F137</f>
        <v>1.4149975918333784</v>
      </c>
      <c r="S137" s="17"/>
      <c r="T137" s="17">
        <f>qtrSales!I177</f>
        <v>1037</v>
      </c>
      <c r="U137" s="17"/>
      <c r="V137" s="38">
        <f>F137/T137*1000</f>
        <v>328.35872709739635</v>
      </c>
      <c r="W137" s="17"/>
      <c r="X137" s="23">
        <f>(V137/V130-1)*100</f>
        <v>-6.9024974143006013</v>
      </c>
      <c r="Y137" s="61" t="s">
        <v>697</v>
      </c>
      <c r="Z137" s="226">
        <f>qtrSales!X177</f>
        <v>6.1916380000000002</v>
      </c>
      <c r="AA137" s="58"/>
      <c r="AB137" s="228">
        <f>F137/Z137</f>
        <v>54.994817203460535</v>
      </c>
      <c r="AC137" s="17"/>
      <c r="AD137" s="295">
        <f>(AB137/AB130-1)*100</f>
        <v>-6.3522449968617778</v>
      </c>
      <c r="AE137" s="61" t="s">
        <v>697</v>
      </c>
      <c r="AF137" s="17">
        <f>H137/(D137/(365/4))</f>
        <v>74.2636832646822</v>
      </c>
      <c r="AG137" s="17"/>
      <c r="AH137" s="17">
        <f>F137/(D138/(365/4))</f>
        <v>64.487742259525376</v>
      </c>
      <c r="AI137" s="17"/>
      <c r="AJ137" s="17"/>
      <c r="AK137" s="490">
        <f>((D137-('yrP&amp;L'!$T$16/4)))/H137</f>
        <v>0.93684863884926284</v>
      </c>
      <c r="AL137" s="491" t="s">
        <v>159</v>
      </c>
      <c r="AM137" s="17"/>
      <c r="AN137" s="17">
        <f>(F137/F123-1)*100</f>
        <v>2.6900852865604286</v>
      </c>
      <c r="AP137" s="17">
        <f>(B137/B123-1)*100</f>
        <v>12.667057988605212</v>
      </c>
      <c r="AQ137" s="17">
        <f>-AN137+AP138</f>
        <v>6.006859954950805</v>
      </c>
    </row>
    <row r="138" spans="1:43" ht="12.75">
      <c r="A138" s="20" t="s">
        <v>735</v>
      </c>
      <c r="B138" s="484">
        <f>'qtrP&amp;L'!BX11</f>
        <v>727.31299999999999</v>
      </c>
      <c r="C138" s="20"/>
      <c r="D138" s="23">
        <f>'qtrP&amp;L'!BX21</f>
        <v>481.81799999999998</v>
      </c>
      <c r="E138" s="17"/>
      <c r="F138" s="25">
        <f>work!BP11</f>
        <v>461.08</v>
      </c>
      <c r="G138" s="17"/>
      <c r="H138" s="38">
        <f>(F137+F138)/2</f>
        <v>400.79399999999998</v>
      </c>
      <c r="I138" s="17"/>
      <c r="J138" s="24">
        <f>(B138/B131-1)*100</f>
        <v>-1.6719392169586844</v>
      </c>
      <c r="K138" s="61"/>
      <c r="L138" s="23">
        <f>(F138/F131-1)*100</f>
        <v>-0.20194236958700484</v>
      </c>
      <c r="M138" s="61"/>
      <c r="N138" s="23">
        <f>(F138/F137-1)*100</f>
        <v>35.40944706144937</v>
      </c>
      <c r="O138" s="61"/>
      <c r="P138" s="143">
        <f>D138/H138</f>
        <v>1.2021587149508226</v>
      </c>
      <c r="Q138" s="20"/>
      <c r="R138" s="148">
        <f>D139/F138</f>
        <v>1.2111347271623145</v>
      </c>
      <c r="S138" s="17"/>
      <c r="T138" s="17">
        <f>qtrSales!I178</f>
        <v>1056</v>
      </c>
      <c r="U138" s="17"/>
      <c r="V138" s="23">
        <f>F138/T138*1000</f>
        <v>436.62878787878782</v>
      </c>
      <c r="W138" s="17"/>
      <c r="X138" s="23">
        <f>(V138/V131-1)*100</f>
        <v>0.45959778516004857</v>
      </c>
      <c r="Y138" s="17"/>
      <c r="Z138" s="226">
        <f>qtrSales!X178</f>
        <v>6.3730549999999999</v>
      </c>
      <c r="AA138" s="58"/>
      <c r="AB138" s="228">
        <f>F138/Z138</f>
        <v>72.348347848873104</v>
      </c>
      <c r="AC138" s="17"/>
      <c r="AD138" s="295">
        <f>(AB138/AB131-1)*100</f>
        <v>-1.6117089155046505</v>
      </c>
      <c r="AE138" s="61"/>
      <c r="AF138" s="17">
        <f>H138/(D138/(365/4))</f>
        <v>75.905118737780654</v>
      </c>
      <c r="AG138" s="17"/>
      <c r="AH138" s="17">
        <f>F138/(D139/(365/4))</f>
        <v>75.342567555468008</v>
      </c>
      <c r="AI138" s="17"/>
      <c r="AJ138" s="17"/>
      <c r="AK138" s="490">
        <f>((D138-('yrP&amp;L'!$T$16/4)))/H138</f>
        <v>0.9571147023159029</v>
      </c>
      <c r="AL138" s="491"/>
      <c r="AM138" s="17"/>
      <c r="AN138" s="17">
        <f>(F138/F124-1)*100</f>
        <v>0.83055969839180843</v>
      </c>
      <c r="AP138" s="17">
        <f>(B138/B124-1)*100</f>
        <v>8.6969452415112336</v>
      </c>
      <c r="AQ138" s="17">
        <f>-AN138+AP139</f>
        <v>3.7929601370037647</v>
      </c>
    </row>
    <row r="139" spans="1:43" ht="12.75">
      <c r="A139" s="20" t="s">
        <v>736</v>
      </c>
      <c r="B139" s="484">
        <f>'qtrP&amp;L'!BX12</f>
        <v>857.30499999999995</v>
      </c>
      <c r="C139" s="20"/>
      <c r="D139" s="23">
        <f>'qtrP&amp;L'!BX22</f>
        <v>558.42999999999995</v>
      </c>
      <c r="E139" s="17"/>
      <c r="F139" s="25">
        <f>work!BP12</f>
        <v>518.904</v>
      </c>
      <c r="G139" s="17"/>
      <c r="H139" s="38">
        <f>(F138+F139)/2</f>
        <v>489.99199999999996</v>
      </c>
      <c r="I139" s="17"/>
      <c r="J139" s="24">
        <f>(B139/B132-1)*100</f>
        <v>-5.8293624378552238</v>
      </c>
      <c r="K139" s="61"/>
      <c r="L139" s="23">
        <f>(F139/F132-1)*100</f>
        <v>7.8336187262057155</v>
      </c>
      <c r="M139" s="61"/>
      <c r="N139" s="23">
        <f>(F139/F138-1)*100</f>
        <v>12.540990717446011</v>
      </c>
      <c r="O139" s="61"/>
      <c r="P139" s="143">
        <f>D139/H139</f>
        <v>1.139671668108867</v>
      </c>
      <c r="Q139" s="20"/>
      <c r="R139" s="148">
        <f>D140/F139</f>
        <v>1.3672818093520189</v>
      </c>
      <c r="S139" s="17"/>
      <c r="T139" s="17">
        <f>qtrSales!I179</f>
        <v>1064</v>
      </c>
      <c r="U139" s="17"/>
      <c r="V139" s="23">
        <f>F139/T139*1000</f>
        <v>487.69172932330827</v>
      </c>
      <c r="W139" s="17"/>
      <c r="X139" s="23">
        <f>(V139/V132-1)*100</f>
        <v>7.7322713401848597</v>
      </c>
      <c r="Y139" s="17"/>
      <c r="Z139" s="226">
        <f>qtrSales!X179</f>
        <v>6.4554970000000003</v>
      </c>
      <c r="AA139" s="58"/>
      <c r="AB139" s="228">
        <f>F139/Z139</f>
        <v>80.381727386752715</v>
      </c>
      <c r="AC139" s="17"/>
      <c r="AD139" s="295">
        <f>(AB139/AB132-1)*100</f>
        <v>5.2372786418544814</v>
      </c>
      <c r="AE139" s="61"/>
      <c r="AF139" s="17">
        <f>H139/(D139/(365/4))</f>
        <v>80.066919757176365</v>
      </c>
      <c r="AG139" s="17"/>
      <c r="AH139" s="17">
        <f>F139/(D140/(365/4))</f>
        <v>66.73825350111629</v>
      </c>
      <c r="AI139" s="17"/>
      <c r="AJ139" s="17"/>
      <c r="AK139" s="490">
        <f>((D139-('yrP&amp;L'!$T$16/4)))/H139</f>
        <v>0.93923539567992942</v>
      </c>
      <c r="AL139" s="491"/>
      <c r="AM139" s="17"/>
      <c r="AN139" s="17">
        <f>(F139/F125-1)*100</f>
        <v>-9.2430096318152462</v>
      </c>
      <c r="AP139" s="17">
        <f>(B139/B125-1)*100</f>
        <v>4.6235198353955731</v>
      </c>
      <c r="AQ139" s="17">
        <f>-AN139+AP140</f>
        <v>10.532824711323872</v>
      </c>
    </row>
    <row r="140" spans="1:43" ht="12.75">
      <c r="A140" s="20" t="s">
        <v>737</v>
      </c>
      <c r="B140" s="485">
        <f>'qtrP&amp;L'!BX13</f>
        <v>1041.7070000000001</v>
      </c>
      <c r="C140" s="20"/>
      <c r="D140" s="42">
        <f>'qtrP&amp;L'!BX23</f>
        <v>709.48800000000006</v>
      </c>
      <c r="E140" s="17"/>
      <c r="F140" s="25">
        <f>work!BP13</f>
        <v>292</v>
      </c>
      <c r="G140" s="17"/>
      <c r="H140" s="874">
        <f>(F139+F140)/2</f>
        <v>405.452</v>
      </c>
      <c r="I140" s="17"/>
      <c r="J140" s="82">
        <f>(B140/B133-1)*100</f>
        <v>-6.7450693924102083</v>
      </c>
      <c r="K140" s="61"/>
      <c r="L140" s="23">
        <f>(F140/F133-1)*100</f>
        <v>-12.16777158807888</v>
      </c>
      <c r="M140" s="61"/>
      <c r="N140" s="23">
        <f>(F140/F139-1)*100</f>
        <v>-43.727548833695643</v>
      </c>
      <c r="O140" s="61"/>
      <c r="P140" s="143">
        <f>D140/H140</f>
        <v>1.7498692816905579</v>
      </c>
      <c r="Q140" s="20"/>
      <c r="R140" s="865" t="s">
        <v>69</v>
      </c>
      <c r="S140" s="17"/>
      <c r="T140" s="17">
        <f>qtrSales!I180</f>
        <v>1066</v>
      </c>
      <c r="U140" s="17"/>
      <c r="V140" s="23">
        <f>F140/T140*1000</f>
        <v>273.92120075046904</v>
      </c>
      <c r="W140" s="17"/>
      <c r="X140" s="23">
        <f>(V140/V133-1)*100</f>
        <v>-13.980444219469367</v>
      </c>
      <c r="Y140" s="17"/>
      <c r="Z140" s="226">
        <f>qtrSales!X180</f>
        <v>6.5034859999999997</v>
      </c>
      <c r="AA140" s="58"/>
      <c r="AB140" s="227">
        <f>F140/Z140</f>
        <v>44.898997245477275</v>
      </c>
      <c r="AC140" s="17"/>
      <c r="AD140" s="295">
        <f>(AB140/AB133-1)*100</f>
        <v>-16.222202954131792</v>
      </c>
      <c r="AE140" s="61"/>
      <c r="AF140" s="17">
        <f>H140/(D140/(365/4))</f>
        <v>52.146752305888185</v>
      </c>
      <c r="AG140" s="17"/>
      <c r="AH140" s="231" t="s">
        <v>69</v>
      </c>
      <c r="AI140" s="17"/>
      <c r="AJ140" s="17"/>
      <c r="AK140" s="490">
        <f>((D140-('yrP&amp;L'!$T$16/4)))/H140</f>
        <v>1.5076404358592388</v>
      </c>
      <c r="AL140" s="491"/>
      <c r="AM140" s="17"/>
      <c r="AN140" s="17">
        <f>(F140/F126-1)*100</f>
        <v>-22.838282781838458</v>
      </c>
      <c r="AP140" s="17">
        <f>(B140/B126-1)*100</f>
        <v>1.2898150795086272</v>
      </c>
      <c r="AQ140" s="17">
        <f>-AN140+AP141</f>
        <v>22.838282781838458</v>
      </c>
    </row>
    <row r="141" spans="1:43" ht="12.75">
      <c r="A141" s="20" t="s">
        <v>762</v>
      </c>
      <c r="B141" s="290">
        <f>'qtrP&amp;L'!BX14</f>
        <v>3305.8019999999997</v>
      </c>
      <c r="C141" s="20"/>
      <c r="D141" s="38">
        <f>'qtrP&amp;L'!BX24</f>
        <v>2163.1790000000001</v>
      </c>
      <c r="E141" s="17"/>
      <c r="F141" s="17"/>
      <c r="G141" s="17"/>
      <c r="H141" s="38">
        <f>AVERAGEA(H140,H139,H138,H137,H133)</f>
        <v>407.90959999999995</v>
      </c>
      <c r="I141" s="17"/>
      <c r="J141" s="24">
        <f>(B141/B134-1)*100</f>
        <v>-4.8909575401590804</v>
      </c>
      <c r="K141" s="61"/>
      <c r="L141" s="23"/>
      <c r="M141" s="61"/>
      <c r="N141" s="23"/>
      <c r="O141" s="61"/>
      <c r="P141" s="150">
        <f>D141/H141</f>
        <v>5.3030843108374999</v>
      </c>
      <c r="Q141" s="151" t="s">
        <v>159</v>
      </c>
      <c r="R141" s="341"/>
      <c r="S141" s="17"/>
      <c r="T141" s="17"/>
      <c r="U141" s="17"/>
      <c r="V141" s="17"/>
      <c r="W141" s="17"/>
      <c r="X141" s="44"/>
      <c r="Y141" s="17"/>
      <c r="Z141" s="650"/>
      <c r="AA141" s="58"/>
      <c r="AB141" s="17">
        <f>AVERAGE(AB137:AB140)</f>
        <v>63.155972421140902</v>
      </c>
      <c r="AC141" s="17"/>
      <c r="AD141" s="44"/>
      <c r="AE141" s="61"/>
      <c r="AF141" s="60"/>
      <c r="AG141" s="17"/>
      <c r="AH141" s="17"/>
      <c r="AI141" s="17"/>
      <c r="AJ141" s="17"/>
      <c r="AK141" s="492">
        <f>((D141-('yrP&amp;L'!$T$16/4)))/H141</f>
        <v>5.0623148609397779</v>
      </c>
      <c r="AL141" s="493" t="s">
        <v>159</v>
      </c>
      <c r="AM141" s="17"/>
      <c r="AN141" s="17"/>
      <c r="AP141" s="17"/>
    </row>
    <row r="142" spans="1:43" ht="10.5" customHeight="1">
      <c r="Z142" s="850"/>
    </row>
    <row r="143" spans="1:43" ht="12.75">
      <c r="A143" s="230" t="s">
        <v>187</v>
      </c>
      <c r="B143" s="290"/>
      <c r="C143" s="20"/>
      <c r="D143" s="38"/>
      <c r="E143" s="17"/>
      <c r="F143" s="17"/>
      <c r="G143" s="17"/>
      <c r="H143" s="38"/>
      <c r="I143" s="17"/>
      <c r="J143" s="24"/>
      <c r="K143" s="61"/>
      <c r="L143" s="23"/>
      <c r="M143" s="61"/>
      <c r="N143" s="23"/>
      <c r="O143" s="61"/>
      <c r="P143" s="153"/>
      <c r="Q143" s="49"/>
      <c r="R143" s="17"/>
      <c r="S143" s="17"/>
      <c r="T143" s="17"/>
      <c r="U143" s="17"/>
      <c r="V143" s="17"/>
      <c r="W143" s="17"/>
      <c r="X143" s="44"/>
      <c r="Y143" s="17"/>
      <c r="Z143" s="650"/>
      <c r="AA143" s="58"/>
      <c r="AB143" s="17"/>
      <c r="AC143" s="17"/>
      <c r="AD143" s="44"/>
      <c r="AE143" s="61"/>
      <c r="AF143" s="60"/>
      <c r="AG143" s="17"/>
      <c r="AH143" s="17"/>
      <c r="AI143" s="17"/>
      <c r="AJ143" s="17"/>
      <c r="AK143" s="490"/>
      <c r="AL143" s="864"/>
      <c r="AM143" s="17"/>
      <c r="AN143" s="17"/>
      <c r="AP143" s="17"/>
    </row>
    <row r="144" spans="1:43" ht="12.75">
      <c r="A144" s="20" t="s">
        <v>734</v>
      </c>
      <c r="B144" s="662">
        <f>'qtrP&amp;L'!CB10</f>
        <v>646.12900000000002</v>
      </c>
      <c r="C144" s="20"/>
      <c r="D144" s="38">
        <f>'qtrP&amp;L'!CB20</f>
        <v>420.28399999999999</v>
      </c>
      <c r="E144" s="17"/>
      <c r="F144" s="25">
        <f>work!BT10</f>
        <v>329.24900000000002</v>
      </c>
      <c r="G144" s="17"/>
      <c r="H144" s="25">
        <f>AVERAGEA(F140,F144)</f>
        <v>310.62450000000001</v>
      </c>
      <c r="I144" s="17"/>
      <c r="J144" s="24">
        <f>(B144/B137-1)*100</f>
        <v>-4.9078923937086794</v>
      </c>
      <c r="K144" s="61" t="s">
        <v>697</v>
      </c>
      <c r="L144" s="23">
        <f>(F144/F137-1)*100</f>
        <v>-3.306530243048611</v>
      </c>
      <c r="M144" s="61" t="s">
        <v>697</v>
      </c>
      <c r="N144" s="23">
        <f>(F144/F140-1)*100</f>
        <v>12.756506849315086</v>
      </c>
      <c r="O144" s="61" t="s">
        <v>697</v>
      </c>
      <c r="P144" s="143">
        <f>D144/H144</f>
        <v>1.3530291396847318</v>
      </c>
      <c r="Q144" s="20" t="s">
        <v>159</v>
      </c>
      <c r="R144" s="148">
        <f>D145/F144</f>
        <v>1.436748479114591</v>
      </c>
      <c r="S144" s="17"/>
      <c r="T144" s="17">
        <f>qtrSales!I184</f>
        <v>1057</v>
      </c>
      <c r="U144" s="17"/>
      <c r="V144" s="38">
        <f>F144/T144*1000</f>
        <v>311.49385052034063</v>
      </c>
      <c r="W144" s="17"/>
      <c r="X144" s="23">
        <f>(V144/V137-1)*100</f>
        <v>-5.136113398336251</v>
      </c>
      <c r="Y144" s="61" t="s">
        <v>697</v>
      </c>
      <c r="Z144" s="226">
        <f>qtrSales!X184</f>
        <v>6.4953599999999998</v>
      </c>
      <c r="AA144" s="58"/>
      <c r="AB144" s="228">
        <f>F144/Z144</f>
        <v>50.689877081485868</v>
      </c>
      <c r="AC144" s="17"/>
      <c r="AD144" s="295">
        <f>(AB144/AB137-1)*100</f>
        <v>-7.8279015021506027</v>
      </c>
      <c r="AE144" s="61" t="s">
        <v>697</v>
      </c>
      <c r="AF144" s="17">
        <f>H144/(D144/(365/4))</f>
        <v>67.441267393000928</v>
      </c>
      <c r="AG144" s="17"/>
      <c r="AH144" s="17">
        <f>F144/(D145/(365/4))</f>
        <v>63.511464481405689</v>
      </c>
      <c r="AI144" s="17"/>
      <c r="AJ144" s="17"/>
      <c r="AK144" s="490">
        <f>((D144-('yrP&amp;L'!$U$16/4)))/H144</f>
        <v>1.0142211013619338</v>
      </c>
      <c r="AL144" s="491" t="s">
        <v>159</v>
      </c>
      <c r="AM144" s="17"/>
      <c r="AN144" s="17">
        <f>(F144/F130-1)*100</f>
        <v>-12.593711506604933</v>
      </c>
      <c r="AP144" s="17">
        <f>(B144/B130-1)*100</f>
        <v>-8.8283394125822863</v>
      </c>
      <c r="AQ144" s="17">
        <f>-AN144+AP145</f>
        <v>8.6616057311344701</v>
      </c>
    </row>
    <row r="145" spans="1:43" ht="12.75">
      <c r="A145" s="20" t="s">
        <v>735</v>
      </c>
      <c r="B145" s="484">
        <f>'qtrP&amp;L'!CB11</f>
        <v>710.59500000000003</v>
      </c>
      <c r="C145" s="20"/>
      <c r="D145" s="23">
        <f>'qtrP&amp;L'!CB21</f>
        <v>473.048</v>
      </c>
      <c r="E145" s="17"/>
      <c r="F145" s="25">
        <f>work!BT11</f>
        <v>393.31599999999997</v>
      </c>
      <c r="G145" s="17"/>
      <c r="H145" s="25">
        <f>AVERAGEA(F144:F145)</f>
        <v>361.28250000000003</v>
      </c>
      <c r="I145" s="17"/>
      <c r="J145" s="24">
        <f>(B145/B138-1)*100</f>
        <v>-2.298597715151518</v>
      </c>
      <c r="K145" s="61"/>
      <c r="L145" s="23">
        <f>(F145/F138-1)*100</f>
        <v>-14.69679882016136</v>
      </c>
      <c r="M145" s="61"/>
      <c r="N145" s="23">
        <f>(F145/F144-1)*100</f>
        <v>19.458525310631146</v>
      </c>
      <c r="O145" s="61"/>
      <c r="P145" s="143">
        <f>D145/H145</f>
        <v>1.3093576356452359</v>
      </c>
      <c r="Q145" s="20"/>
      <c r="R145" s="148">
        <f>D146/F145</f>
        <v>1.3699366412757172</v>
      </c>
      <c r="S145" s="17"/>
      <c r="T145" s="17">
        <f>qtrSales!I185</f>
        <v>1072</v>
      </c>
      <c r="U145" s="17"/>
      <c r="V145" s="23">
        <f>F145/T145*1000</f>
        <v>366.89925373134326</v>
      </c>
      <c r="W145" s="17"/>
      <c r="X145" s="23">
        <f>(V145/V138-1)*100</f>
        <v>-15.969980927323125</v>
      </c>
      <c r="Y145" s="17"/>
      <c r="Z145" s="226">
        <f>qtrSales!X185</f>
        <v>6.6320560000000004</v>
      </c>
      <c r="AA145" s="58"/>
      <c r="AB145" s="228">
        <f>F145/Z145</f>
        <v>59.305289340138252</v>
      </c>
      <c r="AC145" s="17"/>
      <c r="AD145" s="295">
        <f>(AB145/AB138-1)*100</f>
        <v>-18.028135951328451</v>
      </c>
      <c r="AE145" s="61"/>
      <c r="AF145" s="17">
        <f>H145/(D145/(365/4))</f>
        <v>69.690661677039117</v>
      </c>
      <c r="AG145" s="17"/>
      <c r="AH145" s="17">
        <f>F145/(D146/(365/4))</f>
        <v>66.608919895029487</v>
      </c>
      <c r="AI145" s="17"/>
      <c r="AJ145" s="17"/>
      <c r="AK145" s="490">
        <f>((D145-('yrP&amp;L'!$U$16/4)))/H145</f>
        <v>1.0180562925134762</v>
      </c>
      <c r="AL145" s="491"/>
      <c r="AM145" s="17"/>
      <c r="AN145" s="17">
        <f>(F145/F131-1)*100</f>
        <v>-14.8690621259575</v>
      </c>
      <c r="AP145" s="17">
        <f>(B145/B131-1)*100</f>
        <v>-3.9321057754704625</v>
      </c>
      <c r="AQ145" s="17">
        <f>-AN145+AP146</f>
        <v>8.7085171191800601</v>
      </c>
    </row>
    <row r="146" spans="1:43" ht="12.75">
      <c r="A146" s="20" t="s">
        <v>736</v>
      </c>
      <c r="B146" s="484">
        <f>'qtrP&amp;L'!CB12</f>
        <v>854.29</v>
      </c>
      <c r="C146" s="20"/>
      <c r="D146" s="23">
        <f>'qtrP&amp;L'!CB22</f>
        <v>538.81799999999998</v>
      </c>
      <c r="E146" s="17"/>
      <c r="F146" s="25">
        <f>work!BT12</f>
        <v>468.62799999999999</v>
      </c>
      <c r="G146" s="17"/>
      <c r="H146" s="25">
        <f>AVERAGEA(F145:F146)</f>
        <v>430.97199999999998</v>
      </c>
      <c r="I146" s="17"/>
      <c r="J146" s="24">
        <f>(B146/B139-1)*100</f>
        <v>-0.35168347320965188</v>
      </c>
      <c r="K146" s="61"/>
      <c r="L146" s="23">
        <f>(F146/F139-1)*100</f>
        <v>-9.688882722044923</v>
      </c>
      <c r="M146" s="61"/>
      <c r="N146" s="23">
        <f>(F146/F145-1)*100</f>
        <v>19.147962452582657</v>
      </c>
      <c r="O146" s="61"/>
      <c r="P146" s="143">
        <f>D146/H146</f>
        <v>1.2502389946446637</v>
      </c>
      <c r="Q146" s="20"/>
      <c r="R146" s="148">
        <f>D147/F146</f>
        <v>1.4852783017660063</v>
      </c>
      <c r="S146" s="17"/>
      <c r="T146" s="17">
        <f>qtrSales!I186</f>
        <v>1092</v>
      </c>
      <c r="U146" s="17"/>
      <c r="V146" s="23">
        <f>F146/T146*1000</f>
        <v>429.14652014652017</v>
      </c>
      <c r="W146" s="17"/>
      <c r="X146" s="23">
        <f>(V146/V139-1)*100</f>
        <v>-12.00455239583864</v>
      </c>
      <c r="Y146" s="17"/>
      <c r="Z146" s="226">
        <f>qtrSales!X186</f>
        <v>6.7960729999999998</v>
      </c>
      <c r="AA146" s="58"/>
      <c r="AB146" s="228">
        <f>F146/Z146</f>
        <v>68.955704272158343</v>
      </c>
      <c r="AC146" s="17"/>
      <c r="AD146" s="295">
        <f>(AB146/AB139-1)*100</f>
        <v>-14.214702129525813</v>
      </c>
      <c r="AE146" s="61"/>
      <c r="AF146" s="17">
        <f>H146/(D146/(365/4))</f>
        <v>72.986045380815042</v>
      </c>
      <c r="AG146" s="17"/>
      <c r="AH146" s="17">
        <f>F146/(D147/(365/4))</f>
        <v>61.436297757466129</v>
      </c>
      <c r="AI146" s="17"/>
      <c r="AJ146" s="17"/>
      <c r="AK146" s="490">
        <f>((D146-('yrP&amp;L'!$U$16/4)))/H146</f>
        <v>1.0060419760448476</v>
      </c>
      <c r="AL146" s="491"/>
      <c r="AM146" s="17"/>
      <c r="AN146" s="17">
        <f>(F146/F132-1)*100</f>
        <v>-2.6142541271134356</v>
      </c>
      <c r="AP146" s="17">
        <f>(B146/B132-1)*100</f>
        <v>-6.1605450067774399</v>
      </c>
      <c r="AQ146" s="17">
        <f>-AN146+AP147</f>
        <v>-1.432107146702577</v>
      </c>
    </row>
    <row r="147" spans="1:43" ht="12.75">
      <c r="A147" s="20" t="s">
        <v>737</v>
      </c>
      <c r="B147" s="485">
        <f>'qtrP&amp;L'!CB13</f>
        <v>1071.8530000000001</v>
      </c>
      <c r="C147" s="20"/>
      <c r="D147" s="42">
        <f>'qtrP&amp;L'!CB23</f>
        <v>696.04300000000001</v>
      </c>
      <c r="E147" s="17"/>
      <c r="F147" s="25">
        <f>work!BT13</f>
        <v>278.97199999999998</v>
      </c>
      <c r="G147" s="17"/>
      <c r="H147" s="35">
        <f>AVERAGEA(F146:F147)</f>
        <v>373.79999999999995</v>
      </c>
      <c r="I147" s="17"/>
      <c r="J147" s="82">
        <f>(B147/B140-1)*100</f>
        <v>2.8939039480391227</v>
      </c>
      <c r="K147" s="61"/>
      <c r="L147" s="23">
        <f>(F147/F140-1)*100</f>
        <v>-4.4616438356164467</v>
      </c>
      <c r="M147" s="61"/>
      <c r="N147" s="23">
        <f>(F147/F146-1)*100</f>
        <v>-40.470479783538323</v>
      </c>
      <c r="O147" s="61"/>
      <c r="P147" s="143">
        <f>D147/H147</f>
        <v>1.8620733012306048</v>
      </c>
      <c r="Q147" s="20"/>
      <c r="R147" s="865" t="s">
        <v>69</v>
      </c>
      <c r="S147" s="17"/>
      <c r="T147" s="17">
        <f>qtrSales!I187</f>
        <v>1056</v>
      </c>
      <c r="U147" s="17"/>
      <c r="V147" s="23">
        <f>F147/T147*1000</f>
        <v>264.17803030303025</v>
      </c>
      <c r="W147" s="17"/>
      <c r="X147" s="23">
        <f>(V147/V140-1)*100</f>
        <v>-3.5569245537567573</v>
      </c>
      <c r="Y147" s="17"/>
      <c r="Z147" s="226">
        <f>qtrSales!X187</f>
        <v>6.6131099999999998</v>
      </c>
      <c r="AA147" s="58"/>
      <c r="AB147" s="227">
        <f>F147/Z147</f>
        <v>42.184690712841608</v>
      </c>
      <c r="AC147" s="17"/>
      <c r="AD147" s="295">
        <f>(AB147/AB140-1)*100</f>
        <v>-6.0453611420221209</v>
      </c>
      <c r="AE147" s="61"/>
      <c r="AF147" s="17">
        <f>H147/(D147/(365/4))</f>
        <v>49.004515525621258</v>
      </c>
      <c r="AG147" s="17"/>
      <c r="AH147" s="231" t="s">
        <v>69</v>
      </c>
      <c r="AI147" s="17"/>
      <c r="AJ147" s="17"/>
      <c r="AK147" s="490">
        <f>((D147-('yrP&amp;L'!$U$16/4)))/H147</f>
        <v>1.5805268124665601</v>
      </c>
      <c r="AL147" s="491"/>
      <c r="AM147" s="17"/>
      <c r="AN147" s="17">
        <f>(F147/F133-1)*100</f>
        <v>-16.086532792703913</v>
      </c>
      <c r="AP147" s="17">
        <f>(B147/B133-1)*100</f>
        <v>-4.0463612738160126</v>
      </c>
      <c r="AQ147" s="17">
        <f>-AN147+AP148</f>
        <v>16.086532792703913</v>
      </c>
    </row>
    <row r="148" spans="1:43" ht="12.75">
      <c r="A148" s="20" t="s">
        <v>762</v>
      </c>
      <c r="B148" s="290">
        <f>'qtrP&amp;L'!CB14</f>
        <v>3282.8670000000002</v>
      </c>
      <c r="C148" s="20"/>
      <c r="D148" s="38">
        <f>'qtrP&amp;L'!CB24</f>
        <v>2128.1930000000002</v>
      </c>
      <c r="E148" s="17"/>
      <c r="F148" s="17"/>
      <c r="G148" s="17"/>
      <c r="H148" s="38">
        <f>AVERAGEA(H147,H146,H145,H144,H140)</f>
        <v>376.42619999999999</v>
      </c>
      <c r="I148" s="17"/>
      <c r="J148" s="24">
        <f>(B148/B141-1)*100</f>
        <v>-0.69378020825202613</v>
      </c>
      <c r="K148" s="61"/>
      <c r="L148" s="23"/>
      <c r="M148" s="61"/>
      <c r="N148" s="23"/>
      <c r="O148" s="61"/>
      <c r="P148" s="150">
        <f>D148/H148</f>
        <v>5.6536792603702937</v>
      </c>
      <c r="Q148" s="151" t="s">
        <v>159</v>
      </c>
      <c r="R148" s="341"/>
      <c r="S148" s="17"/>
      <c r="T148" s="17"/>
      <c r="U148" s="17"/>
      <c r="V148" s="17"/>
      <c r="W148" s="17"/>
      <c r="X148" s="44"/>
      <c r="Y148" s="17"/>
      <c r="Z148" s="650"/>
      <c r="AA148" s="58"/>
      <c r="AB148" s="18">
        <f>AVERAGE(AB144:AB147)</f>
        <v>55.283890351656019</v>
      </c>
      <c r="AC148" s="17"/>
      <c r="AD148" s="44"/>
      <c r="AE148" s="61"/>
      <c r="AF148" s="60"/>
      <c r="AG148" s="17"/>
      <c r="AH148" s="17"/>
      <c r="AI148" s="17"/>
      <c r="AJ148" s="17"/>
      <c r="AK148" s="492">
        <f>((D148-('yrP&amp;L'!$U$16/4)))/H148</f>
        <v>5.3740970275182764</v>
      </c>
      <c r="AL148" s="493" t="s">
        <v>159</v>
      </c>
      <c r="AM148" s="17"/>
      <c r="AN148" s="17"/>
      <c r="AP148" s="17"/>
    </row>
    <row r="150" spans="1:43" ht="12.75">
      <c r="A150" s="230" t="s">
        <v>788</v>
      </c>
      <c r="B150" s="290"/>
      <c r="C150" s="20"/>
      <c r="D150" s="38"/>
      <c r="E150" s="17"/>
      <c r="F150" s="17"/>
      <c r="G150" s="17"/>
      <c r="H150" s="38"/>
      <c r="I150" s="17"/>
      <c r="J150" s="24"/>
      <c r="K150" s="61"/>
      <c r="L150" s="23"/>
      <c r="M150" s="61"/>
      <c r="N150" s="23"/>
      <c r="O150" s="61"/>
      <c r="P150" s="153"/>
      <c r="Q150" s="49"/>
      <c r="R150" s="17"/>
      <c r="S150" s="17"/>
      <c r="T150" s="17"/>
      <c r="U150" s="17"/>
      <c r="V150" s="17"/>
      <c r="W150" s="17"/>
      <c r="X150" s="44"/>
      <c r="Y150" s="17"/>
      <c r="Z150" s="650"/>
      <c r="AA150" s="58"/>
      <c r="AB150" s="17"/>
      <c r="AC150" s="17"/>
      <c r="AD150" s="44"/>
      <c r="AE150" s="61"/>
      <c r="AF150" s="60"/>
      <c r="AG150" s="17"/>
      <c r="AH150" s="17"/>
      <c r="AI150" s="17"/>
      <c r="AJ150" s="17"/>
      <c r="AK150" s="490"/>
      <c r="AL150" s="864"/>
      <c r="AM150" s="17"/>
      <c r="AN150" s="17"/>
      <c r="AP150" s="17"/>
    </row>
    <row r="151" spans="1:43" ht="12.75">
      <c r="A151" s="20" t="s">
        <v>734</v>
      </c>
      <c r="B151" s="662">
        <f>'qtrP&amp;L'!CF10</f>
        <v>699.52</v>
      </c>
      <c r="C151" s="20"/>
      <c r="D151" s="38">
        <f>'qtrP&amp;L'!CF20</f>
        <v>437.30799999999999</v>
      </c>
      <c r="E151" s="17"/>
      <c r="F151" s="25">
        <f>work!BX10</f>
        <v>332.64499999999998</v>
      </c>
      <c r="G151" s="17"/>
      <c r="H151" s="25">
        <f>AVERAGEA(F147,F151)</f>
        <v>305.80849999999998</v>
      </c>
      <c r="I151" s="17"/>
      <c r="J151" s="24">
        <f>(B151/B144-1)*100</f>
        <v>8.2632105972646244</v>
      </c>
      <c r="K151" s="61" t="s">
        <v>697</v>
      </c>
      <c r="L151" s="23">
        <f>(F151/F144-1)*100</f>
        <v>1.0314382124167354</v>
      </c>
      <c r="M151" s="61" t="s">
        <v>697</v>
      </c>
      <c r="N151" s="23">
        <f>(F151/F147-1)*100</f>
        <v>19.239565261029789</v>
      </c>
      <c r="O151" s="61" t="s">
        <v>697</v>
      </c>
      <c r="P151" s="143">
        <f>D151/H151</f>
        <v>1.430006033187436</v>
      </c>
      <c r="Q151" s="20" t="s">
        <v>159</v>
      </c>
      <c r="R151" s="148">
        <f>D152/F151</f>
        <v>1.5403478182446753</v>
      </c>
      <c r="S151" s="17"/>
      <c r="T151" s="17">
        <f>qtrSales!I191</f>
        <v>1054</v>
      </c>
      <c r="U151" s="17"/>
      <c r="V151" s="38">
        <f>F151/T151*1000</f>
        <v>315.6024667931689</v>
      </c>
      <c r="W151" s="17"/>
      <c r="X151" s="23">
        <f>(V151/V144-1)*100</f>
        <v>1.3190039758296912</v>
      </c>
      <c r="Y151" s="61" t="s">
        <v>697</v>
      </c>
      <c r="Z151" s="226">
        <f>qtrSales!X191</f>
        <v>6.617032</v>
      </c>
      <c r="AA151" s="58"/>
      <c r="AB151" s="228">
        <f>F151/Z151</f>
        <v>50.271027856597939</v>
      </c>
      <c r="AC151" s="17"/>
      <c r="AD151" s="295">
        <f>(AB151/AB144-1)*100</f>
        <v>-0.82629757459189435</v>
      </c>
      <c r="AE151" s="61" t="s">
        <v>697</v>
      </c>
      <c r="AF151" s="17">
        <f>H151/(D151/(365/4))</f>
        <v>63.810919592141012</v>
      </c>
      <c r="AG151" s="17"/>
      <c r="AH151" s="17">
        <f>F151/(D152/(365/4))</f>
        <v>59.239867073649116</v>
      </c>
      <c r="AI151" s="17"/>
      <c r="AJ151" s="17"/>
      <c r="AK151" s="1837">
        <f>((D151-('yrP&amp;L'!$V$16/4)))/H151</f>
        <v>1.0798993079002055</v>
      </c>
      <c r="AL151" s="491" t="s">
        <v>159</v>
      </c>
      <c r="AM151" s="17"/>
      <c r="AN151" s="17">
        <f>(F151/F137-1)*100</f>
        <v>-2.3091968470637991</v>
      </c>
      <c r="AP151" s="17">
        <f>(B151/B137-1)*100</f>
        <v>2.9497687191766708</v>
      </c>
      <c r="AQ151" s="17">
        <f>-AN151+AP152</f>
        <v>11.949475516632468</v>
      </c>
    </row>
    <row r="152" spans="1:43" ht="12.75">
      <c r="A152" s="20" t="s">
        <v>735</v>
      </c>
      <c r="B152" s="484">
        <f>'qtrP&amp;L'!CF11</f>
        <v>797.428</v>
      </c>
      <c r="C152" s="20"/>
      <c r="D152" s="23">
        <f>'qtrP&amp;L'!CF21</f>
        <v>512.38900000000001</v>
      </c>
      <c r="E152" s="17"/>
      <c r="F152" s="25">
        <f>work!BX11</f>
        <v>408.541</v>
      </c>
      <c r="G152" s="17"/>
      <c r="H152" s="25">
        <f>AVERAGEA(F151:F152)</f>
        <v>370.59299999999996</v>
      </c>
      <c r="I152" s="17"/>
      <c r="J152" s="24">
        <f>(B152/B145-1)*100</f>
        <v>12.219759497322658</v>
      </c>
      <c r="K152" s="61"/>
      <c r="L152" s="23">
        <f>(F152/F145-1)*100</f>
        <v>3.870933295365564</v>
      </c>
      <c r="M152" s="61"/>
      <c r="N152" s="23">
        <f>(F152/F151-1)*100</f>
        <v>22.815914864194564</v>
      </c>
      <c r="O152" s="61"/>
      <c r="P152" s="143">
        <f>D152/H152</f>
        <v>1.3826192075943153</v>
      </c>
      <c r="Q152" s="20"/>
      <c r="R152" s="148">
        <f>D153/F152</f>
        <v>1.3500236206402785</v>
      </c>
      <c r="S152" s="17"/>
      <c r="T152" s="17">
        <f>qtrSales!I192</f>
        <v>1057</v>
      </c>
      <c r="U152" s="17"/>
      <c r="V152" s="23">
        <f>F152/T152*1000</f>
        <v>386.50993377483445</v>
      </c>
      <c r="W152" s="17"/>
      <c r="X152" s="23">
        <f>(V152/V145-1)*100</f>
        <v>5.3449768142212806</v>
      </c>
      <c r="Y152" s="17"/>
      <c r="Z152" s="226">
        <f>qtrSales!X192</f>
        <v>6.643357</v>
      </c>
      <c r="AA152" s="58"/>
      <c r="AB152" s="228">
        <f>F152/Z152</f>
        <v>61.496168277574121</v>
      </c>
      <c r="AC152" s="17"/>
      <c r="AD152" s="295">
        <f>(AB152/AB145-1)*100</f>
        <v>3.6942386788981763</v>
      </c>
      <c r="AE152" s="61"/>
      <c r="AF152" s="17">
        <f>H152/(D152/(365/4))</f>
        <v>65.997925892242009</v>
      </c>
      <c r="AG152" s="17"/>
      <c r="AH152" s="17">
        <f>F152/(D153/(365/4))</f>
        <v>67.59140996119956</v>
      </c>
      <c r="AI152" s="17"/>
      <c r="AJ152" s="17"/>
      <c r="AK152" s="1837">
        <f>((D152-('yrP&amp;L'!$V$16/4)))/H152</f>
        <v>1.0937157137344742</v>
      </c>
      <c r="AL152" s="491"/>
      <c r="AM152" s="17"/>
      <c r="AN152" s="17">
        <f>(F152/F138-1)*100</f>
        <v>-11.394768803678323</v>
      </c>
      <c r="AP152" s="17">
        <f>(B152/B138-1)*100</f>
        <v>9.6402786695686693</v>
      </c>
      <c r="AQ152" s="17">
        <f>-AN152+AP153</f>
        <v>18.599555898119625</v>
      </c>
    </row>
    <row r="153" spans="1:43" ht="12.75">
      <c r="A153" s="20" t="s">
        <v>736</v>
      </c>
      <c r="B153" s="484">
        <f>'qtrP&amp;L'!CF12</f>
        <v>919.072</v>
      </c>
      <c r="C153" s="20"/>
      <c r="D153" s="23">
        <f>'qtrP&amp;L'!CF22</f>
        <v>551.54</v>
      </c>
      <c r="E153" s="17"/>
      <c r="F153" s="25">
        <f>work!BX12</f>
        <v>479.72899999999998</v>
      </c>
      <c r="G153" s="17"/>
      <c r="H153" s="25">
        <f>AVERAGEA(F152:F153)</f>
        <v>444.13499999999999</v>
      </c>
      <c r="I153" s="17"/>
      <c r="J153" s="24">
        <f>(B153/B146-1)*100</f>
        <v>7.5831392150206733</v>
      </c>
      <c r="K153" s="61"/>
      <c r="L153" s="23">
        <f>(F153/F146-1)*100</f>
        <v>2.3688298607851044</v>
      </c>
      <c r="M153" s="61"/>
      <c r="N153" s="23">
        <f>(F153/F152-1)*100</f>
        <v>17.424934094742017</v>
      </c>
      <c r="O153" s="61"/>
      <c r="P153" s="143">
        <f>D153/H153</f>
        <v>1.2418296238756235</v>
      </c>
      <c r="Q153" s="20"/>
      <c r="R153" s="148">
        <f>D154/F153</f>
        <v>1.4964219382192863</v>
      </c>
      <c r="S153" s="17"/>
      <c r="T153" s="17">
        <f>qtrSales!I193</f>
        <v>1068</v>
      </c>
      <c r="U153" s="17"/>
      <c r="V153" s="23">
        <f>F153/T153*1000</f>
        <v>449.18445692883898</v>
      </c>
      <c r="W153" s="17"/>
      <c r="X153" s="23">
        <f>(V153/V146-1)*100</f>
        <v>4.6692530037240942</v>
      </c>
      <c r="Y153" s="17"/>
      <c r="Z153" s="226">
        <f>qtrSales!X193</f>
        <v>6.7213120000000002</v>
      </c>
      <c r="AA153" s="58"/>
      <c r="AB153" s="228">
        <f>F153/Z153</f>
        <v>71.374309063468559</v>
      </c>
      <c r="AC153" s="17"/>
      <c r="AD153" s="295">
        <f>(AB153/AB146-1)*100</f>
        <v>3.5074760193360088</v>
      </c>
      <c r="AE153" s="61"/>
      <c r="AF153" s="17">
        <f>H153/(D153/(365/4))</f>
        <v>73.480289280922506</v>
      </c>
      <c r="AG153" s="17"/>
      <c r="AH153" s="17">
        <f>F153/(D154/(365/4))</f>
        <v>60.978790586688248</v>
      </c>
      <c r="AI153" s="17"/>
      <c r="AJ153" s="17"/>
      <c r="AK153" s="1837">
        <f>((D153-('yrP&amp;L'!$V$16/4)))/H153</f>
        <v>1.0007641539171648</v>
      </c>
      <c r="AL153" s="491"/>
      <c r="AM153" s="17"/>
      <c r="AN153" s="17">
        <f>(F153/F139-1)*100</f>
        <v>-7.5495660083560789</v>
      </c>
      <c r="AP153" s="17">
        <f>(B153/B139-1)*100</f>
        <v>7.2047870944413006</v>
      </c>
      <c r="AQ153" s="17">
        <f>-AN153+AP154</f>
        <v>13.704943672132931</v>
      </c>
    </row>
    <row r="154" spans="1:43" ht="12.75">
      <c r="A154" s="20" t="s">
        <v>737</v>
      </c>
      <c r="B154" s="485">
        <f>'qtrP&amp;L'!CF13</f>
        <v>1105.828</v>
      </c>
      <c r="C154" s="20"/>
      <c r="D154" s="42">
        <f>'qtrP&amp;L'!CF23</f>
        <v>717.87699999999995</v>
      </c>
      <c r="E154" s="17"/>
      <c r="F154" s="25">
        <f>work!BX13</f>
        <v>305.178</v>
      </c>
      <c r="G154" s="17"/>
      <c r="H154" s="35">
        <f>AVERAGEA(F153:F154)</f>
        <v>392.45349999999996</v>
      </c>
      <c r="I154" s="17"/>
      <c r="J154" s="82">
        <f>(B154/B147-1)*100</f>
        <v>3.1697443586014007</v>
      </c>
      <c r="K154" s="61"/>
      <c r="L154" s="23">
        <f>(F154/F147-1)*100</f>
        <v>9.3937742855913839</v>
      </c>
      <c r="M154" s="61"/>
      <c r="N154" s="23">
        <f>(F154/F153-1)*100</f>
        <v>-36.385334219945008</v>
      </c>
      <c r="O154" s="61"/>
      <c r="P154" s="143">
        <f>D154/H154</f>
        <v>1.8292026953511691</v>
      </c>
      <c r="Q154" s="20"/>
      <c r="R154" s="865" t="s">
        <v>69</v>
      </c>
      <c r="S154" s="17"/>
      <c r="T154" s="17">
        <f>qtrSales!I194</f>
        <v>1047</v>
      </c>
      <c r="U154" s="17"/>
      <c r="V154" s="23">
        <f>F154/T154*1000</f>
        <v>291.47851002865326</v>
      </c>
      <c r="W154" s="17"/>
      <c r="X154" s="23">
        <f>(V154/V147-1)*100</f>
        <v>10.334121915553496</v>
      </c>
      <c r="Y154" s="17"/>
      <c r="Z154" s="226">
        <f>qtrSales!X194</f>
        <v>6.6011119999999996</v>
      </c>
      <c r="AA154" s="58"/>
      <c r="AB154" s="227">
        <f>F154/Z154</f>
        <v>46.231301635239639</v>
      </c>
      <c r="AC154" s="17"/>
      <c r="AD154" s="224">
        <f>(AB154/AB147-1)*100</f>
        <v>9.5926054073597555</v>
      </c>
      <c r="AE154" s="61"/>
      <c r="AF154" s="17">
        <f>H154/(D154/(365/4))</f>
        <v>49.885122207564798</v>
      </c>
      <c r="AG154" s="17"/>
      <c r="AH154" s="231" t="s">
        <v>69</v>
      </c>
      <c r="AI154" s="17"/>
      <c r="AJ154" s="17"/>
      <c r="AK154" s="1837">
        <f>((D154-('yrP&amp;L'!$V$16/4)))/H154</f>
        <v>1.5563917444996667</v>
      </c>
      <c r="AL154" s="491"/>
      <c r="AM154" s="17"/>
      <c r="AN154" s="17">
        <f>(F154/F140-1)*100</f>
        <v>4.5130136986301306</v>
      </c>
      <c r="AP154" s="17">
        <f>(B154/B140-1)*100</f>
        <v>6.1553776637768509</v>
      </c>
      <c r="AQ154" s="17">
        <f>-AN154+AP155</f>
        <v>-4.5130136986301306</v>
      </c>
    </row>
    <row r="155" spans="1:43" ht="12.75">
      <c r="A155" s="20" t="s">
        <v>762</v>
      </c>
      <c r="B155" s="290">
        <f>'qtrP&amp;L'!CF14</f>
        <v>3521.848</v>
      </c>
      <c r="C155" s="20"/>
      <c r="D155" s="38">
        <f>'qtrP&amp;L'!CF24</f>
        <v>2219.114</v>
      </c>
      <c r="E155" s="17"/>
      <c r="F155" s="17"/>
      <c r="G155" s="17"/>
      <c r="H155" s="38">
        <f>AVERAGEA(H154,H153,H152,H151,H147)</f>
        <v>377.35799999999995</v>
      </c>
      <c r="I155" s="17"/>
      <c r="J155" s="24">
        <f>(B155/B148-1)*100</f>
        <v>7.2796430680865054</v>
      </c>
      <c r="K155" s="61"/>
      <c r="L155" s="23"/>
      <c r="M155" s="61"/>
      <c r="N155" s="23"/>
      <c r="O155" s="61"/>
      <c r="P155" s="150">
        <f>D155/H155</f>
        <v>5.8806597448576694</v>
      </c>
      <c r="Q155" s="151" t="s">
        <v>159</v>
      </c>
      <c r="R155" s="341"/>
      <c r="S155" s="17"/>
      <c r="T155" s="17"/>
      <c r="U155" s="17"/>
      <c r="V155" s="17"/>
      <c r="W155" s="17"/>
      <c r="X155" s="44"/>
      <c r="Y155" s="17"/>
      <c r="Z155" s="650"/>
      <c r="AA155" s="58"/>
      <c r="AB155" s="18">
        <f>AVERAGE(AB151:AB154)</f>
        <v>57.343201708220064</v>
      </c>
      <c r="AC155" s="17"/>
      <c r="AD155" s="44"/>
      <c r="AE155" s="61"/>
      <c r="AF155" s="60"/>
      <c r="AG155" s="17"/>
      <c r="AH155" s="17"/>
      <c r="AI155" s="17"/>
      <c r="AJ155" s="17"/>
      <c r="AK155" s="1838">
        <f>((D155-('yrP&amp;L'!$U$16/4)))/H155</f>
        <v>5.6017678769232404</v>
      </c>
      <c r="AL155" s="493" t="s">
        <v>159</v>
      </c>
      <c r="AM155" s="17"/>
      <c r="AN155" s="17"/>
      <c r="AP155" s="17"/>
    </row>
    <row r="156" spans="1:43" ht="10.5" customHeight="1">
      <c r="AK156" s="1803"/>
    </row>
    <row r="157" spans="1:43" ht="12.75">
      <c r="A157" s="230" t="s">
        <v>800</v>
      </c>
      <c r="B157" s="290"/>
      <c r="C157" s="20"/>
      <c r="D157" s="38"/>
      <c r="E157" s="17"/>
      <c r="F157" s="17"/>
      <c r="G157" s="17"/>
      <c r="H157" s="38"/>
      <c r="I157" s="17"/>
      <c r="J157" s="24"/>
      <c r="K157" s="61"/>
      <c r="L157" s="23"/>
      <c r="M157" s="61"/>
      <c r="N157" s="23"/>
      <c r="O157" s="61"/>
      <c r="P157" s="153"/>
      <c r="Q157" s="49"/>
      <c r="R157" s="17"/>
      <c r="S157" s="17"/>
      <c r="T157" s="17"/>
      <c r="U157" s="17"/>
      <c r="V157" s="17"/>
      <c r="W157" s="17"/>
      <c r="X157" s="44"/>
      <c r="Y157" s="17"/>
      <c r="Z157" s="650"/>
      <c r="AA157" s="58"/>
      <c r="AB157" s="17"/>
      <c r="AC157" s="17"/>
      <c r="AD157" s="44"/>
      <c r="AE157" s="61"/>
      <c r="AF157" s="60"/>
      <c r="AG157" s="17"/>
      <c r="AH157" s="17"/>
      <c r="AI157" s="17"/>
      <c r="AJ157" s="17"/>
      <c r="AK157" s="1837"/>
      <c r="AL157" s="864"/>
      <c r="AM157" s="17"/>
      <c r="AN157" s="17"/>
      <c r="AP157" s="17"/>
    </row>
    <row r="158" spans="1:43" ht="12.75">
      <c r="A158" s="20" t="s">
        <v>734</v>
      </c>
      <c r="B158" s="662">
        <f>'qtrP&amp;L'!CJ10</f>
        <v>749.41600000000005</v>
      </c>
      <c r="C158" s="20"/>
      <c r="D158" s="38">
        <f>'qtrP&amp;L'!CJ20</f>
        <v>455.964</v>
      </c>
      <c r="E158" s="17"/>
      <c r="F158" s="25">
        <f>work!CB10</f>
        <v>334.30099999999999</v>
      </c>
      <c r="G158" s="17"/>
      <c r="H158" s="25">
        <f>AVERAGEA(F154,F158)</f>
        <v>319.73950000000002</v>
      </c>
      <c r="I158" s="17"/>
      <c r="J158" s="24">
        <f>(B158/B151-1)*100</f>
        <v>7.1328911253430993</v>
      </c>
      <c r="K158" s="61" t="s">
        <v>697</v>
      </c>
      <c r="L158" s="23">
        <f>(F158/F151-1)*100</f>
        <v>0.4978280148506764</v>
      </c>
      <c r="M158" s="61" t="s">
        <v>697</v>
      </c>
      <c r="N158" s="23">
        <f>(F158/F154-1)*100</f>
        <v>9.5429552588980791</v>
      </c>
      <c r="O158" s="61" t="s">
        <v>697</v>
      </c>
      <c r="P158" s="143">
        <f>D158/H158</f>
        <v>1.4260483925195353</v>
      </c>
      <c r="Q158" s="20" t="s">
        <v>159</v>
      </c>
      <c r="R158" s="148">
        <f>D159/F158</f>
        <v>1.5420205144465617</v>
      </c>
      <c r="S158" s="17"/>
      <c r="T158" s="17">
        <f>qtrSales!I198</f>
        <v>1046</v>
      </c>
      <c r="U158" s="17"/>
      <c r="V158" s="38">
        <f>F158/T158*1000</f>
        <v>319.59942638623323</v>
      </c>
      <c r="W158" s="17"/>
      <c r="X158" s="23">
        <f>(V158/V151-1)*100</f>
        <v>1.2664538505282819</v>
      </c>
      <c r="Y158" s="61" t="s">
        <v>697</v>
      </c>
      <c r="Z158" s="226">
        <f>qtrSales!Z198</f>
        <v>6.6014459999999993</v>
      </c>
      <c r="AA158" s="58"/>
      <c r="AB158" s="228">
        <f>F158/Z158</f>
        <v>50.640571777759</v>
      </c>
      <c r="AC158" s="17"/>
      <c r="AD158" s="295">
        <f>(AB158/AB151-1)*100</f>
        <v>0.73510317357188271</v>
      </c>
      <c r="AE158" s="61" t="s">
        <v>697</v>
      </c>
      <c r="AF158" s="17">
        <f>H158/(D158/(365/4))</f>
        <v>63.988010840768133</v>
      </c>
      <c r="AG158" s="17"/>
      <c r="AH158" s="17">
        <f>F158/(D159/(365/4))</f>
        <v>59.175607033185315</v>
      </c>
      <c r="AI158" s="17"/>
      <c r="AJ158" s="17"/>
      <c r="AK158" s="1837">
        <f>((D158-('yrP&amp;L'!$W$16/4)))/H158</f>
        <v>1.0865591911540486</v>
      </c>
      <c r="AL158" s="491" t="s">
        <v>159</v>
      </c>
      <c r="AM158" s="17"/>
      <c r="AN158" s="17">
        <f>(F158/F144-1)*100</f>
        <v>1.5344010156446819</v>
      </c>
      <c r="AP158" s="17">
        <f>(B158/B144-1)*100</f>
        <v>15.985507537968434</v>
      </c>
      <c r="AQ158" s="17">
        <f>-AN158+AP159</f>
        <v>14.226897614376632</v>
      </c>
    </row>
    <row r="159" spans="1:43" ht="12.75">
      <c r="A159" s="20" t="s">
        <v>735</v>
      </c>
      <c r="B159" s="484">
        <f>'qtrP&amp;L'!CJ11</f>
        <v>822.59400000000005</v>
      </c>
      <c r="C159" s="20"/>
      <c r="D159" s="23">
        <f>'qtrP&amp;L'!CJ21</f>
        <v>515.49900000000002</v>
      </c>
      <c r="E159" s="17"/>
      <c r="F159" s="25">
        <f>work!CB11</f>
        <v>422.15100000000001</v>
      </c>
      <c r="G159" s="17"/>
      <c r="H159" s="25">
        <f>AVERAGEA(F158:F159)</f>
        <v>378.226</v>
      </c>
      <c r="I159" s="17"/>
      <c r="J159" s="24">
        <f>(B159/B152-1)*100</f>
        <v>3.1558962063032769</v>
      </c>
      <c r="K159" s="61"/>
      <c r="L159" s="23">
        <f>(F159/F152-1)*100</f>
        <v>3.3313669864224238</v>
      </c>
      <c r="M159" s="61"/>
      <c r="N159" s="23">
        <f>(F159/F158-1)*100</f>
        <v>26.278712896461577</v>
      </c>
      <c r="O159" s="61"/>
      <c r="P159" s="143">
        <f>D159/H159</f>
        <v>1.362939089327545</v>
      </c>
      <c r="Q159" s="20"/>
      <c r="R159" s="148">
        <f>D160/F159</f>
        <v>1.3331556717856881</v>
      </c>
      <c r="S159" s="17"/>
      <c r="T159" s="17">
        <f>qtrSales!I199</f>
        <v>1044</v>
      </c>
      <c r="U159" s="17"/>
      <c r="V159" s="23">
        <f>F159/T159*1000</f>
        <v>404.35919540229884</v>
      </c>
      <c r="W159" s="17"/>
      <c r="X159" s="23">
        <f>(V159/V152-1)*100</f>
        <v>4.6180602534947157</v>
      </c>
      <c r="Y159" s="17"/>
      <c r="Z159" s="226">
        <f>qtrSales!Z199</f>
        <v>6.6003679999999996</v>
      </c>
      <c r="AA159" s="58"/>
      <c r="AB159" s="228">
        <f>F159/Z159</f>
        <v>63.958706544847203</v>
      </c>
      <c r="AC159" s="17"/>
      <c r="AD159" s="295">
        <f>(AB159/AB152-1)*100</f>
        <v>4.0043767542686126</v>
      </c>
      <c r="AE159" s="61"/>
      <c r="AF159" s="17">
        <f>H159/(D159/(365/4))</f>
        <v>66.950900971679857</v>
      </c>
      <c r="AG159" s="17"/>
      <c r="AH159" s="17">
        <f>F159/(D160/(365/4))</f>
        <v>68.446620249363448</v>
      </c>
      <c r="AI159" s="17"/>
      <c r="AJ159" s="17"/>
      <c r="AK159" s="1837">
        <f>((D159-('yrP&amp;L'!$W$16/4)))/H159</f>
        <v>1.0759463720103855</v>
      </c>
      <c r="AL159" s="491"/>
      <c r="AM159" s="17"/>
      <c r="AN159" s="17">
        <f>(F159/F145-1)*100</f>
        <v>7.3312552756562344</v>
      </c>
      <c r="AP159" s="17">
        <f>(B159/B145-1)*100</f>
        <v>15.761298630021315</v>
      </c>
      <c r="AQ159" s="17">
        <f>-AN159+AP160</f>
        <v>2.7729248037079213</v>
      </c>
    </row>
    <row r="160" spans="1:43" ht="12.75">
      <c r="A160" s="20" t="s">
        <v>736</v>
      </c>
      <c r="B160" s="484">
        <f>'qtrP&amp;L'!CJ12</f>
        <v>940.60900000000004</v>
      </c>
      <c r="C160" s="20"/>
      <c r="D160" s="23">
        <f>'qtrP&amp;L'!CJ22</f>
        <v>562.79300000000001</v>
      </c>
      <c r="E160" s="17"/>
      <c r="F160" s="25">
        <f>work!CB12</f>
        <v>492.60199999999998</v>
      </c>
      <c r="G160" s="17"/>
      <c r="H160" s="25">
        <f>AVERAGEA(F159:F160)</f>
        <v>457.37649999999996</v>
      </c>
      <c r="I160" s="17"/>
      <c r="J160" s="24">
        <f>(B160/B153-1)*100</f>
        <v>2.343341979736091</v>
      </c>
      <c r="K160" s="61"/>
      <c r="L160" s="23">
        <f>(F160/F153-1)*100</f>
        <v>2.6833899972692921</v>
      </c>
      <c r="M160" s="61"/>
      <c r="N160" s="23">
        <f>(F160/F159-1)*100</f>
        <v>16.688578257542908</v>
      </c>
      <c r="O160" s="61"/>
      <c r="P160" s="143">
        <f>D160/H160</f>
        <v>1.2304807964554367</v>
      </c>
      <c r="Q160" s="20"/>
      <c r="R160" s="148">
        <f>D161/F160</f>
        <v>1.4387761316438019</v>
      </c>
      <c r="S160" s="17"/>
      <c r="T160" s="17">
        <f>qtrSales!I200</f>
        <v>1052</v>
      </c>
      <c r="U160" s="17"/>
      <c r="V160" s="23">
        <f>F160/T160*1000</f>
        <v>468.25285171102661</v>
      </c>
      <c r="W160" s="17"/>
      <c r="X160" s="23">
        <f>(V160/V153-1)*100</f>
        <v>4.2451145599653906</v>
      </c>
      <c r="Y160" s="17"/>
      <c r="Z160" s="226">
        <f>qtrSales!Z200</f>
        <v>6.6184820000000002</v>
      </c>
      <c r="AA160" s="58"/>
      <c r="AB160" s="228">
        <f>F160/Z160</f>
        <v>74.428245026578594</v>
      </c>
      <c r="AC160" s="17"/>
      <c r="AD160" s="295">
        <f>(AB160/AB153-1)*100</f>
        <v>4.2787608078900918</v>
      </c>
      <c r="AE160" s="61"/>
      <c r="AF160" s="17">
        <f>H160/(D160/(365/4))</f>
        <v>74.158004141842554</v>
      </c>
      <c r="AG160" s="17"/>
      <c r="AH160" s="17">
        <f>F160/(D161/(365/4))</f>
        <v>63.421958422222971</v>
      </c>
      <c r="AI160" s="17"/>
      <c r="AJ160" s="17"/>
      <c r="AK160" s="1837">
        <f>((D160-('yrP&amp;L'!$W$16/4)))/H160</f>
        <v>0.99315310799745948</v>
      </c>
      <c r="AL160" s="491"/>
      <c r="AM160" s="17"/>
      <c r="AN160" s="17">
        <f>(F160/F146-1)*100</f>
        <v>5.1157848015910279</v>
      </c>
      <c r="AP160" s="17">
        <f>(B160/B146-1)*100</f>
        <v>10.104180079364156</v>
      </c>
      <c r="AQ160" s="17">
        <f>-AN160+AP161</f>
        <v>-2.7467099377804116</v>
      </c>
    </row>
    <row r="161" spans="1:43" ht="12.75">
      <c r="A161" s="20" t="s">
        <v>737</v>
      </c>
      <c r="B161" s="485">
        <f>'qtrP&amp;L'!CJ13</f>
        <v>1097.2460000000001</v>
      </c>
      <c r="C161" s="20"/>
      <c r="D161" s="42">
        <f>'qtrP&amp;L'!CJ23</f>
        <v>708.74400000000003</v>
      </c>
      <c r="E161" s="17"/>
      <c r="F161" s="25">
        <f>work!CB13</f>
        <v>358.44600000000003</v>
      </c>
      <c r="G161" s="17"/>
      <c r="H161" s="35">
        <f>AVERAGEA(F160:F161)</f>
        <v>425.524</v>
      </c>
      <c r="I161" s="17"/>
      <c r="J161" s="82">
        <f>(B161/B154-1)*100</f>
        <v>-0.77607005791134887</v>
      </c>
      <c r="K161" s="61"/>
      <c r="L161" s="23">
        <f>(F161/F154-1)*100</f>
        <v>17.454731337121299</v>
      </c>
      <c r="M161" s="61"/>
      <c r="N161" s="23">
        <f>(F161/F160-1)*100</f>
        <v>-27.234156580769053</v>
      </c>
      <c r="O161" s="61"/>
      <c r="P161" s="143">
        <f>D161/H161</f>
        <v>1.665579379776464</v>
      </c>
      <c r="Q161" s="20"/>
      <c r="R161" s="865" t="s">
        <v>69</v>
      </c>
      <c r="S161" s="17"/>
      <c r="T161" s="17">
        <f>qtrSales!I201</f>
        <v>1050</v>
      </c>
      <c r="U161" s="17"/>
      <c r="V161" s="23">
        <f>F161/T161*1000</f>
        <v>341.37714285714287</v>
      </c>
      <c r="W161" s="17"/>
      <c r="X161" s="23">
        <f>(V161/V154-1)*100</f>
        <v>17.119146390443806</v>
      </c>
      <c r="Y161" s="17"/>
      <c r="Z161" s="226">
        <f>qtrSales!Z201</f>
        <v>6.6286375</v>
      </c>
      <c r="AA161" s="58"/>
      <c r="AB161" s="227">
        <f>F161/Z161</f>
        <v>54.07536616687819</v>
      </c>
      <c r="AC161" s="17"/>
      <c r="AD161" s="224">
        <f>(AB161/AB154-1)*100</f>
        <v>16.966999098419166</v>
      </c>
      <c r="AE161" s="61"/>
      <c r="AF161" s="17">
        <f>H161/(D161/(365/4))</f>
        <v>54.785740690573746</v>
      </c>
      <c r="AG161" s="17"/>
      <c r="AH161" s="231" t="s">
        <v>69</v>
      </c>
      <c r="AI161" s="17"/>
      <c r="AJ161" s="17"/>
      <c r="AK161" s="1837">
        <f>((D161-('yrP&amp;L'!$W$16/4)))/H161</f>
        <v>1.4104865824254331</v>
      </c>
      <c r="AL161" s="491"/>
      <c r="AM161" s="17"/>
      <c r="AN161" s="17">
        <f>(F161/F147-1)*100</f>
        <v>28.488163686678259</v>
      </c>
      <c r="AP161" s="17">
        <f>(B161/B147-1)*100</f>
        <v>2.3690748638106163</v>
      </c>
      <c r="AQ161" s="17">
        <f>-AN161+AP162</f>
        <v>-28.488163686678259</v>
      </c>
    </row>
    <row r="162" spans="1:43" ht="12.75">
      <c r="A162" s="20" t="s">
        <v>762</v>
      </c>
      <c r="B162" s="290">
        <f>'qtrP&amp;L'!CJ14</f>
        <v>3609.8650000000002</v>
      </c>
      <c r="C162" s="20"/>
      <c r="D162" s="38">
        <f>'qtrP&amp;L'!CJ24</f>
        <v>2243</v>
      </c>
      <c r="E162" s="17"/>
      <c r="F162" s="17"/>
      <c r="G162" s="17"/>
      <c r="H162" s="38">
        <f>AVERAGEA(H161,H160,H159,H158,H154)</f>
        <v>394.66390000000001</v>
      </c>
      <c r="I162" s="17"/>
      <c r="J162" s="24">
        <f>(B162/B155-1)*100</f>
        <v>2.4991708898282949</v>
      </c>
      <c r="K162" s="61"/>
      <c r="L162" s="23"/>
      <c r="M162" s="61"/>
      <c r="N162" s="23"/>
      <c r="O162" s="61"/>
      <c r="P162" s="150">
        <f>D162/H162</f>
        <v>5.683316867846286</v>
      </c>
      <c r="Q162" s="151" t="s">
        <v>159</v>
      </c>
      <c r="R162" s="341"/>
      <c r="S162" s="17"/>
      <c r="T162" s="17"/>
      <c r="U162" s="17"/>
      <c r="V162" s="17"/>
      <c r="W162" s="17"/>
      <c r="X162" s="44"/>
      <c r="Y162" s="17"/>
      <c r="Z162" s="650"/>
      <c r="AA162" s="58"/>
      <c r="AB162" s="18">
        <f>AVERAGE(AB158:AB161)</f>
        <v>60.775722379015747</v>
      </c>
      <c r="AC162" s="17"/>
      <c r="AD162" s="44"/>
      <c r="AE162" s="61"/>
      <c r="AF162" s="60"/>
      <c r="AG162" s="17"/>
      <c r="AH162" s="17"/>
      <c r="AI162" s="17"/>
      <c r="AJ162" s="17"/>
      <c r="AK162" s="1838">
        <f>((D162-('yrP&amp;L'!$W$16/4)))/H162</f>
        <v>5.4082775052392682</v>
      </c>
      <c r="AL162" s="493" t="s">
        <v>159</v>
      </c>
      <c r="AM162" s="17"/>
      <c r="AN162" s="17"/>
      <c r="AP162" s="17"/>
    </row>
    <row r="163" spans="1:43" ht="10.5" customHeight="1">
      <c r="AK163" s="1803"/>
    </row>
    <row r="164" spans="1:43" ht="12.75">
      <c r="A164" s="2175" t="s">
        <v>804</v>
      </c>
      <c r="B164" s="290"/>
      <c r="C164" s="20"/>
      <c r="D164" s="38"/>
      <c r="E164" s="17"/>
      <c r="F164" s="17"/>
      <c r="G164" s="17"/>
      <c r="H164" s="38"/>
      <c r="I164" s="17"/>
      <c r="J164" s="24"/>
      <c r="K164" s="61"/>
      <c r="L164" s="23"/>
      <c r="M164" s="61"/>
      <c r="N164" s="23"/>
      <c r="O164" s="61"/>
      <c r="P164" s="153"/>
      <c r="Q164" s="49"/>
      <c r="R164" s="17"/>
      <c r="S164" s="17"/>
      <c r="T164" s="17"/>
      <c r="U164" s="17"/>
      <c r="V164" s="17"/>
      <c r="W164" s="17"/>
      <c r="X164" s="44"/>
      <c r="Y164" s="17"/>
      <c r="Z164" s="650"/>
      <c r="AA164" s="58"/>
      <c r="AB164" s="17"/>
      <c r="AC164" s="17"/>
      <c r="AD164" s="44"/>
      <c r="AE164" s="61"/>
      <c r="AF164" s="60"/>
      <c r="AG164" s="17"/>
      <c r="AH164" s="17"/>
      <c r="AI164" s="17"/>
      <c r="AJ164" s="17"/>
      <c r="AK164" s="1837"/>
      <c r="AL164" s="864"/>
      <c r="AM164" s="17"/>
      <c r="AN164" s="17"/>
      <c r="AP164" s="17"/>
    </row>
    <row r="165" spans="1:43" ht="12.75">
      <c r="A165" s="20" t="s">
        <v>734</v>
      </c>
      <c r="B165" s="662">
        <f>'qtrP&amp;L'!CN10</f>
        <v>761.83600000000001</v>
      </c>
      <c r="C165" s="20"/>
      <c r="D165" s="38">
        <f>'qtrP&amp;L'!CN20</f>
        <v>484.01400000000001</v>
      </c>
      <c r="E165" s="17"/>
      <c r="F165" s="1827">
        <f>work!CF10</f>
        <v>364.274</v>
      </c>
      <c r="G165" s="17"/>
      <c r="H165" s="25">
        <f>AVERAGEA(F161,F165)</f>
        <v>361.36</v>
      </c>
      <c r="I165" s="17"/>
      <c r="J165" s="24">
        <f>(B165/B158-1)*100</f>
        <v>1.657290476851303</v>
      </c>
      <c r="K165" s="61" t="s">
        <v>697</v>
      </c>
      <c r="L165" s="23">
        <f>(F165/F158-1)*100</f>
        <v>8.9658720733710062</v>
      </c>
      <c r="M165" s="61" t="s">
        <v>697</v>
      </c>
      <c r="N165" s="23">
        <f>(F165/F161-1)*100</f>
        <v>1.625907389118586</v>
      </c>
      <c r="O165" s="61" t="s">
        <v>697</v>
      </c>
      <c r="P165" s="143">
        <f>D165/H165</f>
        <v>1.3394232897941112</v>
      </c>
      <c r="Q165" s="20" t="s">
        <v>159</v>
      </c>
      <c r="R165" s="148">
        <f>D166/F165</f>
        <v>1.5104783761673906</v>
      </c>
      <c r="S165" s="17"/>
      <c r="T165" s="17">
        <f>qtrSales!I205</f>
        <v>1053</v>
      </c>
      <c r="U165" s="17"/>
      <c r="V165" s="38">
        <f>F165/T165*1000</f>
        <v>345.93922127255462</v>
      </c>
      <c r="W165" s="17"/>
      <c r="X165" s="23">
        <f>(V165/V158-1)*100</f>
        <v>8.2415025534150921</v>
      </c>
      <c r="Y165" s="61" t="s">
        <v>697</v>
      </c>
      <c r="Z165" s="226">
        <f>qtrSales!Z205</f>
        <v>6.6283510000000003</v>
      </c>
      <c r="AA165" s="58"/>
      <c r="AB165" s="228">
        <f>F165/Z165</f>
        <v>54.956956866044052</v>
      </c>
      <c r="AC165" s="17"/>
      <c r="AD165" s="295">
        <f>(AB165/AB158-1)*100</f>
        <v>8.5235709960541648</v>
      </c>
      <c r="AE165" s="61" t="s">
        <v>697</v>
      </c>
      <c r="AF165" s="17">
        <f>H165/(D165/(365/4))</f>
        <v>68.126335188651566</v>
      </c>
      <c r="AG165" s="17"/>
      <c r="AH165" s="17">
        <f>F165/(D166/(365/4))</f>
        <v>60.411324941660538</v>
      </c>
      <c r="AI165" s="17"/>
      <c r="AJ165" s="17"/>
      <c r="AK165" s="1837">
        <f>((D165-('yrP&amp;L'!$X$16/4)))/H165</f>
        <v>1.0334982853285244</v>
      </c>
      <c r="AL165" s="491" t="s">
        <v>159</v>
      </c>
      <c r="AM165" s="17"/>
      <c r="AN165" s="17">
        <f>(F165/F151-1)*100</f>
        <v>9.5083347111786019</v>
      </c>
      <c r="AP165" s="17">
        <f>(B165/B151-1)*100</f>
        <v>8.9083943275388933</v>
      </c>
      <c r="AQ165" s="17">
        <f>-AN165+AP166</f>
        <v>-3.5982086559109181</v>
      </c>
    </row>
    <row r="166" spans="1:43" ht="12.75">
      <c r="A166" s="20" t="s">
        <v>735</v>
      </c>
      <c r="B166" s="484">
        <f>'qtrP&amp;L'!CN11</f>
        <v>844.55700000000002</v>
      </c>
      <c r="C166" s="20"/>
      <c r="D166" s="23">
        <f>'qtrP&amp;L'!CN21</f>
        <v>550.22800000000007</v>
      </c>
      <c r="E166" s="17"/>
      <c r="F166" s="1827">
        <f>work!CF11</f>
        <v>433.45800000000003</v>
      </c>
      <c r="G166" s="17"/>
      <c r="H166" s="25">
        <f>AVERAGEA(F165:F166)</f>
        <v>398.86599999999999</v>
      </c>
      <c r="I166" s="17"/>
      <c r="J166" s="24">
        <f>(B166/B159-1)*100</f>
        <v>2.6699684169833482</v>
      </c>
      <c r="K166" s="61"/>
      <c r="L166" s="23">
        <f>(F166/F159-1)*100</f>
        <v>2.6784254923001516</v>
      </c>
      <c r="M166" s="61"/>
      <c r="N166" s="23">
        <f>(F166/F165-1)*100</f>
        <v>18.992297007197891</v>
      </c>
      <c r="O166" s="61"/>
      <c r="P166" s="143">
        <f>D166/H166</f>
        <v>1.3794808281477993</v>
      </c>
      <c r="Q166" s="20"/>
      <c r="R166" s="148">
        <f>D167/F166</f>
        <v>1.3508113819562679</v>
      </c>
      <c r="S166" s="17"/>
      <c r="T166" s="17">
        <f>qtrSales!I206</f>
        <v>1057</v>
      </c>
      <c r="U166" s="17"/>
      <c r="V166" s="23">
        <f>F166/T166*1000</f>
        <v>410.08325449385052</v>
      </c>
      <c r="W166" s="17"/>
      <c r="X166" s="23">
        <f>(V166/V159-1)*100</f>
        <v>1.4155877142491669</v>
      </c>
      <c r="Y166" s="17"/>
      <c r="Z166" s="226">
        <f>qtrSales!Z206</f>
        <v>6.6398554999999995</v>
      </c>
      <c r="AA166" s="58"/>
      <c r="AB166" s="228">
        <f>F166/Z166</f>
        <v>65.281239930597891</v>
      </c>
      <c r="AC166" s="17"/>
      <c r="AD166" s="295">
        <f>(AB166/AB159-1)*100</f>
        <v>2.0677925761730886</v>
      </c>
      <c r="AE166" s="61"/>
      <c r="AF166" s="17">
        <f>H166/(D166/(365/4))</f>
        <v>66.148074071112319</v>
      </c>
      <c r="AG166" s="17"/>
      <c r="AH166" s="17">
        <f>F166/(D167/(365/4))</f>
        <v>67.551992246208513</v>
      </c>
      <c r="AI166" s="17"/>
      <c r="AJ166" s="17"/>
      <c r="AK166" s="1837">
        <f>((D166-('yrP&amp;L'!$X$16/4)))/H166</f>
        <v>1.1023224350692102</v>
      </c>
      <c r="AL166" s="491"/>
      <c r="AM166" s="17"/>
      <c r="AN166" s="17">
        <f>(F166/F152-1)*100</f>
        <v>6.099020661328991</v>
      </c>
      <c r="AP166" s="17">
        <f>(B166/B152-1)*100</f>
        <v>5.9101260552676838</v>
      </c>
      <c r="AQ166" s="17">
        <f>-AN166+AP167</f>
        <v>-1.5987203584147514</v>
      </c>
    </row>
    <row r="167" spans="1:43" ht="12.75">
      <c r="A167" s="20" t="s">
        <v>736</v>
      </c>
      <c r="B167" s="484">
        <f>'qtrP&amp;L'!CN12</f>
        <v>960.43299999999999</v>
      </c>
      <c r="C167" s="20"/>
      <c r="D167" s="23">
        <f>'qtrP&amp;L'!CN22</f>
        <v>585.52</v>
      </c>
      <c r="E167" s="17"/>
      <c r="F167" s="1827">
        <f>work!CF12</f>
        <v>534.01900000000001</v>
      </c>
      <c r="G167" s="17"/>
      <c r="H167" s="25">
        <f>AVERAGEA(F166:F167)</f>
        <v>483.73850000000004</v>
      </c>
      <c r="I167" s="17"/>
      <c r="J167" s="24">
        <f>(B167/B160-1)*100</f>
        <v>2.1075707334290872</v>
      </c>
      <c r="K167" s="61"/>
      <c r="L167" s="23">
        <f>(F167/F160-1)*100</f>
        <v>8.4078018359649462</v>
      </c>
      <c r="M167" s="61"/>
      <c r="N167" s="23">
        <f>(F167/F166-1)*100</f>
        <v>23.199710237208681</v>
      </c>
      <c r="O167" s="61"/>
      <c r="P167" s="143">
        <f>D167/H167</f>
        <v>1.2104060354923165</v>
      </c>
      <c r="Q167" s="20"/>
      <c r="R167" s="148">
        <f>D168/F167</f>
        <v>1.5048209895153541</v>
      </c>
      <c r="S167" s="17"/>
      <c r="T167" s="17">
        <f>qtrSales!I207</f>
        <v>1058</v>
      </c>
      <c r="U167" s="17"/>
      <c r="V167" s="23">
        <f>F167/T167*1000</f>
        <v>504.74385633270322</v>
      </c>
      <c r="W167" s="17"/>
      <c r="X167" s="23">
        <f>(V167/V160-1)*100</f>
        <v>7.7930127896362222</v>
      </c>
      <c r="Y167" s="17"/>
      <c r="Z167" s="226">
        <f>qtrSales!Z207</f>
        <v>6.6416380000000004</v>
      </c>
      <c r="AA167" s="58"/>
      <c r="AB167" s="227">
        <f>F167/Z167</f>
        <v>80.404713415576097</v>
      </c>
      <c r="AC167" s="17"/>
      <c r="AD167" s="295">
        <f>(AB167/AB160-1)*100</f>
        <v>8.0298391919133358</v>
      </c>
      <c r="AE167" s="61"/>
      <c r="AF167" s="17">
        <f>H167/(D167/(365/4))</f>
        <v>75.387925476499532</v>
      </c>
      <c r="AG167" s="17"/>
      <c r="AH167" s="17">
        <f>F167/(D168/(365/4))</f>
        <v>60.638441805219749</v>
      </c>
      <c r="AI167" s="17"/>
      <c r="AJ167" s="17"/>
      <c r="AK167" s="1837">
        <f>((D167-('yrP&amp;L'!$X$16/4)))/H167</f>
        <v>0.98187541489113539</v>
      </c>
      <c r="AL167" s="491"/>
      <c r="AM167" s="17"/>
      <c r="AN167" s="17">
        <f>(F167/F153-1)*100</f>
        <v>11.316805946690733</v>
      </c>
      <c r="AP167" s="17">
        <f>(B167/B153-1)*100</f>
        <v>4.5003003029142397</v>
      </c>
      <c r="AQ167" s="17">
        <f>-AN167+AP168</f>
        <v>-0.20341399061800658</v>
      </c>
    </row>
    <row r="168" spans="1:43" ht="12.75">
      <c r="A168" s="20" t="s">
        <v>737</v>
      </c>
      <c r="B168" s="485">
        <f>'qtrP&amp;L'!CN13</f>
        <v>1228.723</v>
      </c>
      <c r="C168" s="20"/>
      <c r="D168" s="42">
        <f>'qtrP&amp;L'!CN23</f>
        <v>803.60299999999995</v>
      </c>
      <c r="E168" s="17"/>
      <c r="F168" s="1827">
        <f>work!CF13</f>
        <v>398.21300000000002</v>
      </c>
      <c r="G168" s="17"/>
      <c r="H168" s="35">
        <f>AVERAGEA(F167:F168)</f>
        <v>466.11599999999999</v>
      </c>
      <c r="I168" s="17"/>
      <c r="J168" s="82">
        <f>(B168/B161-1)*100</f>
        <v>11.982454253649589</v>
      </c>
      <c r="K168" s="61"/>
      <c r="L168" s="23">
        <f>(F168/F161-1)*100</f>
        <v>11.094279194076663</v>
      </c>
      <c r="M168" s="61"/>
      <c r="N168" s="23">
        <f>(F168/F167-1)*100</f>
        <v>-25.430930360155724</v>
      </c>
      <c r="O168" s="61"/>
      <c r="P168" s="143">
        <f>D168/H168</f>
        <v>1.7240407967115481</v>
      </c>
      <c r="Q168" s="20"/>
      <c r="R168" s="865" t="s">
        <v>69</v>
      </c>
      <c r="S168" s="17"/>
      <c r="T168" s="17">
        <f>qtrSales!I208</f>
        <v>1047</v>
      </c>
      <c r="U168" s="17"/>
      <c r="V168" s="23">
        <f>F168/T168*1000</f>
        <v>380.33715377268391</v>
      </c>
      <c r="W168" s="17"/>
      <c r="X168" s="23">
        <f>(V168/V161-1)*100</f>
        <v>11.412600910965143</v>
      </c>
      <c r="Y168" s="17"/>
      <c r="Z168" s="226">
        <f>qtrSales!Z208</f>
        <v>6.6109059999999999</v>
      </c>
      <c r="AA168" s="58"/>
      <c r="AB168" s="227">
        <f>F168/Z168</f>
        <v>60.235767987020239</v>
      </c>
      <c r="AC168" s="17"/>
      <c r="AD168" s="1836">
        <f>(AB168/AB161-1)*100</f>
        <v>11.392251697623035</v>
      </c>
      <c r="AE168" s="61"/>
      <c r="AF168" s="17">
        <f>H168/(D168/(365/4))</f>
        <v>52.927981851735254</v>
      </c>
      <c r="AG168" s="17"/>
      <c r="AH168" s="231" t="s">
        <v>69</v>
      </c>
      <c r="AI168" s="17"/>
      <c r="AJ168" s="17"/>
      <c r="AK168" s="1837">
        <f>((D168-('yrP&amp;L'!$X$16/4)))/H168</f>
        <v>1.4868700932521421</v>
      </c>
      <c r="AL168" s="491"/>
      <c r="AM168" s="17"/>
      <c r="AN168" s="17">
        <f>(F168/F154-1)*100</f>
        <v>30.485487158314161</v>
      </c>
      <c r="AP168" s="17">
        <f>(B168/B154-1)*100</f>
        <v>11.113391956072727</v>
      </c>
      <c r="AQ168" s="17">
        <f>-AN168+AP169</f>
        <v>-30.485487158314161</v>
      </c>
    </row>
    <row r="169" spans="1:43" ht="12.75">
      <c r="A169" s="20" t="s">
        <v>762</v>
      </c>
      <c r="B169" s="290">
        <f>'qtrP&amp;L'!CN14</f>
        <v>3795.549</v>
      </c>
      <c r="C169" s="20"/>
      <c r="D169" s="38">
        <f>'qtrP&amp;L'!CN24</f>
        <v>2423.3650000000002</v>
      </c>
      <c r="E169" s="17"/>
      <c r="F169" s="17"/>
      <c r="G169" s="17"/>
      <c r="H169" s="38">
        <f>AVERAGEA(H168,H167,H166,H165,H161)</f>
        <v>427.12090000000001</v>
      </c>
      <c r="I169" s="17"/>
      <c r="J169" s="24">
        <f>(B169/B162-1)*100</f>
        <v>5.1437934659606332</v>
      </c>
      <c r="K169" s="61"/>
      <c r="L169" s="23"/>
      <c r="M169" s="61"/>
      <c r="N169" s="23"/>
      <c r="O169" s="61"/>
      <c r="P169" s="150">
        <f>D169/H169</f>
        <v>5.6737214217332852</v>
      </c>
      <c r="Q169" s="151" t="s">
        <v>159</v>
      </c>
      <c r="R169" s="341"/>
      <c r="S169" s="17"/>
      <c r="T169" s="17"/>
      <c r="U169" s="17"/>
      <c r="V169" s="17"/>
      <c r="W169" s="17"/>
      <c r="X169" s="44"/>
      <c r="Y169" s="17"/>
      <c r="Z169" s="650"/>
      <c r="AA169" s="58"/>
      <c r="AB169" s="18">
        <f>AVERAGE(AB165:AB168)</f>
        <v>65.219669549809566</v>
      </c>
      <c r="AC169" s="17"/>
      <c r="AD169" s="44"/>
      <c r="AE169" s="61"/>
      <c r="AF169" s="60"/>
      <c r="AG169" s="17"/>
      <c r="AH169" s="17"/>
      <c r="AI169" s="17"/>
      <c r="AJ169" s="17"/>
      <c r="AK169" s="1838">
        <f>((D169-('yrP&amp;L'!$X$16/4)))/H169</f>
        <v>5.4148976095206658</v>
      </c>
      <c r="AL169" s="493" t="s">
        <v>159</v>
      </c>
      <c r="AM169" s="17"/>
      <c r="AN169" s="17"/>
      <c r="AP169" s="17"/>
    </row>
    <row r="171" spans="1:43" ht="12.75">
      <c r="A171" s="1796" t="s">
        <v>188</v>
      </c>
      <c r="B171" s="290"/>
      <c r="C171" s="20"/>
      <c r="D171" s="38"/>
      <c r="E171" s="17"/>
      <c r="F171" s="17"/>
      <c r="G171" s="17"/>
      <c r="H171" s="38"/>
      <c r="I171" s="17"/>
      <c r="J171" s="24"/>
      <c r="K171" s="61"/>
      <c r="L171" s="23"/>
      <c r="M171" s="61"/>
      <c r="N171" s="23"/>
      <c r="O171" s="61"/>
      <c r="P171" s="153"/>
      <c r="Q171" s="49"/>
      <c r="R171" s="17"/>
      <c r="S171" s="17"/>
      <c r="T171" s="17"/>
      <c r="U171" s="17"/>
      <c r="V171" s="17"/>
      <c r="W171" s="17"/>
      <c r="X171" s="44"/>
      <c r="Y171" s="17"/>
      <c r="Z171" s="650"/>
      <c r="AA171" s="58"/>
      <c r="AB171" s="17"/>
      <c r="AC171" s="17"/>
      <c r="AD171" s="44"/>
      <c r="AE171" s="61"/>
      <c r="AF171" s="60"/>
      <c r="AG171" s="17"/>
      <c r="AH171" s="17"/>
      <c r="AI171" s="17"/>
      <c r="AJ171" s="17"/>
      <c r="AK171" s="1837"/>
      <c r="AL171" s="864"/>
      <c r="AM171" s="17"/>
      <c r="AN171" s="17"/>
      <c r="AP171" s="17"/>
    </row>
    <row r="172" spans="1:43" ht="12.75">
      <c r="A172" s="20" t="s">
        <v>734</v>
      </c>
      <c r="B172" s="662">
        <f>'qtrP&amp;L'!CR10</f>
        <v>808.29303830291394</v>
      </c>
      <c r="C172" s="20"/>
      <c r="D172" s="38">
        <f>'qtrP&amp;L'!CR20</f>
        <v>509.22461413083579</v>
      </c>
      <c r="E172" s="17"/>
      <c r="F172" s="1827">
        <f>Z172*AB172</f>
        <v>401.85592036189394</v>
      </c>
      <c r="G172" s="17"/>
      <c r="H172" s="25">
        <f>AVERAGEA(F168,F172)</f>
        <v>400.03446018094701</v>
      </c>
      <c r="I172" s="17"/>
      <c r="J172" s="24">
        <f>(B172/B165-1)*100</f>
        <v>6.0980366250628748</v>
      </c>
      <c r="K172" s="61" t="s">
        <v>697</v>
      </c>
      <c r="L172" s="23">
        <f>(F172/F165-1)*100</f>
        <v>10.316937349877819</v>
      </c>
      <c r="M172" s="61" t="s">
        <v>697</v>
      </c>
      <c r="N172" s="23">
        <f>(F172/F168-1)*100</f>
        <v>0.9148170355799401</v>
      </c>
      <c r="O172" s="61" t="s">
        <v>697</v>
      </c>
      <c r="P172" s="143">
        <f>D172/H172</f>
        <v>1.2729518699476514</v>
      </c>
      <c r="Q172" s="20" t="s">
        <v>159</v>
      </c>
      <c r="R172" s="148">
        <f>D173/F172</f>
        <v>1.4538005290645291</v>
      </c>
      <c r="S172" s="17"/>
      <c r="T172" s="17">
        <f>qtrSales!I212</f>
        <v>1050</v>
      </c>
      <c r="U172" s="17"/>
      <c r="V172" s="38">
        <f>F172/T172*1000</f>
        <v>382.7199241541847</v>
      </c>
      <c r="W172" s="17"/>
      <c r="X172" s="23">
        <f>(V172/V165-1)*100</f>
        <v>10.632128599448887</v>
      </c>
      <c r="Y172" s="61" t="s">
        <v>697</v>
      </c>
      <c r="Z172" s="226">
        <f>qtrSales!Z212</f>
        <v>6.5875620000000001</v>
      </c>
      <c r="AA172" s="58"/>
      <c r="AB172" s="228">
        <f>+AB165*(1+AD172/100)</f>
        <v>61.002222121308904</v>
      </c>
      <c r="AC172" s="17"/>
      <c r="AD172" s="1826">
        <v>11</v>
      </c>
      <c r="AE172" s="61" t="s">
        <v>697</v>
      </c>
      <c r="AF172" s="17">
        <f>H172/(D172/(365/4))</f>
        <v>71.683778589172064</v>
      </c>
      <c r="AG172" s="17"/>
      <c r="AH172" s="17">
        <f>F172/(D173/(365/4))</f>
        <v>62.766520011322505</v>
      </c>
      <c r="AI172" s="17"/>
      <c r="AJ172" s="17"/>
      <c r="AK172" s="1837">
        <f>((D172-('yrP&amp;L'!$Y$16/4)))/H172</f>
        <v>0.99016967685113977</v>
      </c>
      <c r="AL172" s="491" t="s">
        <v>159</v>
      </c>
      <c r="AM172" s="17"/>
      <c r="AN172" s="17">
        <f>(F172/F158-1)*100</f>
        <v>20.207812827928716</v>
      </c>
      <c r="AP172" s="17">
        <f>(B172/B158-1)*100</f>
        <v>7.856389282176246</v>
      </c>
      <c r="AQ172" s="17">
        <f>-AN172+AP173</f>
        <v>-9.409887957843809</v>
      </c>
    </row>
    <row r="173" spans="1:43" ht="12.75">
      <c r="A173" s="20" t="s">
        <v>735</v>
      </c>
      <c r="B173" s="484">
        <f>'qtrP&amp;L'!CR11</f>
        <v>911.41708210582624</v>
      </c>
      <c r="C173" s="20"/>
      <c r="D173" s="23">
        <f>'qtrP&amp;L'!CR21</f>
        <v>584.21834962983462</v>
      </c>
      <c r="E173" s="17"/>
      <c r="F173" s="1827">
        <f>Z173*AB173</f>
        <v>465.3995531962525</v>
      </c>
      <c r="G173" s="17"/>
      <c r="H173" s="25">
        <f>AVERAGEA(F172:F173)</f>
        <v>433.62773677907319</v>
      </c>
      <c r="I173" s="17"/>
      <c r="J173" s="24">
        <f>(B173/B166-1)*100</f>
        <v>7.9165861044105057</v>
      </c>
      <c r="K173" s="61"/>
      <c r="L173" s="23">
        <f>(F173/F166-1)*100</f>
        <v>7.3690076538563076</v>
      </c>
      <c r="M173" s="61"/>
      <c r="N173" s="23">
        <f>(F173/F172-1)*100</f>
        <v>15.812541165782479</v>
      </c>
      <c r="O173" s="61"/>
      <c r="P173" s="143">
        <f>D173/H173</f>
        <v>1.347280858852175</v>
      </c>
      <c r="Q173" s="20"/>
      <c r="R173" s="148">
        <f>D174/F173</f>
        <v>1.2690811518059988</v>
      </c>
      <c r="S173" s="17"/>
      <c r="T173" s="17">
        <f>qtrSales!I213</f>
        <v>1053</v>
      </c>
      <c r="U173" s="17"/>
      <c r="V173" s="23">
        <f>F173/T173*1000</f>
        <v>441.97488432692546</v>
      </c>
      <c r="W173" s="17"/>
      <c r="X173" s="23">
        <f>(V173/V166-1)*100</f>
        <v>7.7768671321235772</v>
      </c>
      <c r="Y173" s="17"/>
      <c r="Z173" s="226">
        <f>qtrSales!Z213</f>
        <v>6.6010619999999989</v>
      </c>
      <c r="AA173" s="58"/>
      <c r="AB173" s="228">
        <f>+AB166*(1+AD173/100)</f>
        <v>70.503739125045726</v>
      </c>
      <c r="AC173" s="17"/>
      <c r="AD173" s="1826">
        <v>8</v>
      </c>
      <c r="AE173" s="61"/>
      <c r="AF173" s="17">
        <f>H173/(D173/(365/4))</f>
        <v>67.729010918882238</v>
      </c>
      <c r="AG173" s="17"/>
      <c r="AH173" s="17">
        <f>F173/(D174/(365/4))</f>
        <v>71.902415279073622</v>
      </c>
      <c r="AI173" s="17"/>
      <c r="AJ173" s="17"/>
      <c r="AK173" s="1837">
        <f>((D173-('yrP&amp;L'!$Y$16/4)))/H173</f>
        <v>1.0864058908337393</v>
      </c>
      <c r="AL173" s="491"/>
      <c r="AM173" s="17"/>
      <c r="AN173" s="17">
        <f>(F173/F159-1)*100</f>
        <v>10.24480652568689</v>
      </c>
      <c r="AP173" s="17">
        <f>(B173/B159-1)*100</f>
        <v>10.797924870084907</v>
      </c>
      <c r="AQ173" s="17">
        <f>-AN173+AP174</f>
        <v>-8.1435444502011798</v>
      </c>
    </row>
    <row r="174" spans="1:43" ht="12.75">
      <c r="A174" s="20" t="s">
        <v>736</v>
      </c>
      <c r="B174" s="484">
        <f>'qtrP&amp;L'!CR12</f>
        <v>960.37366019560545</v>
      </c>
      <c r="C174" s="20"/>
      <c r="D174" s="23">
        <f>'qtrP&amp;L'!CR22</f>
        <v>590.62980102029735</v>
      </c>
      <c r="E174" s="17"/>
      <c r="F174" s="1827">
        <f>Z174*AB174</f>
        <v>574.3893189379246</v>
      </c>
      <c r="G174" s="17"/>
      <c r="H174" s="25">
        <f>AVERAGEA(F173:F174)</f>
        <v>519.89443606708858</v>
      </c>
      <c r="I174" s="17"/>
      <c r="J174" s="24">
        <f>(B174/B167-1)*100</f>
        <v>-6.1784428892486254E-3</v>
      </c>
      <c r="K174" s="61"/>
      <c r="L174" s="23">
        <f>(F174/F167-1)*100</f>
        <v>7.5597158411825349</v>
      </c>
      <c r="M174" s="61"/>
      <c r="N174" s="23">
        <f>(F174/F173-1)*100</f>
        <v>23.418536823500702</v>
      </c>
      <c r="O174" s="61"/>
      <c r="P174" s="143">
        <f>D174/H174</f>
        <v>1.13605716862121</v>
      </c>
      <c r="Q174" s="20"/>
      <c r="R174" s="148">
        <f>D175/F174</f>
        <v>1.3380422053124568</v>
      </c>
      <c r="S174" s="17"/>
      <c r="T174" s="17">
        <f>qtrSales!I214</f>
        <v>1056</v>
      </c>
      <c r="U174" s="17"/>
      <c r="V174" s="23">
        <f>F174/T174*1000</f>
        <v>543.92927929727705</v>
      </c>
      <c r="W174" s="17"/>
      <c r="X174" s="23">
        <f>(V174/V167-1)*100</f>
        <v>7.7634274242150747</v>
      </c>
      <c r="Y174" s="17"/>
      <c r="Z174" s="226">
        <f>qtrSales!Z214</f>
        <v>6.6145619999999994</v>
      </c>
      <c r="AA174" s="58"/>
      <c r="AB174" s="227">
        <f>+AB167*(1+AD174/100)</f>
        <v>86.837090488822184</v>
      </c>
      <c r="AC174" s="17"/>
      <c r="AD174" s="1826">
        <v>8</v>
      </c>
      <c r="AE174" s="61"/>
      <c r="AF174" s="17">
        <f>H174/(D174/(365/4))</f>
        <v>80.321662078631746</v>
      </c>
      <c r="AG174" s="17"/>
      <c r="AH174" s="17">
        <f>F174/(D175/(365/4))</f>
        <v>68.196653018647865</v>
      </c>
      <c r="AI174" s="17"/>
      <c r="AJ174" s="17"/>
      <c r="AK174" s="1837">
        <f>((D174-('yrP&amp;L'!$Y$16/4)))/H174</f>
        <v>0.91846949290015323</v>
      </c>
      <c r="AL174" s="491"/>
      <c r="AM174" s="17"/>
      <c r="AN174" s="17">
        <f>(F174/F160-1)*100</f>
        <v>16.603123604436163</v>
      </c>
      <c r="AP174" s="17">
        <f>(B174/B160-1)*100</f>
        <v>2.1012620754857103</v>
      </c>
      <c r="AQ174" s="17">
        <f>-AN174+AP175</f>
        <v>-10.314508870262483</v>
      </c>
    </row>
    <row r="175" spans="1:43" ht="12.75">
      <c r="A175" s="20" t="s">
        <v>737</v>
      </c>
      <c r="B175" s="485">
        <f>'qtrP&amp;L'!CR13</f>
        <v>1166.2475736261315</v>
      </c>
      <c r="C175" s="20"/>
      <c r="D175" s="42">
        <f>'qtrP&amp;L'!CR23</f>
        <v>768.55715101962073</v>
      </c>
      <c r="E175" s="17"/>
      <c r="F175" s="25">
        <f>bal!AY10</f>
        <v>423.09644896535247</v>
      </c>
      <c r="G175" s="17"/>
      <c r="H175" s="35">
        <f>AVERAGEA(F174:F175)</f>
        <v>498.74288395163853</v>
      </c>
      <c r="I175" s="17"/>
      <c r="J175" s="82">
        <f>(B175/B168-1)*100</f>
        <v>-5.0845818279521504</v>
      </c>
      <c r="K175" s="61"/>
      <c r="L175" s="23">
        <f>(F175/F168-1)*100</f>
        <v>6.2487786600016637</v>
      </c>
      <c r="M175" s="61"/>
      <c r="N175" s="23">
        <f>(F175/F174-1)*100</f>
        <v>-26.339777740352211</v>
      </c>
      <c r="O175" s="61"/>
      <c r="P175" s="143">
        <f>D175/H175</f>
        <v>1.5409887053028013</v>
      </c>
      <c r="Q175" s="20"/>
      <c r="R175" s="865" t="s">
        <v>69</v>
      </c>
      <c r="S175" s="17"/>
      <c r="T175" s="17">
        <f>qtrSales!I215</f>
        <v>1055</v>
      </c>
      <c r="U175" s="17"/>
      <c r="V175" s="23">
        <f>F175/T175*1000</f>
        <v>401.03928811881752</v>
      </c>
      <c r="W175" s="17"/>
      <c r="X175" s="23">
        <f>(V175/V168-1)*100</f>
        <v>5.4431007175561597</v>
      </c>
      <c r="Y175" s="17"/>
      <c r="Z175" s="226">
        <f>qtrSales!Z215</f>
        <v>6.6190619999999987</v>
      </c>
      <c r="AA175" s="58"/>
      <c r="AB175" s="227">
        <f>F175/Z175</f>
        <v>63.920907368045889</v>
      </c>
      <c r="AC175" s="17"/>
      <c r="AD175" s="1836">
        <f>(AB175/AB168-1)*100</f>
        <v>6.1178590465049476</v>
      </c>
      <c r="AE175" s="61"/>
      <c r="AF175" s="17">
        <f>H175/(D175/(365/4))</f>
        <v>59.215229602912345</v>
      </c>
      <c r="AG175" s="17"/>
      <c r="AH175" s="231" t="s">
        <v>69</v>
      </c>
      <c r="AI175" s="17"/>
      <c r="AJ175" s="17"/>
      <c r="AK175" s="1837">
        <f>((D175-('yrP&amp;L'!$Y$16/4)))/H175</f>
        <v>1.3141731945373054</v>
      </c>
      <c r="AL175" s="491"/>
      <c r="AM175" s="17"/>
      <c r="AN175" s="17">
        <f>(F175/F161-1)*100</f>
        <v>18.036314804838781</v>
      </c>
      <c r="AP175" s="17">
        <f>(B175/B161-1)*100</f>
        <v>6.2886147341736809</v>
      </c>
      <c r="AQ175" s="17">
        <f>-AN175+AP176</f>
        <v>-18.036314804838781</v>
      </c>
    </row>
    <row r="176" spans="1:43" ht="12.75">
      <c r="A176" s="20" t="s">
        <v>762</v>
      </c>
      <c r="B176" s="290">
        <f>'qtrP&amp;L'!CR14</f>
        <v>3846.3313542304768</v>
      </c>
      <c r="C176" s="20"/>
      <c r="D176" s="38">
        <f>'qtrP&amp;L'!CR24</f>
        <v>2452.6299158005886</v>
      </c>
      <c r="E176" s="17"/>
      <c r="F176" s="17"/>
      <c r="G176" s="17"/>
      <c r="H176" s="38">
        <f>AVERAGEA(H175,H174,H173,H172,H168)</f>
        <v>463.68310339574947</v>
      </c>
      <c r="I176" s="17"/>
      <c r="J176" s="24">
        <f>(B176/B169-1)*100</f>
        <v>1.3379448988928067</v>
      </c>
      <c r="K176" s="61"/>
      <c r="L176" s="23"/>
      <c r="M176" s="61"/>
      <c r="N176" s="23"/>
      <c r="O176" s="61"/>
      <c r="P176" s="150">
        <f>D176/H176</f>
        <v>5.2894528565715069</v>
      </c>
      <c r="Q176" s="151" t="s">
        <v>159</v>
      </c>
      <c r="R176" s="341"/>
      <c r="S176" s="17"/>
      <c r="T176" s="17"/>
      <c r="U176" s="17"/>
      <c r="V176" s="17"/>
      <c r="W176" s="17"/>
      <c r="X176" s="44"/>
      <c r="Y176" s="17"/>
      <c r="Z176" s="650"/>
      <c r="AA176" s="58"/>
      <c r="AB176" s="18">
        <f>AVERAGE(AB172:AB175)</f>
        <v>70.565989775805676</v>
      </c>
      <c r="AC176" s="17"/>
      <c r="AD176" s="44"/>
      <c r="AE176" s="61"/>
      <c r="AF176" s="60"/>
      <c r="AG176" s="17"/>
      <c r="AH176" s="17"/>
      <c r="AI176" s="17"/>
      <c r="AJ176" s="17"/>
      <c r="AK176" s="1838">
        <f>((D176-('yrP&amp;L'!$Y$16/4)))/H176</f>
        <v>5.0454874820825468</v>
      </c>
      <c r="AL176" s="493" t="s">
        <v>159</v>
      </c>
      <c r="AM176" s="17"/>
      <c r="AN176" s="17"/>
      <c r="AP176" s="17"/>
    </row>
  </sheetData>
  <phoneticPr fontId="0" type="noConversion"/>
  <dataValidations count="1">
    <dataValidation type="custom" allowBlank="1" showInputMessage="1" showErrorMessage="1" sqref="B1:B6 AN1:AN6 P1:P106 B9:B16 AP1:AP6 C1:O129 Q1:AM129 AO1:AO129 AN8:AN129 P108:P129 AQ1:AQ129 AP8:AP129 AD130:AD153 AB130:AB153 AB155:AB160 AD155:AD160 AD176:AD65536 F130:F164 AB162:AB167 F175:F65536 AD162:AD167 AB176:AB65536 G130:AA65536 C130:E65536 AC130:AC65536 AD169:AD174 AE130:AQ65536 B18:B65536 AR1:IV1048576 A1:A1048576 AB169:AB174 F169:F171">
      <formula1>-1</formula1>
    </dataValidation>
  </dataValidations>
  <printOptions horizontalCentered="1"/>
  <pageMargins left="0.25" right="0.25" top="0.5" bottom="0.25" header="0.5" footer="0.5"/>
  <pageSetup scale="80" orientation="landscape" horizontalDpi="300" verticalDpi="4294967292" r:id="rId1"/>
  <headerFooter alignWithMargins="0">
    <oddFooter>&amp;R&amp;"Arial,Regular"&amp;8&amp;D
&amp;F/&amp;A</oddFooter>
  </headerFooter>
  <legacy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dimension ref="A1:R2"/>
  <sheetViews>
    <sheetView workbookViewId="0"/>
  </sheetViews>
  <sheetFormatPr defaultRowHeight="12"/>
  <sheetData>
    <row r="1" spans="1:18">
      <c r="A1" t="s">
        <v>795</v>
      </c>
    </row>
    <row r="2" spans="1:18">
      <c r="A2" s="666" t="s">
        <v>399</v>
      </c>
      <c r="B2" s="666" t="s">
        <v>485</v>
      </c>
      <c r="C2" s="666" t="s">
        <v>794</v>
      </c>
      <c r="D2" s="666" t="s">
        <v>796</v>
      </c>
      <c r="E2" s="666" t="s">
        <v>398</v>
      </c>
      <c r="F2" s="666" t="s">
        <v>69</v>
      </c>
      <c r="G2" s="666" t="s">
        <v>396</v>
      </c>
      <c r="H2" s="666" t="s">
        <v>69</v>
      </c>
      <c r="I2" s="666" t="s">
        <v>373</v>
      </c>
      <c r="J2" s="666" t="s">
        <v>434</v>
      </c>
      <c r="K2" s="666" t="s">
        <v>388</v>
      </c>
      <c r="L2" s="666" t="s">
        <v>434</v>
      </c>
      <c r="M2" s="666" t="s">
        <v>386</v>
      </c>
      <c r="N2" s="666" t="s">
        <v>537</v>
      </c>
      <c r="O2" s="666" t="s">
        <v>387</v>
      </c>
      <c r="P2" s="666" t="s">
        <v>485</v>
      </c>
      <c r="Q2" s="666" t="s">
        <v>397</v>
      </c>
      <c r="R2" s="666" t="s">
        <v>69</v>
      </c>
    </row>
  </sheetData>
  <phoneticPr fontId="63" type="noConversion"/>
  <pageMargins left="0.75" right="0.75" top="1" bottom="1" header="0.5" footer="0.5"/>
  <pageSetup orientation="portrait" r:id="rId1"/>
  <headerFooter alignWithMargins="0"/>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dimension ref="B3:O7"/>
  <sheetViews>
    <sheetView workbookViewId="0">
      <selection activeCell="O36" sqref="O36"/>
    </sheetView>
  </sheetViews>
  <sheetFormatPr defaultRowHeight="12"/>
  <cols>
    <col min="2" max="2" width="18.875" bestFit="1" customWidth="1"/>
  </cols>
  <sheetData>
    <row r="3" spans="2:15" ht="12.75">
      <c r="C3" s="208" t="s">
        <v>808</v>
      </c>
      <c r="D3" s="208" t="s">
        <v>809</v>
      </c>
      <c r="E3" s="208" t="s">
        <v>810</v>
      </c>
      <c r="F3" s="208" t="s">
        <v>811</v>
      </c>
      <c r="G3" s="208" t="s">
        <v>849</v>
      </c>
      <c r="H3" s="208" t="s">
        <v>850</v>
      </c>
      <c r="I3" s="208" t="s">
        <v>851</v>
      </c>
      <c r="J3" s="208" t="s">
        <v>852</v>
      </c>
      <c r="K3" s="208" t="s">
        <v>853</v>
      </c>
      <c r="L3" s="208" t="s">
        <v>854</v>
      </c>
      <c r="M3" s="208" t="s">
        <v>862</v>
      </c>
      <c r="N3" s="208" t="s">
        <v>863</v>
      </c>
    </row>
    <row r="4" spans="2:15" ht="12.75">
      <c r="B4" s="45" t="s">
        <v>375</v>
      </c>
      <c r="C4" s="1303">
        <f>(work!BY10)/100</f>
        <v>1.0314382124167354E-2</v>
      </c>
      <c r="D4" s="1303">
        <f>(work!BY11)/100</f>
        <v>3.870933295365564E-2</v>
      </c>
      <c r="E4" s="1303">
        <f>(work!BY12)/100</f>
        <v>2.3688298607851044E-2</v>
      </c>
      <c r="F4" s="1303">
        <f>(work!BY13)/100</f>
        <v>9.3937742855913844E-2</v>
      </c>
      <c r="G4" s="1303">
        <f>(work!CC10)/100</f>
        <v>4.978280148506764E-3</v>
      </c>
      <c r="H4" s="1303">
        <f>(work!CC11)/100</f>
        <v>3.3313669864224238E-2</v>
      </c>
      <c r="I4" s="1303">
        <f>(work!CC12)/100</f>
        <v>2.6833899972692921E-2</v>
      </c>
      <c r="J4" s="1303">
        <f>(work!CC13)/100</f>
        <v>0.17454731337121299</v>
      </c>
      <c r="K4" s="1303">
        <f>(work!CG10)/100</f>
        <v>8.9658720733710062E-2</v>
      </c>
      <c r="L4" s="1303">
        <f>(work!CG11)/100</f>
        <v>2.6784254923001516E-2</v>
      </c>
      <c r="M4" s="1303">
        <f>(work!CG12)/100</f>
        <v>8.4078018359649467E-2</v>
      </c>
      <c r="N4" s="1303">
        <f>(work!CG13)/100</f>
        <v>0.11094279194076663</v>
      </c>
      <c r="O4" s="1798">
        <f>8.4-7.5+4.1</f>
        <v>5</v>
      </c>
    </row>
    <row r="5" spans="2:15" ht="12.75">
      <c r="B5" s="45" t="s">
        <v>855</v>
      </c>
      <c r="C5" s="1303">
        <f>('qtrP&amp;L'!CG11)/100</f>
        <v>0.12219759497322658</v>
      </c>
      <c r="D5" s="1303">
        <f>('qtrP&amp;L'!CG12)/100</f>
        <v>7.5831392150206733E-2</v>
      </c>
      <c r="E5" s="1303">
        <f>('qtrP&amp;L'!CG13)/100</f>
        <v>3.1697443586014007E-2</v>
      </c>
      <c r="F5" s="1303">
        <f>('qtrP&amp;L'!CK10)/100</f>
        <v>7.1328911253430993E-2</v>
      </c>
      <c r="G5" s="1303">
        <f>('qtrP&amp;L'!CK11)/100</f>
        <v>3.1558962063032769E-2</v>
      </c>
      <c r="H5" s="1303">
        <f>('qtrP&amp;L'!CK12)/100</f>
        <v>2.343341979736091E-2</v>
      </c>
      <c r="I5" s="1303">
        <f>('qtrP&amp;L'!CK13)/100</f>
        <v>-7.7607005791134887E-3</v>
      </c>
      <c r="J5" s="1303">
        <f>('qtrP&amp;L'!CO10)/100</f>
        <v>1.657290476851303E-2</v>
      </c>
      <c r="K5" s="1303">
        <f>('qtrP&amp;L'!CO11)/100</f>
        <v>2.6699684169833482E-2</v>
      </c>
      <c r="L5" s="1303">
        <f>('qtrP&amp;L'!CO12)/100</f>
        <v>2.1075707334290872E-2</v>
      </c>
      <c r="M5" s="1303">
        <f>('qtrP&amp;L'!CO13)/100-4%</f>
        <v>7.9824542536495902E-2</v>
      </c>
      <c r="N5" s="1303">
        <f>+'qtrP&amp;L'!CS10/100</f>
        <v>6.0980366250628748E-2</v>
      </c>
      <c r="O5" s="1777">
        <f>7.5-4.1</f>
        <v>3.4000000000000004</v>
      </c>
    </row>
    <row r="6" spans="2:15" ht="12.75">
      <c r="B6" s="45" t="s">
        <v>742</v>
      </c>
      <c r="C6" s="2085">
        <f>C5-C4</f>
        <v>0.11188321284905922</v>
      </c>
      <c r="D6" s="2085">
        <f t="shared" ref="D6:K6" si="0">D5-D4</f>
        <v>3.7122059196551094E-2</v>
      </c>
      <c r="E6" s="2085">
        <f t="shared" si="0"/>
        <v>8.0091449781629631E-3</v>
      </c>
      <c r="F6" s="2085">
        <f t="shared" si="0"/>
        <v>-2.2608831602482851E-2</v>
      </c>
      <c r="G6" s="2085">
        <f t="shared" si="0"/>
        <v>2.6580681914526005E-2</v>
      </c>
      <c r="H6" s="2085">
        <f>H5-H4</f>
        <v>-9.8802500668633275E-3</v>
      </c>
      <c r="I6" s="2085">
        <f t="shared" si="0"/>
        <v>-3.4594600551806409E-2</v>
      </c>
      <c r="J6" s="2085">
        <f t="shared" si="0"/>
        <v>-0.15797440860269996</v>
      </c>
      <c r="K6" s="2085">
        <f t="shared" si="0"/>
        <v>-6.295903656387658E-2</v>
      </c>
      <c r="L6" s="2085">
        <f>L5-L4</f>
        <v>-5.708547588710644E-3</v>
      </c>
      <c r="M6" s="2085">
        <f>M5-M4</f>
        <v>-4.2534758231535658E-3</v>
      </c>
      <c r="N6" s="2085">
        <f>N5-N4</f>
        <v>-4.9962425690137882E-2</v>
      </c>
    </row>
    <row r="7" spans="2:15" ht="12.75">
      <c r="C7" s="951"/>
      <c r="D7" s="951"/>
      <c r="E7" s="951"/>
      <c r="F7" s="951"/>
      <c r="G7" s="951"/>
      <c r="H7" s="951"/>
      <c r="I7" s="951"/>
      <c r="J7" s="951"/>
      <c r="K7" s="951"/>
      <c r="L7" s="951"/>
    </row>
  </sheetData>
  <pageMargins left="0.7" right="0.7" top="0.75" bottom="0.75" header="0.3" footer="0.3"/>
  <pageSetup orientation="portrait" r:id="rId1"/>
  <drawing r:id="rId2"/>
  <legacyDrawing r:id="rId3"/>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dimension ref="A1:AM203"/>
  <sheetViews>
    <sheetView showGridLines="0" zoomScale="85" workbookViewId="0">
      <selection activeCell="I44" sqref="I44"/>
    </sheetView>
  </sheetViews>
  <sheetFormatPr defaultColWidth="5.875" defaultRowHeight="12.75" outlineLevelRow="1" outlineLevelCol="1"/>
  <cols>
    <col min="1" max="1" width="0.875" style="761" customWidth="1"/>
    <col min="2" max="2" width="1" style="1879" customWidth="1"/>
    <col min="3" max="4" width="11.75" style="763" customWidth="1"/>
    <col min="5" max="5" width="11.625" style="763" customWidth="1"/>
    <col min="6" max="6" width="10.875" style="763" customWidth="1"/>
    <col min="7" max="7" width="8.25" style="763" customWidth="1"/>
    <col min="8" max="8" width="8.375" style="762" customWidth="1"/>
    <col min="9" max="9" width="10.5" style="762" customWidth="1"/>
    <col min="10" max="19" width="8.375" style="762" customWidth="1"/>
    <col min="20" max="23" width="8.375" style="754" customWidth="1"/>
    <col min="24" max="26" width="5.875" style="754" customWidth="1"/>
    <col min="27" max="27" width="40.75" customWidth="1" outlineLevel="1"/>
    <col min="28" max="28" width="5.875" customWidth="1" outlineLevel="1"/>
    <col min="29" max="29" width="28.75" customWidth="1" outlineLevel="1"/>
    <col min="30" max="32" width="5.875" customWidth="1" outlineLevel="1"/>
    <col min="33" max="35" width="5.875" style="754"/>
    <col min="36" max="36" width="5.875" style="1871"/>
    <col min="37" max="16384" width="5.875" style="754"/>
  </cols>
  <sheetData>
    <row r="1" spans="1:36" s="1868" customFormat="1" ht="45" customHeight="1" thickBot="1">
      <c r="A1" s="1861"/>
      <c r="B1" s="1862"/>
      <c r="C1" s="1863"/>
      <c r="D1" s="1864"/>
      <c r="E1" s="1864"/>
      <c r="F1" s="1863"/>
      <c r="G1" s="1863" t="s">
        <v>261</v>
      </c>
      <c r="H1" s="1865"/>
      <c r="I1" s="1865"/>
      <c r="J1" s="1865"/>
      <c r="K1" s="1865"/>
      <c r="L1" s="1865"/>
      <c r="M1" s="1865"/>
      <c r="N1" s="1866"/>
      <c r="O1" s="1865"/>
      <c r="P1" s="1865"/>
      <c r="Q1" s="1865"/>
      <c r="R1" s="1865"/>
      <c r="S1" s="1865"/>
      <c r="T1" s="1864"/>
      <c r="U1" s="1864"/>
      <c r="V1" s="1864"/>
      <c r="W1" s="1867"/>
      <c r="AA1"/>
      <c r="AB1"/>
      <c r="AC1"/>
      <c r="AD1"/>
      <c r="AE1"/>
      <c r="AF1"/>
      <c r="AJ1" s="1869"/>
    </row>
    <row r="2" spans="1:36" ht="32.25" customHeight="1" thickBot="1">
      <c r="A2" s="749"/>
      <c r="B2" s="1870"/>
      <c r="C2" s="750"/>
      <c r="D2" s="750"/>
      <c r="E2" s="750"/>
      <c r="F2" s="750"/>
      <c r="G2" s="750"/>
      <c r="H2" s="751"/>
      <c r="I2" s="751"/>
      <c r="J2" s="751"/>
      <c r="K2" s="751"/>
      <c r="L2" s="751"/>
      <c r="M2" s="751"/>
      <c r="N2" s="752"/>
      <c r="O2" s="752"/>
      <c r="P2" s="752" t="s">
        <v>434</v>
      </c>
      <c r="Q2" s="752"/>
      <c r="R2" s="751"/>
      <c r="S2" s="751"/>
      <c r="T2" s="753"/>
      <c r="U2" s="753"/>
      <c r="V2" s="753"/>
      <c r="W2" s="753"/>
    </row>
    <row r="3" spans="1:36" s="758" customFormat="1" ht="15.75" customHeight="1" thickBot="1">
      <c r="A3" s="755"/>
      <c r="B3" s="1872"/>
      <c r="C3" s="756"/>
      <c r="D3" s="756"/>
      <c r="E3" s="756"/>
      <c r="F3" s="756"/>
      <c r="G3" s="756"/>
      <c r="H3" s="757"/>
      <c r="I3" s="1873" t="s">
        <v>189</v>
      </c>
      <c r="J3" s="1874" t="s">
        <v>434</v>
      </c>
      <c r="L3" s="759"/>
      <c r="M3" s="760"/>
      <c r="N3" s="1875"/>
      <c r="O3" s="1876"/>
      <c r="P3" s="1877"/>
      <c r="Q3" s="757"/>
      <c r="R3" s="757"/>
      <c r="S3" s="757"/>
      <c r="AA3"/>
      <c r="AB3"/>
      <c r="AC3"/>
      <c r="AD3"/>
      <c r="AE3"/>
      <c r="AF3"/>
      <c r="AJ3" s="1878"/>
    </row>
    <row r="4" spans="1:36" ht="15.75" customHeight="1">
      <c r="C4" s="1880" t="str">
        <f>_xll.ThomsonONEAddinShim.SpreadsheetFormulas.TF($F$4,"TextAv(TF.CompanyName(sdate=0D),-)")</f>
        <v>American Eagle Outfitters Inc</v>
      </c>
      <c r="D4" s="1881"/>
      <c r="E4" s="756"/>
      <c r="F4" s="1882" t="s">
        <v>537</v>
      </c>
      <c r="G4" s="1883"/>
      <c r="H4" s="1884" t="str">
        <f>MONTH(I4)&amp;"/"&amp;YEAR(I4)</f>
        <v>1/2017</v>
      </c>
      <c r="I4" s="1884">
        <f>_xll.ThomsonONEAddinShim.SpreadsheetFormulas.TF($F$4,"TF.FN.FiscalYearEndDate(period=FY0)")</f>
        <v>42763</v>
      </c>
      <c r="K4" s="757"/>
      <c r="AJ4" s="1871" t="s">
        <v>262</v>
      </c>
    </row>
    <row r="5" spans="1:36" ht="15.75" customHeight="1">
      <c r="C5" s="1885" t="s">
        <v>263</v>
      </c>
      <c r="D5" s="1886"/>
      <c r="F5" s="1887">
        <f>H8</f>
        <v>2009</v>
      </c>
      <c r="H5" s="1888" t="str">
        <f t="shared" ref="H5:P5" si="0">"FY"&amp;H7</f>
        <v>FY-8</v>
      </c>
      <c r="I5" s="1888" t="str">
        <f t="shared" si="0"/>
        <v>FY-7</v>
      </c>
      <c r="J5" s="1888" t="str">
        <f t="shared" si="0"/>
        <v>FY-6</v>
      </c>
      <c r="K5" s="1888" t="str">
        <f t="shared" si="0"/>
        <v>FY-5</v>
      </c>
      <c r="L5" s="1888" t="str">
        <f t="shared" si="0"/>
        <v>FY-4</v>
      </c>
      <c r="M5" s="1888" t="str">
        <f t="shared" si="0"/>
        <v>FY-3</v>
      </c>
      <c r="N5" s="1888" t="str">
        <f t="shared" si="0"/>
        <v>FY-2</v>
      </c>
      <c r="O5" s="1888" t="str">
        <f t="shared" si="0"/>
        <v>FY-1</v>
      </c>
      <c r="P5" s="1888" t="str">
        <f t="shared" si="0"/>
        <v>FY0</v>
      </c>
      <c r="AJ5" s="1889"/>
    </row>
    <row r="6" spans="1:36" customFormat="1" ht="13.5" customHeight="1"/>
    <row r="7" spans="1:36">
      <c r="C7" s="764"/>
      <c r="H7" s="1891">
        <f t="shared" ref="H7:O7" si="1">I7-1</f>
        <v>-8</v>
      </c>
      <c r="I7" s="1891">
        <f t="shared" si="1"/>
        <v>-7</v>
      </c>
      <c r="J7" s="1891">
        <f t="shared" si="1"/>
        <v>-6</v>
      </c>
      <c r="K7" s="1891">
        <f t="shared" si="1"/>
        <v>-5</v>
      </c>
      <c r="L7" s="1891">
        <f t="shared" si="1"/>
        <v>-4</v>
      </c>
      <c r="M7" s="1891">
        <f t="shared" si="1"/>
        <v>-3</v>
      </c>
      <c r="N7" s="1891">
        <f t="shared" si="1"/>
        <v>-2</v>
      </c>
      <c r="O7" s="1891">
        <f t="shared" si="1"/>
        <v>-1</v>
      </c>
      <c r="P7" s="1891">
        <v>0</v>
      </c>
      <c r="Q7" s="1891">
        <f t="shared" ref="Q7:W7" si="2">P7+1</f>
        <v>1</v>
      </c>
      <c r="R7" s="1891">
        <f t="shared" si="2"/>
        <v>2</v>
      </c>
      <c r="S7" s="1891">
        <f t="shared" si="2"/>
        <v>3</v>
      </c>
      <c r="T7" s="1891">
        <f t="shared" si="2"/>
        <v>4</v>
      </c>
      <c r="U7" s="1891">
        <f t="shared" si="2"/>
        <v>5</v>
      </c>
      <c r="V7" s="1891">
        <f t="shared" si="2"/>
        <v>6</v>
      </c>
      <c r="W7" s="1891">
        <f t="shared" si="2"/>
        <v>7</v>
      </c>
    </row>
    <row r="8" spans="1:36" s="1879" customFormat="1" outlineLevel="1">
      <c r="A8" s="1892"/>
      <c r="C8" s="1890"/>
      <c r="D8" s="1890"/>
      <c r="E8" s="1890"/>
      <c r="F8" s="1890"/>
      <c r="G8" s="1890"/>
      <c r="H8" s="1893">
        <f t="shared" ref="H8:W8" si="3">YEAR(H9)</f>
        <v>2009</v>
      </c>
      <c r="I8" s="1893">
        <f t="shared" si="3"/>
        <v>2010</v>
      </c>
      <c r="J8" s="1893">
        <f t="shared" si="3"/>
        <v>2011</v>
      </c>
      <c r="K8" s="1893">
        <f t="shared" si="3"/>
        <v>2012</v>
      </c>
      <c r="L8" s="1893">
        <f t="shared" si="3"/>
        <v>2013</v>
      </c>
      <c r="M8" s="1893">
        <f t="shared" si="3"/>
        <v>2014</v>
      </c>
      <c r="N8" s="1893">
        <f t="shared" si="3"/>
        <v>2015</v>
      </c>
      <c r="O8" s="1893">
        <f t="shared" si="3"/>
        <v>2016</v>
      </c>
      <c r="P8" s="1893">
        <f t="shared" si="3"/>
        <v>2017</v>
      </c>
      <c r="Q8" s="1893">
        <f t="shared" si="3"/>
        <v>2018</v>
      </c>
      <c r="R8" s="1893">
        <f t="shared" si="3"/>
        <v>2019</v>
      </c>
      <c r="S8" s="1893">
        <f t="shared" si="3"/>
        <v>2020</v>
      </c>
      <c r="T8" s="1893">
        <f t="shared" si="3"/>
        <v>2021</v>
      </c>
      <c r="U8" s="1893">
        <f t="shared" si="3"/>
        <v>2022</v>
      </c>
      <c r="V8" s="1893">
        <f t="shared" si="3"/>
        <v>2023</v>
      </c>
      <c r="W8" s="1893">
        <f t="shared" si="3"/>
        <v>2024</v>
      </c>
      <c r="AA8"/>
      <c r="AB8"/>
      <c r="AC8"/>
      <c r="AD8"/>
      <c r="AE8"/>
      <c r="AF8"/>
      <c r="AJ8" s="1871"/>
    </row>
    <row r="9" spans="1:36" ht="14.25" customHeight="1">
      <c r="C9" s="1894" t="s">
        <v>778</v>
      </c>
      <c r="D9" s="1895"/>
      <c r="E9" s="1895"/>
      <c r="F9" s="1895"/>
      <c r="G9" s="1895"/>
      <c r="H9" s="1896">
        <f>DATE(YEAR($I$4)+H7,MONTH($I$4),DAY($I$4))</f>
        <v>39841</v>
      </c>
      <c r="I9" s="1896">
        <f t="shared" ref="I9:W9" si="4">DATE(YEAR($I$4)+I7,MONTH($I$4),DAY($I$4))</f>
        <v>40206</v>
      </c>
      <c r="J9" s="1896">
        <f t="shared" si="4"/>
        <v>40571</v>
      </c>
      <c r="K9" s="1896">
        <f t="shared" si="4"/>
        <v>40936</v>
      </c>
      <c r="L9" s="1896">
        <f t="shared" si="4"/>
        <v>41302</v>
      </c>
      <c r="M9" s="1896">
        <f t="shared" si="4"/>
        <v>41667</v>
      </c>
      <c r="N9" s="1896">
        <f t="shared" si="4"/>
        <v>42032</v>
      </c>
      <c r="O9" s="1896">
        <f t="shared" si="4"/>
        <v>42397</v>
      </c>
      <c r="P9" s="1896">
        <f t="shared" si="4"/>
        <v>42763</v>
      </c>
      <c r="Q9" s="1896">
        <f t="shared" si="4"/>
        <v>43128</v>
      </c>
      <c r="R9" s="1896">
        <f t="shared" si="4"/>
        <v>43493</v>
      </c>
      <c r="S9" s="1896">
        <f t="shared" si="4"/>
        <v>43858</v>
      </c>
      <c r="T9" s="1896">
        <f t="shared" si="4"/>
        <v>44224</v>
      </c>
      <c r="U9" s="1896">
        <f t="shared" si="4"/>
        <v>44589</v>
      </c>
      <c r="V9" s="1896">
        <f t="shared" si="4"/>
        <v>44954</v>
      </c>
      <c r="W9" s="1896">
        <f t="shared" si="4"/>
        <v>45319</v>
      </c>
    </row>
    <row r="10" spans="1:36">
      <c r="C10" s="1897"/>
      <c r="D10" s="1895"/>
      <c r="E10" s="1895"/>
      <c r="F10" s="1895"/>
      <c r="G10" s="1898"/>
      <c r="N10" s="768"/>
      <c r="T10" s="762"/>
      <c r="U10" s="762"/>
      <c r="V10" s="762"/>
      <c r="W10" s="762"/>
    </row>
    <row r="11" spans="1:36">
      <c r="C11" s="1899" t="s">
        <v>264</v>
      </c>
      <c r="D11" s="1899"/>
      <c r="E11" s="1899"/>
      <c r="F11" s="1899"/>
      <c r="G11" s="1899"/>
      <c r="H11" s="769"/>
      <c r="I11" s="770">
        <f t="shared" ref="I11:W11" si="5">IF(I8&gt;$F$5,I76,0)</f>
        <v>255.965</v>
      </c>
      <c r="J11" s="770">
        <f t="shared" si="5"/>
        <v>255.18100000000001</v>
      </c>
      <c r="K11" s="770">
        <f t="shared" si="5"/>
        <v>276.52699999999999</v>
      </c>
      <c r="L11" s="770">
        <f t="shared" si="5"/>
        <v>275.56200000000001</v>
      </c>
      <c r="M11" s="770">
        <f t="shared" si="5"/>
        <v>284.39699999999999</v>
      </c>
      <c r="N11" s="770">
        <f t="shared" si="5"/>
        <v>301.822</v>
      </c>
      <c r="O11" s="770">
        <f t="shared" si="5"/>
        <v>307.39800000000002</v>
      </c>
      <c r="P11" s="770">
        <f t="shared" si="5"/>
        <v>313.541</v>
      </c>
      <c r="Q11" s="770">
        <f t="shared" si="5"/>
        <v>319.81182000000001</v>
      </c>
      <c r="R11" s="770">
        <f t="shared" si="5"/>
        <v>326.20805640000003</v>
      </c>
      <c r="S11" s="770">
        <f t="shared" si="5"/>
        <v>332.73221752800004</v>
      </c>
      <c r="T11" s="770">
        <f t="shared" si="5"/>
        <v>339.38686187856007</v>
      </c>
      <c r="U11" s="770">
        <f t="shared" si="5"/>
        <v>346.17459911613128</v>
      </c>
      <c r="V11" s="770">
        <f t="shared" si="5"/>
        <v>353.09809109845389</v>
      </c>
      <c r="W11" s="770">
        <f t="shared" si="5"/>
        <v>360.16005292042297</v>
      </c>
    </row>
    <row r="12" spans="1:36">
      <c r="C12" s="1900" t="s">
        <v>265</v>
      </c>
      <c r="D12" s="1900"/>
      <c r="E12" s="1900"/>
      <c r="F12" s="1900"/>
      <c r="G12" s="1900"/>
      <c r="H12" s="769"/>
      <c r="I12" s="771">
        <f t="shared" ref="I12:W12" si="6">IF(I8&gt;$F$5,I23,0)</f>
        <v>-315.40500852641458</v>
      </c>
      <c r="J12" s="771">
        <f t="shared" si="6"/>
        <v>-335.91399529814203</v>
      </c>
      <c r="K12" s="771">
        <f t="shared" si="6"/>
        <v>-351.51023942688619</v>
      </c>
      <c r="L12" s="771">
        <f t="shared" si="6"/>
        <v>-366.06040643314344</v>
      </c>
      <c r="M12" s="771">
        <f t="shared" si="6"/>
        <v>-183.31432278097049</v>
      </c>
      <c r="N12" s="771">
        <f t="shared" si="6"/>
        <v>-147.40420521159751</v>
      </c>
      <c r="O12" s="771">
        <f t="shared" si="6"/>
        <v>-170.68040346523932</v>
      </c>
      <c r="P12" s="771">
        <f t="shared" si="6"/>
        <v>-201.98059458856881</v>
      </c>
      <c r="Q12" s="771">
        <f t="shared" si="6"/>
        <v>-235.2161144600089</v>
      </c>
      <c r="R12" s="771">
        <f t="shared" si="6"/>
        <v>-269.11634472887778</v>
      </c>
      <c r="S12" s="771">
        <f t="shared" si="6"/>
        <v>-282.32786349806133</v>
      </c>
      <c r="T12" s="771">
        <f t="shared" si="6"/>
        <v>-291.20791044963806</v>
      </c>
      <c r="U12" s="771">
        <f t="shared" si="6"/>
        <v>-305.82371135260126</v>
      </c>
      <c r="V12" s="771">
        <f t="shared" si="6"/>
        <v>-322.32035629994374</v>
      </c>
      <c r="W12" s="771">
        <f t="shared" si="6"/>
        <v>-324.56815693637174</v>
      </c>
    </row>
    <row r="13" spans="1:36">
      <c r="C13" s="1901" t="s">
        <v>266</v>
      </c>
      <c r="D13" s="1899"/>
      <c r="E13" s="1899"/>
      <c r="F13" s="1899"/>
      <c r="G13" s="1899"/>
      <c r="H13" s="769"/>
      <c r="I13" s="772">
        <f t="shared" ref="I13:W13" si="7">SUM(I11:I12)</f>
        <v>-59.440008526414573</v>
      </c>
      <c r="J13" s="772">
        <f t="shared" si="7"/>
        <v>-80.732995298142015</v>
      </c>
      <c r="K13" s="772">
        <f t="shared" si="7"/>
        <v>-74.9832394268862</v>
      </c>
      <c r="L13" s="772">
        <f t="shared" si="7"/>
        <v>-90.49840643314343</v>
      </c>
      <c r="M13" s="772">
        <f t="shared" si="7"/>
        <v>101.08267721902951</v>
      </c>
      <c r="N13" s="772">
        <f t="shared" si="7"/>
        <v>154.41779478840249</v>
      </c>
      <c r="O13" s="772">
        <f t="shared" si="7"/>
        <v>136.7175965347607</v>
      </c>
      <c r="P13" s="772">
        <f t="shared" si="7"/>
        <v>111.56040541143119</v>
      </c>
      <c r="Q13" s="772">
        <f t="shared" si="7"/>
        <v>84.595705539991116</v>
      </c>
      <c r="R13" s="772">
        <f t="shared" si="7"/>
        <v>57.091711671122255</v>
      </c>
      <c r="S13" s="772">
        <f t="shared" si="7"/>
        <v>50.404354029938702</v>
      </c>
      <c r="T13" s="772">
        <f t="shared" si="7"/>
        <v>48.178951428922005</v>
      </c>
      <c r="U13" s="772">
        <f t="shared" si="7"/>
        <v>40.350887763530011</v>
      </c>
      <c r="V13" s="772">
        <f t="shared" si="7"/>
        <v>30.777734798510153</v>
      </c>
      <c r="W13" s="772">
        <f t="shared" si="7"/>
        <v>35.591895984051234</v>
      </c>
    </row>
    <row r="14" spans="1:36">
      <c r="C14" s="1899"/>
      <c r="D14" s="1899"/>
      <c r="E14" s="1899"/>
      <c r="F14" s="1899"/>
      <c r="G14" s="1899"/>
      <c r="H14" s="769"/>
      <c r="I14" s="769"/>
      <c r="J14" s="769"/>
      <c r="K14" s="769"/>
      <c r="L14" s="769"/>
      <c r="M14" s="769"/>
      <c r="N14" s="769"/>
      <c r="O14" s="769"/>
      <c r="P14" s="769"/>
      <c r="Q14" s="769"/>
      <c r="R14" s="769"/>
      <c r="S14" s="769"/>
      <c r="T14" s="769"/>
      <c r="U14" s="769"/>
      <c r="V14" s="769"/>
      <c r="W14" s="769"/>
    </row>
    <row r="15" spans="1:36">
      <c r="C15" s="1899" t="s">
        <v>267</v>
      </c>
      <c r="D15" s="1899"/>
      <c r="E15" s="1899"/>
      <c r="F15" s="1899"/>
      <c r="G15" s="1899"/>
      <c r="H15" s="769"/>
      <c r="I15" s="771">
        <f t="shared" ref="I15:W15" si="8">IF(OR(I8&gt;$F$5,I8=$F$5),-I30,0)</f>
        <v>-18.992799357660132</v>
      </c>
      <c r="J15" s="771">
        <f t="shared" si="8"/>
        <v>-19.26205261325218</v>
      </c>
      <c r="K15" s="771">
        <f t="shared" si="8"/>
        <v>-19.038802605404957</v>
      </c>
      <c r="L15" s="771">
        <f t="shared" si="8"/>
        <v>-18.483726084167674</v>
      </c>
      <c r="M15" s="771">
        <f t="shared" si="8"/>
        <v>-19.431022627758317</v>
      </c>
      <c r="N15" s="771">
        <f t="shared" si="8"/>
        <v>-19.072312301196035</v>
      </c>
      <c r="O15" s="771">
        <f t="shared" si="8"/>
        <v>-18.572435249572177</v>
      </c>
      <c r="P15" s="771">
        <f t="shared" si="8"/>
        <v>-18.814198714400845</v>
      </c>
      <c r="Q15" s="771">
        <f t="shared" si="8"/>
        <v>-19.190482688688867</v>
      </c>
      <c r="R15" s="771">
        <f t="shared" si="8"/>
        <v>-19.574292342462648</v>
      </c>
      <c r="S15" s="771">
        <f t="shared" si="8"/>
        <v>-19.965778189311902</v>
      </c>
      <c r="T15" s="771">
        <f t="shared" si="8"/>
        <v>-20.365093753098137</v>
      </c>
      <c r="U15" s="771">
        <f t="shared" si="8"/>
        <v>-20.772395628160105</v>
      </c>
      <c r="V15" s="771">
        <f t="shared" si="8"/>
        <v>-21.187843540723303</v>
      </c>
      <c r="W15" s="771">
        <f t="shared" si="8"/>
        <v>-21.611600411537768</v>
      </c>
    </row>
    <row r="16" spans="1:36">
      <c r="C16" s="1901" t="s">
        <v>268</v>
      </c>
      <c r="D16" s="1901"/>
      <c r="E16" s="1901"/>
      <c r="F16" s="1901"/>
      <c r="G16" s="1901"/>
      <c r="H16" s="769"/>
      <c r="I16" s="772">
        <f t="shared" ref="I16:W16" si="9">I13+I15</f>
        <v>-78.432807884074705</v>
      </c>
      <c r="J16" s="772">
        <f t="shared" si="9"/>
        <v>-99.995047911394195</v>
      </c>
      <c r="K16" s="772">
        <f t="shared" si="9"/>
        <v>-94.022042032291154</v>
      </c>
      <c r="L16" s="772">
        <f t="shared" si="9"/>
        <v>-108.9821325173111</v>
      </c>
      <c r="M16" s="772">
        <f t="shared" si="9"/>
        <v>81.651654591271182</v>
      </c>
      <c r="N16" s="772">
        <f t="shared" si="9"/>
        <v>135.34548248720645</v>
      </c>
      <c r="O16" s="772">
        <f t="shared" si="9"/>
        <v>118.14516128518852</v>
      </c>
      <c r="P16" s="772">
        <f t="shared" si="9"/>
        <v>92.746206697030345</v>
      </c>
      <c r="Q16" s="772">
        <f t="shared" si="9"/>
        <v>65.405222851302256</v>
      </c>
      <c r="R16" s="772">
        <f t="shared" si="9"/>
        <v>37.517419328659606</v>
      </c>
      <c r="S16" s="772">
        <f t="shared" si="9"/>
        <v>30.4385758406268</v>
      </c>
      <c r="T16" s="772">
        <f t="shared" si="9"/>
        <v>27.813857675823868</v>
      </c>
      <c r="U16" s="772">
        <f t="shared" si="9"/>
        <v>19.578492135369906</v>
      </c>
      <c r="V16" s="772">
        <f t="shared" si="9"/>
        <v>9.5898912577868494</v>
      </c>
      <c r="W16" s="772">
        <f t="shared" si="9"/>
        <v>13.980295572513466</v>
      </c>
    </row>
    <row r="17" spans="1:36">
      <c r="C17" s="1899"/>
      <c r="D17" s="1899"/>
      <c r="E17" s="1899"/>
      <c r="F17" s="1899"/>
      <c r="G17" s="1899"/>
      <c r="H17" s="769"/>
      <c r="I17" s="770"/>
      <c r="J17" s="770"/>
      <c r="K17" s="770"/>
      <c r="L17" s="770"/>
      <c r="M17" s="770"/>
      <c r="N17" s="770"/>
      <c r="O17" s="770"/>
      <c r="P17" s="770"/>
      <c r="Q17" s="770"/>
      <c r="R17" s="770"/>
      <c r="S17" s="770"/>
      <c r="T17" s="770"/>
      <c r="U17" s="770"/>
      <c r="V17" s="770"/>
      <c r="W17" s="770"/>
    </row>
    <row r="18" spans="1:36">
      <c r="C18" s="1899"/>
      <c r="D18" s="1899"/>
      <c r="E18" s="1899"/>
      <c r="F18" s="1899"/>
      <c r="G18" s="1899"/>
      <c r="H18" s="773"/>
      <c r="I18" s="774"/>
      <c r="J18" s="774"/>
      <c r="K18" s="774"/>
      <c r="L18" s="774"/>
      <c r="M18" s="774"/>
      <c r="N18" s="774"/>
      <c r="O18" s="774"/>
      <c r="P18" s="774"/>
      <c r="Q18" s="774"/>
      <c r="R18" s="774"/>
      <c r="S18" s="774"/>
      <c r="T18" s="774"/>
      <c r="U18" s="774"/>
      <c r="V18" s="774"/>
      <c r="W18" s="774"/>
    </row>
    <row r="19" spans="1:36" s="763" customFormat="1" ht="14.25" customHeight="1">
      <c r="A19" s="775"/>
      <c r="C19" s="1894" t="s">
        <v>50</v>
      </c>
      <c r="D19" s="779"/>
      <c r="E19" s="779"/>
      <c r="F19" s="779"/>
      <c r="G19" s="779"/>
      <c r="H19" s="1902"/>
      <c r="I19" s="1902"/>
      <c r="J19" s="1902"/>
      <c r="K19" s="1902"/>
      <c r="L19" s="1902"/>
      <c r="M19" s="1902"/>
      <c r="N19" s="1902"/>
      <c r="O19" s="1902"/>
      <c r="P19" s="1903"/>
      <c r="Q19" s="1903"/>
      <c r="R19" s="1903"/>
      <c r="S19" s="1903"/>
      <c r="T19" s="1903"/>
      <c r="U19" s="1903"/>
      <c r="V19" s="1903"/>
      <c r="W19" s="1903"/>
      <c r="AA19"/>
      <c r="AB19"/>
      <c r="AC19"/>
      <c r="AD19"/>
      <c r="AE19"/>
      <c r="AF19"/>
      <c r="AJ19" s="1871"/>
    </row>
    <row r="20" spans="1:36" s="763" customFormat="1">
      <c r="A20" s="775"/>
      <c r="B20" s="1904"/>
      <c r="C20" s="1897"/>
      <c r="D20" s="779"/>
      <c r="E20" s="779"/>
      <c r="F20" s="779"/>
      <c r="G20" s="779"/>
      <c r="H20" s="1902"/>
      <c r="I20" s="1902"/>
      <c r="J20" s="1902"/>
      <c r="K20" s="1902"/>
      <c r="L20" s="1902"/>
      <c r="M20" s="1902"/>
      <c r="N20" s="1902"/>
      <c r="O20" s="1902"/>
      <c r="P20" s="1903"/>
      <c r="Q20" s="1903"/>
      <c r="R20" s="1903"/>
      <c r="S20" s="1903"/>
      <c r="T20" s="1903"/>
      <c r="U20" s="1903"/>
      <c r="V20" s="1903"/>
      <c r="W20" s="1903"/>
      <c r="AA20"/>
      <c r="AB20"/>
      <c r="AC20"/>
      <c r="AD20"/>
      <c r="AE20"/>
      <c r="AF20"/>
      <c r="AJ20" s="1871"/>
    </row>
    <row r="21" spans="1:36">
      <c r="C21" s="1905" t="s">
        <v>269</v>
      </c>
      <c r="D21" s="1905"/>
      <c r="E21" s="1905"/>
      <c r="F21" s="1905"/>
      <c r="G21" s="1905"/>
      <c r="H21" s="776"/>
      <c r="I21" s="776">
        <f t="shared" ref="I21:W21" si="10">H24</f>
        <v>1500.195369496693</v>
      </c>
      <c r="J21" s="776">
        <f t="shared" si="10"/>
        <v>1398.457522020906</v>
      </c>
      <c r="K21" s="776">
        <f t="shared" si="10"/>
        <v>1326.4410529243089</v>
      </c>
      <c r="L21" s="776">
        <f t="shared" si="10"/>
        <v>1188.5247600994485</v>
      </c>
      <c r="M21" s="776">
        <f t="shared" si="10"/>
        <v>1024.4448989371715</v>
      </c>
      <c r="N21" s="776">
        <f t="shared" si="10"/>
        <v>1192.938504431098</v>
      </c>
      <c r="O21" s="776">
        <f t="shared" si="10"/>
        <v>1274.6292439355138</v>
      </c>
      <c r="P21" s="776">
        <f t="shared" si="10"/>
        <v>1336.7108230066926</v>
      </c>
      <c r="Q21" s="776">
        <f t="shared" si="10"/>
        <v>1447.7321396514189</v>
      </c>
      <c r="R21" s="776">
        <f t="shared" si="10"/>
        <v>1544.8712239058111</v>
      </c>
      <c r="S21" s="776">
        <f t="shared" si="10"/>
        <v>1614.7571818656224</v>
      </c>
      <c r="T21" s="776">
        <f t="shared" si="10"/>
        <v>1678.2116671100237</v>
      </c>
      <c r="U21" s="776">
        <f t="shared" si="10"/>
        <v>1739.7017523776974</v>
      </c>
      <c r="V21" s="776">
        <f t="shared" si="10"/>
        <v>1793.6299966567542</v>
      </c>
      <c r="W21" s="776">
        <f t="shared" si="10"/>
        <v>1838.2566351011019</v>
      </c>
    </row>
    <row r="22" spans="1:36">
      <c r="B22" s="1906"/>
      <c r="C22" s="777" t="s">
        <v>270</v>
      </c>
      <c r="D22" s="777"/>
      <c r="E22" s="777"/>
      <c r="F22" s="777"/>
      <c r="G22" s="777"/>
      <c r="H22" s="776"/>
      <c r="I22" s="776">
        <f t="shared" ref="I22:W22" si="11">IF((I8&gt;$F$5),I143,0)</f>
        <v>213.6671610506275</v>
      </c>
      <c r="J22" s="776">
        <f t="shared" si="11"/>
        <v>263.89752620154479</v>
      </c>
      <c r="K22" s="776">
        <f t="shared" si="11"/>
        <v>213.59394660202582</v>
      </c>
      <c r="L22" s="776">
        <f t="shared" si="11"/>
        <v>201.9805452708666</v>
      </c>
      <c r="M22" s="776">
        <f t="shared" si="11"/>
        <v>351.80792827489694</v>
      </c>
      <c r="N22" s="776">
        <f t="shared" si="11"/>
        <v>229.0949447160134</v>
      </c>
      <c r="O22" s="776">
        <f t="shared" si="11"/>
        <v>232.7619825364182</v>
      </c>
      <c r="P22" s="776">
        <f t="shared" si="11"/>
        <v>313.00191123329489</v>
      </c>
      <c r="Q22" s="776">
        <f t="shared" si="11"/>
        <v>332.3551987144009</v>
      </c>
      <c r="R22" s="776">
        <f t="shared" si="11"/>
        <v>339.00230268868893</v>
      </c>
      <c r="S22" s="776">
        <f t="shared" si="11"/>
        <v>345.78234874246266</v>
      </c>
      <c r="T22" s="776">
        <f t="shared" si="11"/>
        <v>352.69799571731198</v>
      </c>
      <c r="U22" s="776">
        <f t="shared" si="11"/>
        <v>359.75195563165823</v>
      </c>
      <c r="V22" s="776">
        <f t="shared" si="11"/>
        <v>366.94699474429132</v>
      </c>
      <c r="W22" s="776">
        <f t="shared" si="11"/>
        <v>374.28593463917719</v>
      </c>
    </row>
    <row r="23" spans="1:36">
      <c r="C23" s="777" t="s">
        <v>271</v>
      </c>
      <c r="D23" s="756"/>
      <c r="E23" s="756"/>
      <c r="F23" s="756"/>
      <c r="G23" s="756"/>
      <c r="H23" s="778"/>
      <c r="I23" s="778">
        <f t="shared" ref="I23:W23" si="12">IF(I8&gt;$F$5,-I171,0)</f>
        <v>-315.40500852641458</v>
      </c>
      <c r="J23" s="778">
        <f t="shared" si="12"/>
        <v>-335.91399529814203</v>
      </c>
      <c r="K23" s="778">
        <f t="shared" si="12"/>
        <v>-351.51023942688619</v>
      </c>
      <c r="L23" s="778">
        <f t="shared" si="12"/>
        <v>-366.06040643314344</v>
      </c>
      <c r="M23" s="778">
        <f t="shared" si="12"/>
        <v>-183.31432278097049</v>
      </c>
      <c r="N23" s="778">
        <f t="shared" si="12"/>
        <v>-147.40420521159751</v>
      </c>
      <c r="O23" s="778">
        <f t="shared" si="12"/>
        <v>-170.68040346523932</v>
      </c>
      <c r="P23" s="778">
        <f t="shared" si="12"/>
        <v>-201.98059458856881</v>
      </c>
      <c r="Q23" s="778">
        <f t="shared" si="12"/>
        <v>-235.2161144600089</v>
      </c>
      <c r="R23" s="778">
        <f t="shared" si="12"/>
        <v>-269.11634472887778</v>
      </c>
      <c r="S23" s="778">
        <f t="shared" si="12"/>
        <v>-282.32786349806133</v>
      </c>
      <c r="T23" s="778">
        <f t="shared" si="12"/>
        <v>-291.20791044963806</v>
      </c>
      <c r="U23" s="778">
        <f t="shared" si="12"/>
        <v>-305.82371135260126</v>
      </c>
      <c r="V23" s="778">
        <f t="shared" si="12"/>
        <v>-322.32035629994374</v>
      </c>
      <c r="W23" s="778">
        <f t="shared" si="12"/>
        <v>-324.56815693637174</v>
      </c>
    </row>
    <row r="24" spans="1:36">
      <c r="C24" s="779" t="s">
        <v>272</v>
      </c>
      <c r="D24" s="779"/>
      <c r="E24" s="779"/>
      <c r="F24" s="779"/>
      <c r="G24" s="779"/>
      <c r="H24" s="780">
        <f t="shared" ref="H24:W24" si="13">IF(H8=$F$5,H33*H35,IF(H8&gt;$F$5,SUM(H21:H23),0))</f>
        <v>1500.195369496693</v>
      </c>
      <c r="I24" s="780">
        <f t="shared" si="13"/>
        <v>1398.457522020906</v>
      </c>
      <c r="J24" s="780">
        <f t="shared" si="13"/>
        <v>1326.4410529243089</v>
      </c>
      <c r="K24" s="780">
        <f t="shared" si="13"/>
        <v>1188.5247600994485</v>
      </c>
      <c r="L24" s="780">
        <f t="shared" si="13"/>
        <v>1024.4448989371715</v>
      </c>
      <c r="M24" s="780">
        <f t="shared" si="13"/>
        <v>1192.938504431098</v>
      </c>
      <c r="N24" s="780">
        <f t="shared" si="13"/>
        <v>1274.6292439355138</v>
      </c>
      <c r="O24" s="780">
        <f t="shared" si="13"/>
        <v>1336.7108230066926</v>
      </c>
      <c r="P24" s="780">
        <f t="shared" si="13"/>
        <v>1447.7321396514189</v>
      </c>
      <c r="Q24" s="780">
        <f t="shared" si="13"/>
        <v>1544.8712239058111</v>
      </c>
      <c r="R24" s="780">
        <f t="shared" si="13"/>
        <v>1614.7571818656224</v>
      </c>
      <c r="S24" s="780">
        <f t="shared" si="13"/>
        <v>1678.2116671100237</v>
      </c>
      <c r="T24" s="780">
        <f t="shared" si="13"/>
        <v>1739.7017523776974</v>
      </c>
      <c r="U24" s="780">
        <f t="shared" si="13"/>
        <v>1793.6299966567542</v>
      </c>
      <c r="V24" s="780">
        <f t="shared" si="13"/>
        <v>1838.2566351011019</v>
      </c>
      <c r="W24" s="780">
        <f t="shared" si="13"/>
        <v>1887.9744128039072</v>
      </c>
    </row>
    <row r="25" spans="1:36">
      <c r="C25" s="756"/>
      <c r="D25" s="756"/>
      <c r="E25" s="756"/>
      <c r="F25" s="756"/>
      <c r="G25" s="756"/>
      <c r="I25" s="776"/>
      <c r="J25" s="776"/>
      <c r="K25" s="776"/>
      <c r="L25" s="776"/>
      <c r="M25" s="776"/>
      <c r="N25" s="776"/>
      <c r="O25" s="776"/>
      <c r="P25" s="776"/>
      <c r="Q25" s="776"/>
      <c r="R25" s="776"/>
      <c r="S25" s="776"/>
      <c r="T25" s="776"/>
      <c r="U25" s="776"/>
      <c r="V25" s="776"/>
      <c r="W25" s="776"/>
    </row>
    <row r="26" spans="1:36">
      <c r="C26" s="756"/>
      <c r="D26" s="756"/>
      <c r="E26" s="756"/>
      <c r="F26" s="756"/>
      <c r="G26" s="756"/>
      <c r="H26" s="776"/>
      <c r="I26" s="776"/>
      <c r="J26" s="776"/>
      <c r="K26" s="776"/>
      <c r="L26" s="776"/>
      <c r="M26" s="776"/>
      <c r="N26" s="776"/>
      <c r="O26" s="776"/>
      <c r="P26" s="776"/>
      <c r="Q26" s="776"/>
      <c r="R26" s="776"/>
      <c r="S26" s="776"/>
      <c r="T26" s="776"/>
      <c r="U26" s="776"/>
      <c r="V26" s="776"/>
      <c r="W26" s="776"/>
    </row>
    <row r="27" spans="1:36" s="763" customFormat="1" ht="14.25" customHeight="1">
      <c r="A27" s="775"/>
      <c r="B27" s="1904"/>
      <c r="C27" s="1894" t="s">
        <v>273</v>
      </c>
      <c r="D27" s="779"/>
      <c r="E27" s="779"/>
      <c r="F27" s="779"/>
      <c r="G27" s="779"/>
      <c r="H27" s="1907"/>
      <c r="I27" s="1907"/>
      <c r="J27" s="1907"/>
      <c r="K27" s="1907"/>
      <c r="L27" s="1907"/>
      <c r="M27" s="1907"/>
      <c r="N27" s="1907"/>
      <c r="O27" s="1907"/>
      <c r="P27" s="1908"/>
      <c r="Q27" s="1908"/>
      <c r="R27" s="1908"/>
      <c r="S27" s="1908"/>
      <c r="T27" s="1908"/>
      <c r="U27" s="1908"/>
      <c r="V27" s="1908"/>
      <c r="W27" s="1908"/>
      <c r="AA27"/>
      <c r="AB27"/>
      <c r="AC27"/>
      <c r="AD27"/>
      <c r="AE27"/>
      <c r="AF27"/>
      <c r="AJ27" s="1871"/>
    </row>
    <row r="28" spans="1:36" s="763" customFormat="1">
      <c r="A28" s="775"/>
      <c r="B28" s="1904"/>
      <c r="C28" s="1897"/>
      <c r="D28" s="779"/>
      <c r="E28" s="779"/>
      <c r="F28" s="779"/>
      <c r="G28" s="779"/>
      <c r="H28" s="1907"/>
      <c r="I28" s="1907"/>
      <c r="J28" s="1907"/>
      <c r="K28" s="1907"/>
      <c r="L28" s="1907"/>
      <c r="M28" s="1907"/>
      <c r="N28" s="1907"/>
      <c r="O28" s="1907"/>
      <c r="P28" s="1908"/>
      <c r="Q28" s="1908"/>
      <c r="R28" s="1908"/>
      <c r="S28" s="1908"/>
      <c r="T28" s="1908"/>
      <c r="U28" s="1908"/>
      <c r="V28" s="1908"/>
      <c r="W28" s="1908"/>
      <c r="AA28"/>
      <c r="AB28"/>
      <c r="AC28"/>
      <c r="AD28"/>
      <c r="AE28"/>
      <c r="AF28"/>
      <c r="AJ28" s="1871"/>
    </row>
    <row r="29" spans="1:36">
      <c r="C29" s="1905" t="s">
        <v>274</v>
      </c>
      <c r="D29" s="1909"/>
      <c r="E29" s="1909"/>
      <c r="F29" s="1909"/>
      <c r="G29" s="1909"/>
      <c r="H29" s="776"/>
      <c r="I29" s="776">
        <f t="shared" ref="I29:W29" si="14">H33</f>
        <v>1685.6127747153855</v>
      </c>
      <c r="J29" s="776">
        <f t="shared" si="14"/>
        <v>1662.3077351236732</v>
      </c>
      <c r="K29" s="776">
        <f t="shared" si="14"/>
        <v>1690.2863139384699</v>
      </c>
      <c r="L29" s="776">
        <f t="shared" si="14"/>
        <v>1646.3920631459007</v>
      </c>
      <c r="M29" s="776">
        <f t="shared" si="14"/>
        <v>1591.2943345009348</v>
      </c>
      <c r="N29" s="776">
        <f t="shared" si="14"/>
        <v>1678.1362854035901</v>
      </c>
      <c r="O29" s="776">
        <f t="shared" si="14"/>
        <v>1624.4815424207995</v>
      </c>
      <c r="P29" s="776">
        <f t="shared" si="14"/>
        <v>1568.4179602067898</v>
      </c>
      <c r="Q29" s="776">
        <f t="shared" si="14"/>
        <v>1586.6930701544857</v>
      </c>
      <c r="R29" s="776">
        <f t="shared" si="14"/>
        <v>1618.4269315575757</v>
      </c>
      <c r="S29" s="776">
        <f t="shared" si="14"/>
        <v>1650.7954701887274</v>
      </c>
      <c r="T29" s="776">
        <f t="shared" si="14"/>
        <v>1683.8113795925019</v>
      </c>
      <c r="U29" s="776">
        <f t="shared" si="14"/>
        <v>1717.4876071843519</v>
      </c>
      <c r="V29" s="776">
        <f t="shared" si="14"/>
        <v>1751.8373593280389</v>
      </c>
      <c r="W29" s="776">
        <f t="shared" si="14"/>
        <v>1786.8741065145996</v>
      </c>
    </row>
    <row r="30" spans="1:36">
      <c r="C30" s="777" t="s">
        <v>275</v>
      </c>
      <c r="D30" s="1910"/>
      <c r="E30" s="1910"/>
      <c r="F30" s="1910"/>
      <c r="G30" s="1910"/>
      <c r="H30" s="776">
        <f t="shared" ref="H30:W30" si="15">IF(H8=$F$5,0,IF(H8&gt;$F$5,H29*G44+H45*H32,0))</f>
        <v>0</v>
      </c>
      <c r="I30" s="776">
        <f t="shared" si="15"/>
        <v>18.992799357660132</v>
      </c>
      <c r="J30" s="776">
        <f t="shared" si="15"/>
        <v>19.26205261325218</v>
      </c>
      <c r="K30" s="776">
        <f t="shared" si="15"/>
        <v>19.038802605404957</v>
      </c>
      <c r="L30" s="776">
        <f t="shared" si="15"/>
        <v>18.483726084167674</v>
      </c>
      <c r="M30" s="776">
        <f t="shared" si="15"/>
        <v>19.431022627758317</v>
      </c>
      <c r="N30" s="776">
        <f t="shared" si="15"/>
        <v>19.072312301196035</v>
      </c>
      <c r="O30" s="776">
        <f t="shared" si="15"/>
        <v>18.572435249572177</v>
      </c>
      <c r="P30" s="776">
        <f t="shared" si="15"/>
        <v>18.814198714400845</v>
      </c>
      <c r="Q30" s="776">
        <f t="shared" si="15"/>
        <v>19.190482688688867</v>
      </c>
      <c r="R30" s="776">
        <f t="shared" si="15"/>
        <v>19.574292342462648</v>
      </c>
      <c r="S30" s="776">
        <f t="shared" si="15"/>
        <v>19.965778189311902</v>
      </c>
      <c r="T30" s="776">
        <f t="shared" si="15"/>
        <v>20.365093753098137</v>
      </c>
      <c r="U30" s="776">
        <f t="shared" si="15"/>
        <v>20.772395628160105</v>
      </c>
      <c r="V30" s="776">
        <f t="shared" si="15"/>
        <v>21.187843540723303</v>
      </c>
      <c r="W30" s="776">
        <f t="shared" si="15"/>
        <v>21.611600411537768</v>
      </c>
    </row>
    <row r="31" spans="1:36">
      <c r="C31" s="777" t="s">
        <v>276</v>
      </c>
      <c r="D31" s="1910"/>
      <c r="E31" s="1910"/>
      <c r="F31" s="1910"/>
      <c r="G31" s="1910"/>
      <c r="H31" s="776"/>
      <c r="I31" s="776">
        <f t="shared" ref="I31:W31" si="16">-I11</f>
        <v>-255.965</v>
      </c>
      <c r="J31" s="776">
        <f t="shared" si="16"/>
        <v>-255.18100000000001</v>
      </c>
      <c r="K31" s="776">
        <f t="shared" si="16"/>
        <v>-276.52699999999999</v>
      </c>
      <c r="L31" s="776">
        <f t="shared" si="16"/>
        <v>-275.56200000000001</v>
      </c>
      <c r="M31" s="776">
        <f t="shared" si="16"/>
        <v>-284.39699999999999</v>
      </c>
      <c r="N31" s="776">
        <f t="shared" si="16"/>
        <v>-301.822</v>
      </c>
      <c r="O31" s="776">
        <f t="shared" si="16"/>
        <v>-307.39800000000002</v>
      </c>
      <c r="P31" s="776">
        <f t="shared" si="16"/>
        <v>-313.541</v>
      </c>
      <c r="Q31" s="776">
        <f t="shared" si="16"/>
        <v>-319.81182000000001</v>
      </c>
      <c r="R31" s="776">
        <f t="shared" si="16"/>
        <v>-326.20805640000003</v>
      </c>
      <c r="S31" s="776">
        <f t="shared" si="16"/>
        <v>-332.73221752800004</v>
      </c>
      <c r="T31" s="776">
        <f t="shared" si="16"/>
        <v>-339.38686187856007</v>
      </c>
      <c r="U31" s="776">
        <f t="shared" si="16"/>
        <v>-346.17459911613128</v>
      </c>
      <c r="V31" s="776">
        <f t="shared" si="16"/>
        <v>-353.09809109845389</v>
      </c>
      <c r="W31" s="776">
        <f t="shared" si="16"/>
        <v>-360.16005292042297</v>
      </c>
    </row>
    <row r="32" spans="1:36">
      <c r="C32" s="777" t="s">
        <v>277</v>
      </c>
      <c r="D32" s="1910"/>
      <c r="E32" s="1910"/>
      <c r="F32" s="1910"/>
      <c r="G32" s="1910"/>
      <c r="H32" s="778"/>
      <c r="I32" s="778">
        <f t="shared" ref="I32:W32" si="17">IF(I8&gt;$F$5,I22,0)</f>
        <v>213.6671610506275</v>
      </c>
      <c r="J32" s="778">
        <f t="shared" si="17"/>
        <v>263.89752620154479</v>
      </c>
      <c r="K32" s="778">
        <f t="shared" si="17"/>
        <v>213.59394660202582</v>
      </c>
      <c r="L32" s="778">
        <f t="shared" si="17"/>
        <v>201.9805452708666</v>
      </c>
      <c r="M32" s="778">
        <f t="shared" si="17"/>
        <v>351.80792827489694</v>
      </c>
      <c r="N32" s="778">
        <f t="shared" si="17"/>
        <v>229.0949447160134</v>
      </c>
      <c r="O32" s="778">
        <f t="shared" si="17"/>
        <v>232.7619825364182</v>
      </c>
      <c r="P32" s="778">
        <f t="shared" si="17"/>
        <v>313.00191123329489</v>
      </c>
      <c r="Q32" s="778">
        <f t="shared" si="17"/>
        <v>332.3551987144009</v>
      </c>
      <c r="R32" s="778">
        <f t="shared" si="17"/>
        <v>339.00230268868893</v>
      </c>
      <c r="S32" s="778">
        <f t="shared" si="17"/>
        <v>345.78234874246266</v>
      </c>
      <c r="T32" s="778">
        <f t="shared" si="17"/>
        <v>352.69799571731198</v>
      </c>
      <c r="U32" s="778">
        <f t="shared" si="17"/>
        <v>359.75195563165823</v>
      </c>
      <c r="V32" s="778">
        <f t="shared" si="17"/>
        <v>366.94699474429132</v>
      </c>
      <c r="W32" s="778">
        <f t="shared" si="17"/>
        <v>374.28593463917719</v>
      </c>
    </row>
    <row r="33" spans="1:36" s="783" customFormat="1">
      <c r="A33" s="781"/>
      <c r="B33" s="782"/>
      <c r="C33" s="779" t="s">
        <v>278</v>
      </c>
      <c r="D33" s="1911"/>
      <c r="E33" s="1911"/>
      <c r="F33" s="1911"/>
      <c r="G33" s="1911"/>
      <c r="H33" s="780">
        <f t="shared" ref="H33:W33" si="18">IF(H8=$F$5,NPV(H44,H77:H95),IF(H8&lt;$F$5,0,SUM(H29:H32)))</f>
        <v>1685.6127747153855</v>
      </c>
      <c r="I33" s="780">
        <f t="shared" si="18"/>
        <v>1662.3077351236732</v>
      </c>
      <c r="J33" s="780">
        <f t="shared" si="18"/>
        <v>1690.2863139384699</v>
      </c>
      <c r="K33" s="780">
        <f t="shared" si="18"/>
        <v>1646.3920631459007</v>
      </c>
      <c r="L33" s="780">
        <f t="shared" si="18"/>
        <v>1591.2943345009348</v>
      </c>
      <c r="M33" s="780">
        <f t="shared" si="18"/>
        <v>1678.1362854035901</v>
      </c>
      <c r="N33" s="780">
        <f t="shared" si="18"/>
        <v>1624.4815424207995</v>
      </c>
      <c r="O33" s="780">
        <f t="shared" si="18"/>
        <v>1568.4179602067898</v>
      </c>
      <c r="P33" s="780">
        <f t="shared" si="18"/>
        <v>1586.6930701544857</v>
      </c>
      <c r="Q33" s="780">
        <f t="shared" si="18"/>
        <v>1618.4269315575757</v>
      </c>
      <c r="R33" s="780">
        <f t="shared" si="18"/>
        <v>1650.7954701887274</v>
      </c>
      <c r="S33" s="780">
        <f t="shared" si="18"/>
        <v>1683.8113795925019</v>
      </c>
      <c r="T33" s="780">
        <f t="shared" si="18"/>
        <v>1717.4876071843519</v>
      </c>
      <c r="U33" s="780">
        <f t="shared" si="18"/>
        <v>1751.8373593280389</v>
      </c>
      <c r="V33" s="780">
        <f t="shared" si="18"/>
        <v>1786.8741065145996</v>
      </c>
      <c r="W33" s="780">
        <f t="shared" si="18"/>
        <v>1822.6115886448915</v>
      </c>
      <c r="AA33"/>
      <c r="AB33"/>
      <c r="AC33"/>
      <c r="AD33"/>
      <c r="AE33"/>
      <c r="AF33"/>
      <c r="AJ33" s="784"/>
    </row>
    <row r="34" spans="1:36">
      <c r="C34" s="1909"/>
      <c r="D34" s="1909"/>
      <c r="E34" s="1909"/>
      <c r="F34" s="1909"/>
      <c r="G34" s="1909"/>
      <c r="H34" s="785"/>
      <c r="I34" s="785"/>
      <c r="J34" s="785"/>
      <c r="K34" s="785"/>
      <c r="L34" s="785"/>
      <c r="M34" s="785"/>
      <c r="N34" s="785"/>
      <c r="O34" s="785"/>
      <c r="P34" s="785"/>
      <c r="Q34" s="785"/>
      <c r="R34" s="785"/>
      <c r="S34" s="785"/>
      <c r="T34" s="785"/>
      <c r="U34" s="785"/>
      <c r="V34" s="785"/>
      <c r="W34" s="785"/>
    </row>
    <row r="35" spans="1:36" s="788" customFormat="1">
      <c r="A35" s="786"/>
      <c r="B35" s="1912"/>
      <c r="C35" s="787" t="s">
        <v>279</v>
      </c>
      <c r="D35" s="1913"/>
      <c r="E35" s="1913"/>
      <c r="F35" s="1913"/>
      <c r="G35" s="1914">
        <v>0.89</v>
      </c>
      <c r="H35" s="1915">
        <f t="shared" ref="H35:W35" si="19">IF(ISERROR(IF($F$5=H8,$G$35,IF(H8&gt;$F$5,H24/H33,""))),0,IF($F$5=H8,$G$35,IF(H8&gt;$F$5,H24/H33,"")))</f>
        <v>0.89</v>
      </c>
      <c r="I35" s="1915">
        <f t="shared" si="19"/>
        <v>0.84127474863543417</v>
      </c>
      <c r="J35" s="1915">
        <f t="shared" si="19"/>
        <v>0.78474341416965065</v>
      </c>
      <c r="K35" s="1915">
        <f t="shared" si="19"/>
        <v>0.72189655593239055</v>
      </c>
      <c r="L35" s="1915">
        <f t="shared" si="19"/>
        <v>0.64378090006740341</v>
      </c>
      <c r="M35" s="1915">
        <f t="shared" si="19"/>
        <v>0.71087105070503698</v>
      </c>
      <c r="N35" s="1915">
        <f t="shared" si="19"/>
        <v>0.78463756629457515</v>
      </c>
      <c r="O35" s="1915">
        <f t="shared" si="19"/>
        <v>0.85226697023442177</v>
      </c>
      <c r="P35" s="1915">
        <f t="shared" si="19"/>
        <v>0.91242103900438853</v>
      </c>
      <c r="Q35" s="1915">
        <f t="shared" si="19"/>
        <v>0.95455110995899306</v>
      </c>
      <c r="R35" s="1915">
        <f t="shared" si="19"/>
        <v>0.97816913786479864</v>
      </c>
      <c r="S35" s="1915">
        <f t="shared" si="19"/>
        <v>0.99667438256425522</v>
      </c>
      <c r="T35" s="1915">
        <f t="shared" si="19"/>
        <v>1.0129340934399891</v>
      </c>
      <c r="U35" s="1915">
        <f t="shared" si="19"/>
        <v>1.0238564596799933</v>
      </c>
      <c r="V35" s="1915">
        <f t="shared" si="19"/>
        <v>1.0287555392957857</v>
      </c>
      <c r="W35" s="1915">
        <f t="shared" si="19"/>
        <v>1.0358621796142604</v>
      </c>
      <c r="X35" s="1916"/>
      <c r="AA35"/>
      <c r="AB35"/>
      <c r="AC35"/>
      <c r="AD35"/>
      <c r="AE35"/>
      <c r="AF35"/>
      <c r="AJ35" s="1917"/>
    </row>
    <row r="36" spans="1:36">
      <c r="H36" s="790"/>
      <c r="I36" s="790"/>
      <c r="J36" s="790"/>
      <c r="K36" s="790"/>
      <c r="L36" s="790"/>
      <c r="M36" s="790"/>
      <c r="N36" s="790"/>
      <c r="O36" s="790"/>
      <c r="P36" s="790"/>
      <c r="Q36" s="790"/>
      <c r="R36" s="790"/>
      <c r="S36" s="790"/>
      <c r="T36" s="790"/>
      <c r="U36" s="790"/>
      <c r="V36" s="790"/>
      <c r="W36" s="790"/>
    </row>
    <row r="37" spans="1:36">
      <c r="C37" s="1918" t="s">
        <v>280</v>
      </c>
      <c r="D37" s="1918"/>
      <c r="E37" s="1918"/>
      <c r="F37" s="1918"/>
      <c r="G37" s="1918"/>
      <c r="H37" s="780">
        <f t="shared" ref="H37:W37" si="20">(H24-H33)*(1-$G$56)</f>
        <v>-185.41740521869247</v>
      </c>
      <c r="I37" s="780">
        <f t="shared" si="20"/>
        <v>-263.85021310276716</v>
      </c>
      <c r="J37" s="780">
        <f t="shared" si="20"/>
        <v>-363.845261014161</v>
      </c>
      <c r="K37" s="780">
        <f t="shared" si="20"/>
        <v>-457.86730304645221</v>
      </c>
      <c r="L37" s="780">
        <f t="shared" si="20"/>
        <v>-566.84943556376334</v>
      </c>
      <c r="M37" s="780">
        <f t="shared" si="20"/>
        <v>-485.19778097249218</v>
      </c>
      <c r="N37" s="780">
        <f t="shared" si="20"/>
        <v>-349.8522984852857</v>
      </c>
      <c r="O37" s="780">
        <f t="shared" si="20"/>
        <v>-231.70713720009712</v>
      </c>
      <c r="P37" s="780">
        <f t="shared" si="20"/>
        <v>-138.96093050306672</v>
      </c>
      <c r="Q37" s="780">
        <f t="shared" si="20"/>
        <v>-73.555707651764578</v>
      </c>
      <c r="R37" s="780">
        <f t="shared" si="20"/>
        <v>-36.038288323105007</v>
      </c>
      <c r="S37" s="780">
        <f t="shared" si="20"/>
        <v>-5.5997124824782532</v>
      </c>
      <c r="T37" s="780">
        <f t="shared" si="20"/>
        <v>22.21414519334553</v>
      </c>
      <c r="U37" s="780">
        <f t="shared" si="20"/>
        <v>41.792637328715273</v>
      </c>
      <c r="V37" s="780">
        <f t="shared" si="20"/>
        <v>51.382528586502303</v>
      </c>
      <c r="W37" s="780">
        <f t="shared" si="20"/>
        <v>65.362824159015645</v>
      </c>
    </row>
    <row r="38" spans="1:36">
      <c r="C38" s="789" t="s">
        <v>281</v>
      </c>
      <c r="D38" s="1899"/>
      <c r="E38" s="1899"/>
      <c r="F38" s="1899"/>
      <c r="G38" s="1899"/>
      <c r="H38" s="769"/>
      <c r="I38" s="772">
        <f t="shared" ref="I38:W38" si="21">I11+I15</f>
        <v>236.97220064233989</v>
      </c>
      <c r="J38" s="772">
        <f t="shared" si="21"/>
        <v>235.91894738674785</v>
      </c>
      <c r="K38" s="772">
        <f t="shared" si="21"/>
        <v>257.48819739459503</v>
      </c>
      <c r="L38" s="772">
        <f t="shared" si="21"/>
        <v>257.07827391583231</v>
      </c>
      <c r="M38" s="772">
        <f t="shared" si="21"/>
        <v>264.9659773722417</v>
      </c>
      <c r="N38" s="772">
        <f t="shared" si="21"/>
        <v>282.749687698804</v>
      </c>
      <c r="O38" s="772">
        <f t="shared" si="21"/>
        <v>288.82556475042787</v>
      </c>
      <c r="P38" s="772">
        <f t="shared" si="21"/>
        <v>294.72680128559915</v>
      </c>
      <c r="Q38" s="772">
        <f t="shared" si="21"/>
        <v>300.62133731131115</v>
      </c>
      <c r="R38" s="772">
        <f t="shared" si="21"/>
        <v>306.63376405753741</v>
      </c>
      <c r="S38" s="772">
        <f t="shared" si="21"/>
        <v>312.76643933868814</v>
      </c>
      <c r="T38" s="772">
        <f t="shared" si="21"/>
        <v>319.0217681254619</v>
      </c>
      <c r="U38" s="772">
        <f t="shared" si="21"/>
        <v>325.40220348797118</v>
      </c>
      <c r="V38" s="772">
        <f t="shared" si="21"/>
        <v>331.9102475577306</v>
      </c>
      <c r="W38" s="772">
        <f t="shared" si="21"/>
        <v>338.54845250888519</v>
      </c>
    </row>
    <row r="39" spans="1:36">
      <c r="C39" s="805" t="s">
        <v>282</v>
      </c>
      <c r="D39" s="789"/>
      <c r="E39" s="789"/>
      <c r="F39" s="789"/>
      <c r="G39" s="789"/>
      <c r="H39" s="776"/>
      <c r="I39" s="776">
        <f t="shared" ref="I39:W39" si="22">I37-H37</f>
        <v>-78.432807884074691</v>
      </c>
      <c r="J39" s="776">
        <f t="shared" si="22"/>
        <v>-99.99504791139384</v>
      </c>
      <c r="K39" s="776">
        <f t="shared" si="22"/>
        <v>-94.02204203229121</v>
      </c>
      <c r="L39" s="776">
        <f t="shared" si="22"/>
        <v>-108.98213251731113</v>
      </c>
      <c r="M39" s="776">
        <f t="shared" si="22"/>
        <v>81.651654591271154</v>
      </c>
      <c r="N39" s="776">
        <f t="shared" si="22"/>
        <v>135.34548248720648</v>
      </c>
      <c r="O39" s="776">
        <f t="shared" si="22"/>
        <v>118.14516128518858</v>
      </c>
      <c r="P39" s="776">
        <f t="shared" si="22"/>
        <v>92.746206697030402</v>
      </c>
      <c r="Q39" s="776">
        <f t="shared" si="22"/>
        <v>65.405222851302142</v>
      </c>
      <c r="R39" s="776">
        <f t="shared" si="22"/>
        <v>37.517419328659571</v>
      </c>
      <c r="S39" s="776">
        <f t="shared" si="22"/>
        <v>30.438575840626754</v>
      </c>
      <c r="T39" s="776">
        <f t="shared" si="22"/>
        <v>27.813857675823783</v>
      </c>
      <c r="U39" s="776">
        <f t="shared" si="22"/>
        <v>19.578492135369743</v>
      </c>
      <c r="V39" s="776">
        <f t="shared" si="22"/>
        <v>9.5898912577870306</v>
      </c>
      <c r="W39" s="776">
        <f t="shared" si="22"/>
        <v>13.980295572513342</v>
      </c>
    </row>
    <row r="40" spans="1:36">
      <c r="Q40" s="790"/>
      <c r="R40" s="790"/>
      <c r="S40" s="790"/>
      <c r="T40" s="790"/>
      <c r="U40" s="790"/>
      <c r="V40" s="790"/>
      <c r="W40" s="790"/>
    </row>
    <row r="41" spans="1:36">
      <c r="Q41" s="791"/>
      <c r="R41" s="790"/>
      <c r="S41" s="790"/>
      <c r="T41" s="790"/>
      <c r="U41" s="790"/>
      <c r="V41" s="790"/>
      <c r="W41" s="790"/>
    </row>
    <row r="42" spans="1:36" s="763" customFormat="1" ht="14.25" customHeight="1">
      <c r="A42" s="775"/>
      <c r="B42" s="1904"/>
      <c r="C42" s="1919" t="s">
        <v>634</v>
      </c>
      <c r="D42" s="806"/>
      <c r="Q42" s="1908"/>
      <c r="R42" s="1908"/>
      <c r="S42" s="1908"/>
      <c r="T42" s="1908"/>
      <c r="U42" s="1908"/>
      <c r="V42" s="1908"/>
      <c r="W42" s="1908"/>
      <c r="AA42"/>
      <c r="AB42"/>
      <c r="AC42"/>
      <c r="AD42"/>
      <c r="AE42"/>
      <c r="AF42"/>
      <c r="AJ42" s="1871"/>
    </row>
    <row r="43" spans="1:36" s="1922" customFormat="1">
      <c r="A43" s="1920"/>
      <c r="B43" s="1921"/>
      <c r="C43" s="792"/>
      <c r="D43" s="792"/>
      <c r="Q43" s="792"/>
      <c r="R43" s="792"/>
      <c r="S43" s="792"/>
      <c r="T43" s="792"/>
      <c r="U43" s="792"/>
      <c r="V43" s="792"/>
      <c r="W43" s="792"/>
      <c r="AA43"/>
      <c r="AB43"/>
      <c r="AC43"/>
      <c r="AD43"/>
      <c r="AE43"/>
      <c r="AF43"/>
      <c r="AJ43" s="793"/>
    </row>
    <row r="44" spans="1:36" s="788" customFormat="1" ht="14.25" customHeight="1">
      <c r="A44" s="794"/>
      <c r="B44" s="794"/>
      <c r="C44" s="795" t="s">
        <v>283</v>
      </c>
      <c r="D44" s="796"/>
      <c r="E44" s="796"/>
      <c r="F44" s="796"/>
      <c r="G44" s="794"/>
      <c r="H44" s="797">
        <v>0.01</v>
      </c>
      <c r="I44" s="797">
        <v>0.01</v>
      </c>
      <c r="J44" s="797">
        <v>0.01</v>
      </c>
      <c r="K44" s="797">
        <v>0.01</v>
      </c>
      <c r="L44" s="797">
        <v>0.01</v>
      </c>
      <c r="M44" s="797">
        <v>0.01</v>
      </c>
      <c r="N44" s="797">
        <v>0.01</v>
      </c>
      <c r="O44" s="797">
        <v>0.01</v>
      </c>
      <c r="P44" s="797">
        <v>0.01</v>
      </c>
      <c r="Q44" s="797">
        <v>0.01</v>
      </c>
      <c r="R44" s="797">
        <v>0.01</v>
      </c>
      <c r="S44" s="797">
        <v>0.01</v>
      </c>
      <c r="T44" s="797">
        <v>0.01</v>
      </c>
      <c r="U44" s="797">
        <v>0.01</v>
      </c>
      <c r="V44" s="797">
        <v>0.01</v>
      </c>
      <c r="W44" s="797">
        <v>0.01</v>
      </c>
      <c r="AA44"/>
      <c r="AB44"/>
      <c r="AC44"/>
      <c r="AD44"/>
      <c r="AE44"/>
      <c r="AF44"/>
      <c r="AJ44" s="1889" t="s">
        <v>284</v>
      </c>
    </row>
    <row r="45" spans="1:36" s="788" customFormat="1" ht="15" customHeight="1">
      <c r="A45" s="794"/>
      <c r="B45" s="794"/>
      <c r="C45" s="795" t="s">
        <v>285</v>
      </c>
      <c r="D45" s="796"/>
      <c r="E45" s="796"/>
      <c r="F45" s="796"/>
      <c r="G45" s="794"/>
      <c r="H45" s="1923"/>
      <c r="I45" s="797">
        <v>0.01</v>
      </c>
      <c r="J45" s="797">
        <v>0.01</v>
      </c>
      <c r="K45" s="797">
        <v>0.01</v>
      </c>
      <c r="L45" s="797">
        <v>0.01</v>
      </c>
      <c r="M45" s="797">
        <v>0.01</v>
      </c>
      <c r="N45" s="797">
        <v>0.01</v>
      </c>
      <c r="O45" s="797">
        <v>0.01</v>
      </c>
      <c r="P45" s="797">
        <v>0.01</v>
      </c>
      <c r="Q45" s="797">
        <v>0.01</v>
      </c>
      <c r="R45" s="797">
        <v>0.01</v>
      </c>
      <c r="S45" s="797">
        <v>0.01</v>
      </c>
      <c r="T45" s="797">
        <v>0.01</v>
      </c>
      <c r="U45" s="797">
        <v>0.01</v>
      </c>
      <c r="V45" s="797">
        <v>0.01</v>
      </c>
      <c r="W45" s="797">
        <v>0.01</v>
      </c>
      <c r="AA45"/>
      <c r="AB45"/>
      <c r="AC45"/>
      <c r="AD45"/>
      <c r="AE45"/>
      <c r="AF45"/>
      <c r="AJ45" s="1889" t="s">
        <v>286</v>
      </c>
    </row>
    <row r="46" spans="1:36">
      <c r="C46" s="798"/>
      <c r="I46" s="1924"/>
      <c r="J46" s="1924"/>
      <c r="K46" s="1924"/>
      <c r="L46" s="1924"/>
      <c r="M46" s="1924"/>
      <c r="N46" s="1924"/>
      <c r="O46" s="1924"/>
      <c r="P46" s="1924"/>
      <c r="Q46" s="799"/>
      <c r="R46" s="757"/>
      <c r="T46" s="762"/>
      <c r="U46" s="762"/>
      <c r="V46" s="762"/>
      <c r="W46" s="762"/>
    </row>
    <row r="47" spans="1:36">
      <c r="C47" s="756" t="s">
        <v>287</v>
      </c>
      <c r="D47" s="806"/>
      <c r="E47" s="806"/>
      <c r="F47" s="806"/>
      <c r="G47" s="806"/>
      <c r="H47" s="1925">
        <v>10</v>
      </c>
      <c r="I47" s="1925">
        <v>10</v>
      </c>
      <c r="J47" s="1925">
        <v>10</v>
      </c>
      <c r="K47" s="1925">
        <v>10</v>
      </c>
      <c r="L47" s="1925">
        <v>10</v>
      </c>
      <c r="M47" s="1925">
        <v>10</v>
      </c>
      <c r="N47" s="1925">
        <v>10</v>
      </c>
      <c r="O47" s="1925">
        <v>10</v>
      </c>
      <c r="P47" s="1925">
        <v>10</v>
      </c>
      <c r="Q47" s="800">
        <f t="shared" ref="Q47:W47" si="23">P47*(1+Q48)</f>
        <v>10.1</v>
      </c>
      <c r="R47" s="800">
        <f t="shared" si="23"/>
        <v>10.201000000000001</v>
      </c>
      <c r="S47" s="800">
        <f t="shared" si="23"/>
        <v>10.30301</v>
      </c>
      <c r="T47" s="800">
        <f t="shared" si="23"/>
        <v>10.4060401</v>
      </c>
      <c r="U47" s="800">
        <f t="shared" si="23"/>
        <v>10.510100501</v>
      </c>
      <c r="V47" s="800">
        <f t="shared" si="23"/>
        <v>10.615201506010001</v>
      </c>
      <c r="W47" s="800">
        <f t="shared" si="23"/>
        <v>10.721353521070101</v>
      </c>
    </row>
    <row r="48" spans="1:36">
      <c r="B48" s="1904"/>
      <c r="C48" s="763" t="s">
        <v>288</v>
      </c>
      <c r="H48" s="1926"/>
      <c r="I48" s="1926">
        <f t="shared" ref="I48:P48" si="24">I47/H47-1</f>
        <v>0</v>
      </c>
      <c r="J48" s="1926">
        <f t="shared" si="24"/>
        <v>0</v>
      </c>
      <c r="K48" s="1926">
        <f t="shared" si="24"/>
        <v>0</v>
      </c>
      <c r="L48" s="1926">
        <f t="shared" si="24"/>
        <v>0</v>
      </c>
      <c r="M48" s="1926">
        <f t="shared" si="24"/>
        <v>0</v>
      </c>
      <c r="N48" s="1926">
        <f t="shared" si="24"/>
        <v>0</v>
      </c>
      <c r="O48" s="1926">
        <f t="shared" si="24"/>
        <v>0</v>
      </c>
      <c r="P48" s="1926">
        <f t="shared" si="24"/>
        <v>0</v>
      </c>
      <c r="Q48" s="1927">
        <v>0.01</v>
      </c>
      <c r="R48" s="1927">
        <v>0.01</v>
      </c>
      <c r="S48" s="1927">
        <v>0.01</v>
      </c>
      <c r="T48" s="1927">
        <v>0.01</v>
      </c>
      <c r="U48" s="1927">
        <v>0.01</v>
      </c>
      <c r="V48" s="1927">
        <v>0.01</v>
      </c>
      <c r="W48" s="1927">
        <v>0.01</v>
      </c>
    </row>
    <row r="49" spans="1:36">
      <c r="B49" s="1904"/>
      <c r="C49" s="763" t="s">
        <v>289</v>
      </c>
      <c r="H49" s="801"/>
      <c r="I49" s="802"/>
      <c r="J49" s="801"/>
      <c r="K49" s="801"/>
      <c r="L49" s="801"/>
      <c r="M49" s="801"/>
      <c r="N49" s="1928"/>
      <c r="O49" s="1928"/>
      <c r="P49" s="1928"/>
      <c r="Q49" s="1928"/>
      <c r="R49" s="1928"/>
      <c r="S49" s="1928"/>
      <c r="T49" s="1928"/>
      <c r="U49" s="1928"/>
      <c r="V49" s="1928"/>
      <c r="W49" s="1928"/>
    </row>
    <row r="50" spans="1:36">
      <c r="B50" s="1904"/>
      <c r="H50" s="801"/>
      <c r="I50" s="802"/>
      <c r="J50" s="801"/>
      <c r="K50" s="801"/>
      <c r="L50" s="801"/>
      <c r="M50" s="801"/>
      <c r="N50" s="1928"/>
      <c r="O50" s="1928"/>
      <c r="P50" s="1928"/>
      <c r="Q50" s="1928"/>
      <c r="R50" s="1928"/>
      <c r="S50" s="1928"/>
      <c r="T50" s="1928"/>
      <c r="U50" s="1928"/>
      <c r="V50" s="1928"/>
      <c r="W50" s="1928"/>
    </row>
    <row r="51" spans="1:36">
      <c r="B51" s="1904"/>
      <c r="C51" s="763" t="s">
        <v>290</v>
      </c>
      <c r="H51" s="1929"/>
      <c r="I51" s="1929">
        <f t="shared" ref="I51:W51" si="25">IF(ISERROR(I54/I47),0,I54/I47)</f>
        <v>21.36671610506275</v>
      </c>
      <c r="J51" s="1929">
        <f t="shared" si="25"/>
        <v>26.389752620154479</v>
      </c>
      <c r="K51" s="1929">
        <f t="shared" si="25"/>
        <v>21.359394660202582</v>
      </c>
      <c r="L51" s="1929">
        <f t="shared" si="25"/>
        <v>20.198054527086661</v>
      </c>
      <c r="M51" s="1929">
        <f t="shared" si="25"/>
        <v>35.180792827489697</v>
      </c>
      <c r="N51" s="1929">
        <f t="shared" si="25"/>
        <v>22.909494471601342</v>
      </c>
      <c r="O51" s="1929">
        <f t="shared" si="25"/>
        <v>23.276198253641819</v>
      </c>
      <c r="P51" s="1929">
        <f t="shared" si="25"/>
        <v>31.30019112332949</v>
      </c>
      <c r="Q51" s="1929">
        <f t="shared" si="25"/>
        <v>32.906455318257514</v>
      </c>
      <c r="R51" s="1929">
        <f t="shared" si="25"/>
        <v>33.232261806557091</v>
      </c>
      <c r="S51" s="1929">
        <f t="shared" si="25"/>
        <v>33.561294101671514</v>
      </c>
      <c r="T51" s="1929">
        <f t="shared" si="25"/>
        <v>33.89358414228213</v>
      </c>
      <c r="U51" s="1929">
        <f t="shared" si="25"/>
        <v>34.229164183294827</v>
      </c>
      <c r="V51" s="1929">
        <f t="shared" si="25"/>
        <v>34.568066798971003</v>
      </c>
      <c r="W51" s="1929">
        <f t="shared" si="25"/>
        <v>34.910324886089533</v>
      </c>
    </row>
    <row r="52" spans="1:36">
      <c r="B52" s="1904"/>
      <c r="C52" s="763" t="s">
        <v>291</v>
      </c>
      <c r="H52" s="1926"/>
      <c r="I52" s="1930"/>
      <c r="J52" s="1930">
        <f t="shared" ref="J52:W52" si="26">IF(ISERROR(J51/I51-1),0,J51/I51-1)</f>
        <v>0.23508696846033073</v>
      </c>
      <c r="K52" s="1930">
        <f t="shared" si="26"/>
        <v>-0.19061785202602066</v>
      </c>
      <c r="L52" s="1930">
        <f t="shared" si="26"/>
        <v>-5.4371397298059287E-2</v>
      </c>
      <c r="M52" s="1930">
        <f t="shared" si="26"/>
        <v>0.7417911601491316</v>
      </c>
      <c r="N52" s="1930">
        <f t="shared" si="26"/>
        <v>-0.34880675987210163</v>
      </c>
      <c r="O52" s="1930">
        <f t="shared" si="26"/>
        <v>1.6006629150854712E-2</v>
      </c>
      <c r="P52" s="1930">
        <f t="shared" si="26"/>
        <v>0.34472952937803014</v>
      </c>
      <c r="Q52" s="1930">
        <f t="shared" si="26"/>
        <v>5.1318031528913011E-2</v>
      </c>
      <c r="R52" s="1930">
        <f t="shared" si="26"/>
        <v>9.9009900990099098E-3</v>
      </c>
      <c r="S52" s="1930">
        <f t="shared" si="26"/>
        <v>9.9009900990099098E-3</v>
      </c>
      <c r="T52" s="1930">
        <f t="shared" si="26"/>
        <v>9.9009900990101318E-3</v>
      </c>
      <c r="U52" s="1930">
        <f t="shared" si="26"/>
        <v>9.9009900990099098E-3</v>
      </c>
      <c r="V52" s="1930">
        <f t="shared" si="26"/>
        <v>9.9009900990096877E-3</v>
      </c>
      <c r="W52" s="1930">
        <f t="shared" si="26"/>
        <v>9.9009900990101318E-3</v>
      </c>
    </row>
    <row r="53" spans="1:36">
      <c r="B53" s="1904"/>
      <c r="H53" s="1926"/>
      <c r="I53" s="1926"/>
      <c r="J53" s="1926"/>
      <c r="K53" s="1926"/>
      <c r="L53" s="1926"/>
      <c r="M53" s="1926"/>
      <c r="N53" s="1926"/>
      <c r="O53" s="1926"/>
      <c r="P53" s="1926"/>
      <c r="Q53" s="1926"/>
      <c r="R53" s="1926"/>
      <c r="S53" s="1926"/>
      <c r="T53" s="1926"/>
      <c r="U53" s="1926"/>
      <c r="V53" s="1926"/>
      <c r="W53" s="1926"/>
    </row>
    <row r="54" spans="1:36">
      <c r="B54" s="1904"/>
      <c r="C54" s="763" t="s">
        <v>292</v>
      </c>
      <c r="H54" s="1931"/>
      <c r="I54" s="1931">
        <f t="shared" ref="I54:W54" si="27">IF(ISERROR(I143),0,I143)</f>
        <v>213.6671610506275</v>
      </c>
      <c r="J54" s="1931">
        <f t="shared" si="27"/>
        <v>263.89752620154479</v>
      </c>
      <c r="K54" s="1931">
        <f t="shared" si="27"/>
        <v>213.59394660202582</v>
      </c>
      <c r="L54" s="1931">
        <f t="shared" si="27"/>
        <v>201.9805452708666</v>
      </c>
      <c r="M54" s="1931">
        <f t="shared" si="27"/>
        <v>351.80792827489694</v>
      </c>
      <c r="N54" s="1931">
        <f t="shared" si="27"/>
        <v>229.0949447160134</v>
      </c>
      <c r="O54" s="1931">
        <f t="shared" si="27"/>
        <v>232.7619825364182</v>
      </c>
      <c r="P54" s="1931">
        <f t="shared" si="27"/>
        <v>313.00191123329489</v>
      </c>
      <c r="Q54" s="1931">
        <f t="shared" si="27"/>
        <v>332.3551987144009</v>
      </c>
      <c r="R54" s="1931">
        <f t="shared" si="27"/>
        <v>339.00230268868893</v>
      </c>
      <c r="S54" s="1931">
        <f t="shared" si="27"/>
        <v>345.78234874246266</v>
      </c>
      <c r="T54" s="1931">
        <f t="shared" si="27"/>
        <v>352.69799571731198</v>
      </c>
      <c r="U54" s="1931">
        <f t="shared" si="27"/>
        <v>359.75195563165823</v>
      </c>
      <c r="V54" s="1931">
        <f t="shared" si="27"/>
        <v>366.94699474429132</v>
      </c>
      <c r="W54" s="1931">
        <f t="shared" si="27"/>
        <v>374.28593463917719</v>
      </c>
    </row>
    <row r="55" spans="1:36">
      <c r="B55" s="1904"/>
      <c r="H55" s="754"/>
      <c r="I55" s="1932"/>
      <c r="J55" s="1930">
        <f t="shared" ref="J55:W55" si="28">IF(ISERROR(J54/I54-1),0,J54/I54-1)</f>
        <v>0.23508696846033073</v>
      </c>
      <c r="K55" s="1930">
        <f t="shared" si="28"/>
        <v>-0.19061785202602066</v>
      </c>
      <c r="L55" s="1930">
        <f t="shared" si="28"/>
        <v>-5.4371397298059398E-2</v>
      </c>
      <c r="M55" s="1930">
        <f t="shared" si="28"/>
        <v>0.7417911601491316</v>
      </c>
      <c r="N55" s="1930">
        <f t="shared" si="28"/>
        <v>-0.34880675987210163</v>
      </c>
      <c r="O55" s="1930">
        <f t="shared" si="28"/>
        <v>1.6006629150854712E-2</v>
      </c>
      <c r="P55" s="1930">
        <f t="shared" si="28"/>
        <v>0.34472952937802992</v>
      </c>
      <c r="Q55" s="1930">
        <f t="shared" si="28"/>
        <v>6.183121184420215E-2</v>
      </c>
      <c r="R55" s="1930">
        <f t="shared" si="28"/>
        <v>2.0000000000000018E-2</v>
      </c>
      <c r="S55" s="1930">
        <f t="shared" si="28"/>
        <v>1.9999999999999796E-2</v>
      </c>
      <c r="T55" s="1930">
        <f t="shared" si="28"/>
        <v>2.000000000000024E-2</v>
      </c>
      <c r="U55" s="1930">
        <f t="shared" si="28"/>
        <v>2.0000000000000018E-2</v>
      </c>
      <c r="V55" s="1930">
        <f t="shared" si="28"/>
        <v>1.9999999999999796E-2</v>
      </c>
      <c r="W55" s="1930">
        <f t="shared" si="28"/>
        <v>2.0000000000000018E-2</v>
      </c>
    </row>
    <row r="56" spans="1:36" ht="12" customHeight="1">
      <c r="B56" s="1904"/>
      <c r="C56" s="756" t="s">
        <v>293</v>
      </c>
      <c r="D56" s="779"/>
      <c r="E56" s="779"/>
      <c r="F56" s="779"/>
      <c r="G56" s="1933">
        <f>_xll.ThomsonONEAddinShim.SpreadsheetFormulas.TF(SedolTicker,"ZAV(TF.FN.TaxRate(period=FY0))")/100</f>
        <v>0</v>
      </c>
      <c r="I56" s="1934"/>
      <c r="J56" s="1932"/>
      <c r="K56" s="1932"/>
      <c r="L56" s="1932"/>
      <c r="M56" s="1932"/>
      <c r="N56" s="1932"/>
      <c r="O56" s="1932"/>
      <c r="P56" s="1932"/>
      <c r="Q56" s="1932"/>
      <c r="R56" s="1932"/>
      <c r="S56" s="1932"/>
      <c r="T56" s="1932"/>
      <c r="U56" s="1932"/>
      <c r="V56" s="1932"/>
      <c r="W56" s="1932"/>
    </row>
    <row r="57" spans="1:36">
      <c r="B57" s="1904"/>
      <c r="D57" s="806"/>
      <c r="E57" s="806"/>
      <c r="F57" s="806"/>
      <c r="G57" s="806"/>
      <c r="H57" s="1932"/>
      <c r="I57" s="1932"/>
      <c r="J57" s="1935"/>
      <c r="K57" s="1935"/>
      <c r="L57" s="1935"/>
      <c r="M57" s="1935"/>
      <c r="N57" s="1935"/>
      <c r="O57" s="1935"/>
      <c r="P57" s="1935"/>
      <c r="Q57" s="1935"/>
      <c r="R57" s="1935"/>
      <c r="S57" s="1935"/>
      <c r="T57" s="1935"/>
      <c r="U57" s="1935"/>
      <c r="V57" s="1935"/>
      <c r="W57" s="1935"/>
    </row>
    <row r="58" spans="1:36">
      <c r="B58" s="1904"/>
      <c r="C58" s="763" t="s">
        <v>294</v>
      </c>
      <c r="D58" s="806"/>
      <c r="E58" s="806"/>
      <c r="F58" s="806"/>
      <c r="G58" s="806"/>
      <c r="H58" s="1932"/>
      <c r="I58" s="1932"/>
      <c r="J58" s="1936">
        <v>0.8</v>
      </c>
      <c r="K58" s="1936">
        <v>0.8</v>
      </c>
      <c r="L58" s="1936">
        <v>0.8</v>
      </c>
      <c r="M58" s="1936">
        <v>0.8</v>
      </c>
      <c r="N58" s="1936">
        <v>0.8</v>
      </c>
      <c r="O58" s="1936">
        <v>0.8</v>
      </c>
      <c r="P58" s="1936">
        <v>0.8</v>
      </c>
      <c r="Q58" s="1936">
        <v>0.8</v>
      </c>
      <c r="R58" s="1936">
        <v>0.8</v>
      </c>
      <c r="S58" s="1936">
        <v>0.8</v>
      </c>
      <c r="T58" s="1936">
        <v>0.8</v>
      </c>
      <c r="U58" s="1936">
        <v>0.8</v>
      </c>
      <c r="V58" s="1936">
        <v>0.8</v>
      </c>
      <c r="W58" s="1936">
        <v>0.8</v>
      </c>
    </row>
    <row r="59" spans="1:36" s="783" customFormat="1">
      <c r="A59" s="781"/>
      <c r="B59" s="1937"/>
      <c r="C59" s="756" t="s">
        <v>297</v>
      </c>
      <c r="D59" s="779"/>
      <c r="E59" s="779"/>
      <c r="F59" s="779"/>
      <c r="G59" s="779"/>
      <c r="H59" s="1938"/>
      <c r="I59" s="1939"/>
      <c r="J59" s="769">
        <f t="shared" ref="J59:W59" si="29">J54*J58</f>
        <v>211.11802096123586</v>
      </c>
      <c r="K59" s="769">
        <f t="shared" si="29"/>
        <v>170.87515728162066</v>
      </c>
      <c r="L59" s="769">
        <f t="shared" si="29"/>
        <v>161.58443621669329</v>
      </c>
      <c r="M59" s="769">
        <f t="shared" si="29"/>
        <v>281.44634261991757</v>
      </c>
      <c r="N59" s="769">
        <f t="shared" si="29"/>
        <v>183.27595577281073</v>
      </c>
      <c r="O59" s="769">
        <f t="shared" si="29"/>
        <v>186.20958602913458</v>
      </c>
      <c r="P59" s="769">
        <f t="shared" si="29"/>
        <v>250.40152898663592</v>
      </c>
      <c r="Q59" s="769">
        <f t="shared" si="29"/>
        <v>265.88415897152072</v>
      </c>
      <c r="R59" s="769">
        <f t="shared" si="29"/>
        <v>271.20184215095117</v>
      </c>
      <c r="S59" s="769">
        <f t="shared" si="29"/>
        <v>276.62587899397016</v>
      </c>
      <c r="T59" s="769">
        <f t="shared" si="29"/>
        <v>282.15839657384959</v>
      </c>
      <c r="U59" s="769">
        <f t="shared" si="29"/>
        <v>287.80156450532661</v>
      </c>
      <c r="V59" s="769">
        <f t="shared" si="29"/>
        <v>293.55759579543309</v>
      </c>
      <c r="W59" s="769">
        <f t="shared" si="29"/>
        <v>299.42874771134177</v>
      </c>
      <c r="X59" s="808"/>
      <c r="Y59" s="808"/>
      <c r="Z59" s="808"/>
      <c r="AA59"/>
      <c r="AB59"/>
      <c r="AC59"/>
      <c r="AD59"/>
      <c r="AE59"/>
      <c r="AF59"/>
      <c r="AJ59" s="784"/>
    </row>
    <row r="60" spans="1:36" s="783" customFormat="1">
      <c r="A60" s="781"/>
      <c r="B60" s="1937"/>
      <c r="C60" s="756" t="s">
        <v>298</v>
      </c>
      <c r="D60" s="779"/>
      <c r="E60" s="779"/>
      <c r="F60" s="779"/>
      <c r="G60" s="779"/>
      <c r="H60" s="1938"/>
      <c r="I60" s="1939"/>
      <c r="J60" s="1931">
        <f t="shared" ref="J60:W60" si="30">J54-J59</f>
        <v>52.779505240308936</v>
      </c>
      <c r="K60" s="1931">
        <f t="shared" si="30"/>
        <v>42.718789320405165</v>
      </c>
      <c r="L60" s="1931">
        <f t="shared" si="30"/>
        <v>40.396109054173309</v>
      </c>
      <c r="M60" s="1931">
        <f t="shared" si="30"/>
        <v>70.361585654979365</v>
      </c>
      <c r="N60" s="1931">
        <f t="shared" si="30"/>
        <v>45.818988943202669</v>
      </c>
      <c r="O60" s="1931">
        <f t="shared" si="30"/>
        <v>46.552396507283618</v>
      </c>
      <c r="P60" s="1931">
        <f t="shared" si="30"/>
        <v>62.600382246658967</v>
      </c>
      <c r="Q60" s="1931">
        <f t="shared" si="30"/>
        <v>66.47103974288018</v>
      </c>
      <c r="R60" s="1931">
        <f t="shared" si="30"/>
        <v>67.800460537737763</v>
      </c>
      <c r="S60" s="1931">
        <f t="shared" si="30"/>
        <v>69.156469748492498</v>
      </c>
      <c r="T60" s="1931">
        <f t="shared" si="30"/>
        <v>70.539599143462397</v>
      </c>
      <c r="U60" s="1931">
        <f t="shared" si="30"/>
        <v>71.950391126331624</v>
      </c>
      <c r="V60" s="1931">
        <f t="shared" si="30"/>
        <v>73.389398948858229</v>
      </c>
      <c r="W60" s="1931">
        <f t="shared" si="30"/>
        <v>74.857186927835414</v>
      </c>
      <c r="X60" s="779"/>
      <c r="Y60" s="779"/>
      <c r="Z60" s="779"/>
      <c r="AA60"/>
      <c r="AB60"/>
      <c r="AC60"/>
      <c r="AD60"/>
      <c r="AE60"/>
      <c r="AF60"/>
      <c r="AJ60" s="784"/>
    </row>
    <row r="61" spans="1:36">
      <c r="B61" s="1904"/>
      <c r="D61" s="806"/>
      <c r="E61" s="806"/>
      <c r="F61" s="806"/>
      <c r="G61" s="806"/>
      <c r="H61" s="1938"/>
      <c r="I61" s="1932"/>
      <c r="J61" s="1932"/>
      <c r="K61" s="1932"/>
      <c r="L61" s="1932"/>
      <c r="M61" s="1932"/>
      <c r="N61" s="1932"/>
      <c r="O61" s="1932"/>
      <c r="P61" s="1932"/>
      <c r="Q61" s="1932"/>
      <c r="R61" s="1932"/>
      <c r="S61" s="1932"/>
      <c r="T61" s="1932"/>
      <c r="U61" s="1932"/>
      <c r="V61" s="1932"/>
      <c r="W61" s="1932"/>
    </row>
    <row r="62" spans="1:36">
      <c r="B62" s="1904"/>
      <c r="H62" s="804"/>
      <c r="I62" s="804"/>
      <c r="J62" s="804"/>
      <c r="K62" s="804"/>
      <c r="L62" s="804"/>
      <c r="M62" s="804"/>
      <c r="N62" s="1940"/>
      <c r="O62" s="1940"/>
      <c r="P62" s="1940"/>
      <c r="Q62" s="1941"/>
      <c r="R62" s="1941"/>
      <c r="S62" s="1941"/>
      <c r="T62" s="1941"/>
      <c r="U62" s="1941"/>
      <c r="V62" s="1941"/>
      <c r="W62" s="1941"/>
    </row>
    <row r="63" spans="1:36">
      <c r="B63" s="1904"/>
      <c r="C63" s="763" t="s">
        <v>299</v>
      </c>
      <c r="H63" s="1931">
        <f t="shared" ref="H63:P63" si="31">IF(ISERROR(H76),0,H76)</f>
        <v>228</v>
      </c>
      <c r="I63" s="1931">
        <f t="shared" si="31"/>
        <v>255.965</v>
      </c>
      <c r="J63" s="1931">
        <f t="shared" si="31"/>
        <v>255.18100000000001</v>
      </c>
      <c r="K63" s="1931">
        <f t="shared" si="31"/>
        <v>276.52699999999999</v>
      </c>
      <c r="L63" s="1931">
        <f t="shared" si="31"/>
        <v>275.56200000000001</v>
      </c>
      <c r="M63" s="1931">
        <f t="shared" si="31"/>
        <v>284.39699999999999</v>
      </c>
      <c r="N63" s="1931">
        <f t="shared" si="31"/>
        <v>301.822</v>
      </c>
      <c r="O63" s="1931">
        <f t="shared" si="31"/>
        <v>307.39800000000002</v>
      </c>
      <c r="P63" s="1931">
        <f t="shared" si="31"/>
        <v>313.541</v>
      </c>
      <c r="Q63" s="1931">
        <f t="shared" ref="Q63:W63" si="32">P63*(1+Q64)</f>
        <v>319.81182000000001</v>
      </c>
      <c r="R63" s="1931">
        <f t="shared" si="32"/>
        <v>326.20805640000003</v>
      </c>
      <c r="S63" s="1931">
        <f t="shared" si="32"/>
        <v>332.73221752800004</v>
      </c>
      <c r="T63" s="1931">
        <f t="shared" si="32"/>
        <v>339.38686187856007</v>
      </c>
      <c r="U63" s="1931">
        <f t="shared" si="32"/>
        <v>346.17459911613128</v>
      </c>
      <c r="V63" s="1931">
        <f t="shared" si="32"/>
        <v>353.09809109845389</v>
      </c>
      <c r="W63" s="1931">
        <f t="shared" si="32"/>
        <v>360.16005292042297</v>
      </c>
    </row>
    <row r="64" spans="1:36">
      <c r="B64" s="1904"/>
      <c r="C64" s="805" t="s">
        <v>300</v>
      </c>
      <c r="D64" s="805"/>
      <c r="E64" s="805"/>
      <c r="F64" s="805"/>
      <c r="G64" s="805"/>
      <c r="H64" s="1932"/>
      <c r="I64" s="1930">
        <f t="shared" ref="I64:P64" si="33">IF(ISERROR(I63/H63-1),0,I63/H63-1)</f>
        <v>0.12265350877192982</v>
      </c>
      <c r="J64" s="1930">
        <f t="shared" si="33"/>
        <v>-3.0629187584240158E-3</v>
      </c>
      <c r="K64" s="1930">
        <f t="shared" si="33"/>
        <v>8.3650428519364661E-2</v>
      </c>
      <c r="L64" s="1930">
        <f t="shared" si="33"/>
        <v>-3.489713481866108E-3</v>
      </c>
      <c r="M64" s="1930">
        <f t="shared" si="33"/>
        <v>3.2061750168745906E-2</v>
      </c>
      <c r="N64" s="1930">
        <f t="shared" si="33"/>
        <v>6.1269985267073945E-2</v>
      </c>
      <c r="O64" s="1930">
        <f t="shared" si="33"/>
        <v>1.8474465082068292E-2</v>
      </c>
      <c r="P64" s="1930">
        <f t="shared" si="33"/>
        <v>1.9983864566457621E-2</v>
      </c>
      <c r="Q64" s="1927">
        <v>0.02</v>
      </c>
      <c r="R64" s="1927">
        <v>0.02</v>
      </c>
      <c r="S64" s="1927">
        <v>0.02</v>
      </c>
      <c r="T64" s="1927">
        <v>0.02</v>
      </c>
      <c r="U64" s="1927">
        <v>0.02</v>
      </c>
      <c r="V64" s="1927">
        <v>0.02</v>
      </c>
      <c r="W64" s="1927">
        <v>0.02</v>
      </c>
      <c r="X64" s="1942"/>
      <c r="Y64" s="1942"/>
      <c r="Z64" s="1942"/>
    </row>
    <row r="65" spans="1:36">
      <c r="B65" s="1904"/>
      <c r="H65" s="1943"/>
      <c r="I65" s="1943"/>
      <c r="J65" s="1943"/>
      <c r="K65" s="1943"/>
      <c r="L65" s="1943"/>
      <c r="M65" s="1943"/>
      <c r="N65" s="1943"/>
      <c r="O65" s="1943"/>
      <c r="P65" s="1943"/>
      <c r="Q65" s="1943"/>
      <c r="R65" s="1943"/>
      <c r="S65" s="1943"/>
      <c r="T65" s="1943"/>
      <c r="U65" s="1943"/>
      <c r="V65" s="1943"/>
      <c r="W65" s="1943"/>
    </row>
    <row r="66" spans="1:36">
      <c r="B66" s="1904"/>
      <c r="C66" s="806" t="s">
        <v>301</v>
      </c>
      <c r="H66" s="807">
        <f t="shared" ref="H66:W66" si="34">IF(ISERROR(H$68+SUM(H77:H81)),0,H$68+SUM(H77:H81))</f>
        <v>1770</v>
      </c>
      <c r="I66" s="807">
        <f t="shared" si="34"/>
        <v>1744.5070000000001</v>
      </c>
      <c r="J66" s="807">
        <f t="shared" si="34"/>
        <v>1773.24</v>
      </c>
      <c r="K66" s="807">
        <f t="shared" si="34"/>
        <v>1724.0710000000001</v>
      </c>
      <c r="L66" s="807">
        <f t="shared" si="34"/>
        <v>1664.9569999999999</v>
      </c>
      <c r="M66" s="807">
        <f t="shared" si="34"/>
        <v>1755.5619999999999</v>
      </c>
      <c r="N66" s="807">
        <f t="shared" si="34"/>
        <v>1697.328</v>
      </c>
      <c r="O66" s="807">
        <f t="shared" si="34"/>
        <v>1637.3789999999999</v>
      </c>
      <c r="P66" s="807">
        <f t="shared" si="34"/>
        <v>1655.741</v>
      </c>
      <c r="Q66" s="807">
        <f t="shared" si="34"/>
        <v>1688.85582</v>
      </c>
      <c r="R66" s="807">
        <f t="shared" si="34"/>
        <v>1722.6329364000001</v>
      </c>
      <c r="S66" s="807">
        <f t="shared" si="34"/>
        <v>1757.085595128</v>
      </c>
      <c r="T66" s="807">
        <f t="shared" si="34"/>
        <v>1792.22730703056</v>
      </c>
      <c r="U66" s="807">
        <f t="shared" si="34"/>
        <v>1828.0718531711714</v>
      </c>
      <c r="V66" s="807">
        <f t="shared" si="34"/>
        <v>1864.6332902345946</v>
      </c>
      <c r="W66" s="807">
        <f t="shared" si="34"/>
        <v>1901.9259560392868</v>
      </c>
    </row>
    <row r="67" spans="1:36">
      <c r="C67" s="1944" t="s">
        <v>302</v>
      </c>
      <c r="D67" s="1944"/>
      <c r="E67" s="1944"/>
      <c r="F67" s="1944"/>
      <c r="G67" s="1944"/>
      <c r="H67" s="1945"/>
      <c r="I67" s="1930">
        <f t="shared" ref="I67:W67" si="35">IF(ISERROR(I66/H66-1),0,I66/H66-1)</f>
        <v>-1.4402824858756991E-2</v>
      </c>
      <c r="J67" s="1930">
        <f t="shared" si="35"/>
        <v>1.647055586478019E-2</v>
      </c>
      <c r="K67" s="1930">
        <f t="shared" si="35"/>
        <v>-2.7728339085515752E-2</v>
      </c>
      <c r="L67" s="1930">
        <f t="shared" si="35"/>
        <v>-3.4287451038849448E-2</v>
      </c>
      <c r="M67" s="1930">
        <f t="shared" si="35"/>
        <v>5.4418822828457447E-2</v>
      </c>
      <c r="N67" s="1930">
        <f t="shared" si="35"/>
        <v>-3.3171144055293977E-2</v>
      </c>
      <c r="O67" s="1930">
        <f t="shared" si="35"/>
        <v>-3.5319631797743334E-2</v>
      </c>
      <c r="P67" s="1930">
        <f t="shared" si="35"/>
        <v>1.1214263771551991E-2</v>
      </c>
      <c r="Q67" s="1930">
        <f t="shared" si="35"/>
        <v>2.0000000000000018E-2</v>
      </c>
      <c r="R67" s="1930">
        <f t="shared" si="35"/>
        <v>2.0000000000000018E-2</v>
      </c>
      <c r="S67" s="1930">
        <f t="shared" si="35"/>
        <v>2.0000000000000018E-2</v>
      </c>
      <c r="T67" s="1930">
        <f t="shared" si="35"/>
        <v>2.0000000000000018E-2</v>
      </c>
      <c r="U67" s="1930">
        <f t="shared" si="35"/>
        <v>2.0000000000000018E-2</v>
      </c>
      <c r="V67" s="1930">
        <f t="shared" si="35"/>
        <v>1.9999999999999796E-2</v>
      </c>
      <c r="W67" s="1930">
        <f t="shared" si="35"/>
        <v>2.000000000000024E-2</v>
      </c>
    </row>
    <row r="68" spans="1:36" s="758" customFormat="1" ht="12.75" customHeight="1">
      <c r="A68" s="755"/>
      <c r="B68" s="1872"/>
      <c r="C68" s="756" t="s">
        <v>303</v>
      </c>
      <c r="D68" s="756"/>
      <c r="E68" s="756"/>
      <c r="F68" s="756"/>
      <c r="G68" s="756"/>
      <c r="H68" s="1946">
        <f>_xll.ThomsonONEAddinShim.SpreadsheetFormulas.TF(SedolTicker,"ZAV(TF.FN.LeaseCommitmentsOver5Yrs(period=FY0,sdate=FY-8,edate=FY0,,curn=#1,scale=6))","dataDir=across",$J$3)</f>
        <v>720</v>
      </c>
      <c r="I68" s="1946">
        <v>693.048</v>
      </c>
      <c r="J68" s="1946">
        <v>687.08699999999999</v>
      </c>
      <c r="K68" s="1946">
        <v>612.55700000000002</v>
      </c>
      <c r="L68" s="1946">
        <v>570.38400000000001</v>
      </c>
      <c r="M68" s="1946">
        <v>601.93399999999997</v>
      </c>
      <c r="N68" s="1946">
        <v>549.04600000000005</v>
      </c>
      <c r="O68" s="1946">
        <v>502.14699999999999</v>
      </c>
      <c r="P68" s="1946">
        <v>489.73899999999998</v>
      </c>
      <c r="Q68" s="769">
        <f t="shared" ref="Q68:W68" si="36">SUM(Q82:Q95)</f>
        <v>499.53377999999998</v>
      </c>
      <c r="R68" s="769">
        <f t="shared" si="36"/>
        <v>509.52445560000001</v>
      </c>
      <c r="S68" s="769">
        <f t="shared" si="36"/>
        <v>519.71494471200003</v>
      </c>
      <c r="T68" s="769">
        <f t="shared" si="36"/>
        <v>530.10924360624006</v>
      </c>
      <c r="U68" s="769">
        <f t="shared" si="36"/>
        <v>540.71142847836484</v>
      </c>
      <c r="V68" s="769">
        <f t="shared" si="36"/>
        <v>551.5256570479321</v>
      </c>
      <c r="W68" s="769">
        <f t="shared" si="36"/>
        <v>562.55617018889075</v>
      </c>
      <c r="AA68"/>
      <c r="AB68"/>
      <c r="AC68"/>
      <c r="AD68"/>
      <c r="AE68"/>
      <c r="AF68"/>
      <c r="AJ68" s="1878"/>
    </row>
    <row r="69" spans="1:36">
      <c r="H69" s="1947"/>
      <c r="I69" s="1947"/>
      <c r="J69" s="1947"/>
      <c r="K69" s="1947"/>
      <c r="L69" s="1947"/>
      <c r="M69" s="1947"/>
      <c r="N69" s="1948"/>
      <c r="O69" s="1948"/>
      <c r="P69" s="1948"/>
      <c r="Q69" s="1948"/>
      <c r="R69" s="1948"/>
      <c r="S69" s="1948"/>
      <c r="T69" s="1948"/>
      <c r="U69" s="1948"/>
      <c r="V69" s="1948"/>
      <c r="W69" s="1948"/>
    </row>
    <row r="70" spans="1:36">
      <c r="C70" s="756" t="s">
        <v>304</v>
      </c>
      <c r="H70" s="808">
        <v>10</v>
      </c>
      <c r="I70" s="808">
        <v>10</v>
      </c>
      <c r="J70" s="808">
        <v>10</v>
      </c>
      <c r="K70" s="808">
        <v>10</v>
      </c>
      <c r="L70" s="808">
        <v>10</v>
      </c>
      <c r="M70" s="808">
        <v>10</v>
      </c>
      <c r="N70" s="808">
        <v>10</v>
      </c>
      <c r="O70" s="808">
        <v>10</v>
      </c>
      <c r="P70" s="808">
        <v>10</v>
      </c>
      <c r="Q70" s="756"/>
      <c r="R70" s="756"/>
      <c r="S70" s="756"/>
      <c r="T70" s="756"/>
      <c r="U70" s="756"/>
      <c r="V70" s="756"/>
      <c r="W70" s="756"/>
    </row>
    <row r="71" spans="1:36">
      <c r="C71" s="763" t="s">
        <v>305</v>
      </c>
      <c r="H71" s="808">
        <v>5</v>
      </c>
      <c r="I71" s="808">
        <v>5</v>
      </c>
      <c r="J71" s="808">
        <v>5</v>
      </c>
      <c r="K71" s="808">
        <v>5</v>
      </c>
      <c r="L71" s="808">
        <v>5</v>
      </c>
      <c r="M71" s="808">
        <v>5</v>
      </c>
      <c r="N71" s="808">
        <v>5</v>
      </c>
      <c r="O71" s="808">
        <v>5</v>
      </c>
      <c r="P71" s="808">
        <v>5</v>
      </c>
      <c r="Q71" s="756"/>
      <c r="R71" s="756"/>
      <c r="S71" s="756"/>
      <c r="T71" s="756"/>
      <c r="U71" s="756"/>
      <c r="V71" s="756"/>
      <c r="W71" s="756"/>
    </row>
    <row r="72" spans="1:36">
      <c r="C72" s="763" t="s">
        <v>306</v>
      </c>
      <c r="H72" s="1949">
        <f t="shared" ref="H72:P72" si="37">1-H71/H70</f>
        <v>0.5</v>
      </c>
      <c r="I72" s="1949">
        <f t="shared" si="37"/>
        <v>0.5</v>
      </c>
      <c r="J72" s="1949">
        <f t="shared" si="37"/>
        <v>0.5</v>
      </c>
      <c r="K72" s="1949">
        <f t="shared" si="37"/>
        <v>0.5</v>
      </c>
      <c r="L72" s="1949">
        <f t="shared" si="37"/>
        <v>0.5</v>
      </c>
      <c r="M72" s="1949">
        <f t="shared" si="37"/>
        <v>0.5</v>
      </c>
      <c r="N72" s="1949">
        <f t="shared" si="37"/>
        <v>0.5</v>
      </c>
      <c r="O72" s="1949">
        <f t="shared" si="37"/>
        <v>0.5</v>
      </c>
      <c r="P72" s="1949">
        <f t="shared" si="37"/>
        <v>0.5</v>
      </c>
      <c r="Q72" s="1950"/>
      <c r="R72" s="1950"/>
      <c r="S72" s="1950"/>
      <c r="T72" s="1950"/>
      <c r="U72" s="1950"/>
      <c r="V72" s="1950"/>
      <c r="W72" s="1950"/>
    </row>
    <row r="73" spans="1:36">
      <c r="H73" s="1951"/>
      <c r="I73" s="1951"/>
      <c r="J73" s="1951"/>
      <c r="K73" s="1942"/>
      <c r="L73" s="1942"/>
      <c r="M73" s="1942"/>
      <c r="N73" s="1942"/>
      <c r="O73" s="1950"/>
      <c r="P73" s="1950"/>
      <c r="Q73" s="1950"/>
      <c r="R73" s="1950"/>
      <c r="S73" s="1950"/>
      <c r="T73" s="1950"/>
      <c r="U73" s="1950"/>
      <c r="V73" s="1950"/>
      <c r="W73" s="1950"/>
    </row>
    <row r="74" spans="1:36" outlineLevel="1">
      <c r="B74" s="1904"/>
      <c r="C74" s="806" t="s">
        <v>307</v>
      </c>
      <c r="D74" s="806"/>
      <c r="E74" s="806"/>
      <c r="F74" s="806"/>
      <c r="G74" s="806"/>
      <c r="H74" s="1952">
        <f t="shared" ref="H74:W74" si="38">H9</f>
        <v>39841</v>
      </c>
      <c r="I74" s="1952">
        <f t="shared" si="38"/>
        <v>40206</v>
      </c>
      <c r="J74" s="1952">
        <f t="shared" si="38"/>
        <v>40571</v>
      </c>
      <c r="K74" s="1952">
        <f t="shared" si="38"/>
        <v>40936</v>
      </c>
      <c r="L74" s="1952">
        <f t="shared" si="38"/>
        <v>41302</v>
      </c>
      <c r="M74" s="1952">
        <f t="shared" si="38"/>
        <v>41667</v>
      </c>
      <c r="N74" s="1952">
        <f t="shared" si="38"/>
        <v>42032</v>
      </c>
      <c r="O74" s="1952">
        <f t="shared" si="38"/>
        <v>42397</v>
      </c>
      <c r="P74" s="1952">
        <f t="shared" si="38"/>
        <v>42763</v>
      </c>
      <c r="Q74" s="1952">
        <f t="shared" si="38"/>
        <v>43128</v>
      </c>
      <c r="R74" s="1952">
        <f t="shared" si="38"/>
        <v>43493</v>
      </c>
      <c r="S74" s="1952">
        <f t="shared" si="38"/>
        <v>43858</v>
      </c>
      <c r="T74" s="1952">
        <f t="shared" si="38"/>
        <v>44224</v>
      </c>
      <c r="U74" s="1952">
        <f t="shared" si="38"/>
        <v>44589</v>
      </c>
      <c r="V74" s="1952">
        <f t="shared" si="38"/>
        <v>44954</v>
      </c>
      <c r="W74" s="1952">
        <f t="shared" si="38"/>
        <v>45319</v>
      </c>
    </row>
    <row r="75" spans="1:36" outlineLevel="1">
      <c r="B75" s="1904"/>
      <c r="C75" s="810"/>
      <c r="D75" s="810"/>
      <c r="E75" s="810"/>
      <c r="F75" s="810"/>
      <c r="G75" s="810"/>
      <c r="H75" s="1953"/>
      <c r="I75" s="1953"/>
      <c r="J75" s="1953"/>
      <c r="K75" s="1953"/>
      <c r="L75" s="1953"/>
      <c r="M75" s="1953"/>
      <c r="N75" s="1953"/>
      <c r="O75" s="1953"/>
      <c r="P75" s="1953"/>
      <c r="Q75" s="1953"/>
      <c r="R75" s="1953"/>
      <c r="S75" s="1953"/>
      <c r="T75" s="1953"/>
      <c r="U75" s="1953"/>
      <c r="V75" s="1953"/>
      <c r="W75" s="1953"/>
    </row>
    <row r="76" spans="1:36" s="812" customFormat="1" ht="12" customHeight="1" outlineLevel="1">
      <c r="A76" s="811"/>
      <c r="B76" s="1879"/>
      <c r="C76" s="1900" t="s">
        <v>308</v>
      </c>
      <c r="D76" s="1954"/>
      <c r="E76" s="1954"/>
      <c r="F76" s="1954"/>
      <c r="G76" s="1954"/>
      <c r="H76" s="1955">
        <f>_xll.ThomsonONEAddinShim.SpreadsheetFormulas.TF(SedolTicker,"ZAV(TF.FN.RentalAndOperLeaseExpense(period=FY0,sdate=FY-8,edate=FY0,curn=#1,Scale=6)@TF.RF.RentalExpenseSupplemental(period=FY0,sdate=FY-8,edate=FY0,curn=#1,Scale=6))","dataDir=across",$J$3)</f>
        <v>228</v>
      </c>
      <c r="I76" s="1956">
        <v>255.965</v>
      </c>
      <c r="J76" s="1956">
        <v>255.18100000000001</v>
      </c>
      <c r="K76" s="1956">
        <v>276.52699999999999</v>
      </c>
      <c r="L76" s="1956">
        <v>275.56200000000001</v>
      </c>
      <c r="M76" s="1956">
        <v>284.39699999999999</v>
      </c>
      <c r="N76" s="1956">
        <v>301.822</v>
      </c>
      <c r="O76" s="1956">
        <v>307.39800000000002</v>
      </c>
      <c r="P76" s="1957">
        <v>313.541</v>
      </c>
      <c r="Q76" s="769">
        <f t="shared" ref="Q76:W91" si="39">P76*(1+Q$64)</f>
        <v>319.81182000000001</v>
      </c>
      <c r="R76" s="769">
        <f t="shared" si="39"/>
        <v>326.20805640000003</v>
      </c>
      <c r="S76" s="769">
        <f t="shared" si="39"/>
        <v>332.73221752800004</v>
      </c>
      <c r="T76" s="769">
        <f t="shared" si="39"/>
        <v>339.38686187856007</v>
      </c>
      <c r="U76" s="769">
        <f t="shared" si="39"/>
        <v>346.17459911613128</v>
      </c>
      <c r="V76" s="769">
        <f t="shared" si="39"/>
        <v>353.09809109845389</v>
      </c>
      <c r="W76" s="769">
        <f t="shared" si="39"/>
        <v>360.16005292042297</v>
      </c>
      <c r="AA76"/>
      <c r="AB76"/>
      <c r="AC76"/>
      <c r="AD76"/>
      <c r="AE76"/>
      <c r="AF76"/>
      <c r="AJ76" s="1958"/>
    </row>
    <row r="77" spans="1:36" s="812" customFormat="1" ht="12" customHeight="1" outlineLevel="1">
      <c r="A77" s="811"/>
      <c r="B77" s="1879"/>
      <c r="C77" s="1900" t="s">
        <v>309</v>
      </c>
      <c r="D77" s="1954"/>
      <c r="E77" s="1954"/>
      <c r="F77" s="1954"/>
      <c r="G77" s="1954"/>
      <c r="H77" s="1959">
        <f>_xll.ThomsonONEAddinShim.SpreadsheetFormulas.TF(SedolTicker,"ZAV(TF.FN.LeaseCommitmentsYr1(period=FY0,sdate=FY-8,edate=FY0,curn=#1,Scale=6))","dataDir=across",$J$3)</f>
        <v>234</v>
      </c>
      <c r="I77" s="808">
        <v>242.85900000000001</v>
      </c>
      <c r="J77" s="808">
        <v>243.798</v>
      </c>
      <c r="K77" s="808">
        <v>255.57599999999999</v>
      </c>
      <c r="L77" s="808">
        <v>257.54300000000001</v>
      </c>
      <c r="M77" s="808">
        <v>273.827</v>
      </c>
      <c r="N77" s="808">
        <v>287.09100000000001</v>
      </c>
      <c r="O77" s="808">
        <v>285.10000000000002</v>
      </c>
      <c r="P77" s="1960">
        <v>287.822</v>
      </c>
      <c r="Q77" s="769">
        <f t="shared" si="39"/>
        <v>293.57844</v>
      </c>
      <c r="R77" s="769">
        <f t="shared" si="39"/>
        <v>299.45000879999998</v>
      </c>
      <c r="S77" s="769">
        <f t="shared" si="39"/>
        <v>305.43900897599997</v>
      </c>
      <c r="T77" s="769">
        <f t="shared" si="39"/>
        <v>311.54778915551998</v>
      </c>
      <c r="U77" s="769">
        <f t="shared" si="39"/>
        <v>317.77874493863038</v>
      </c>
      <c r="V77" s="769">
        <f t="shared" si="39"/>
        <v>324.13431983740298</v>
      </c>
      <c r="W77" s="769">
        <f t="shared" si="39"/>
        <v>330.61700623415106</v>
      </c>
      <c r="AA77"/>
      <c r="AB77"/>
      <c r="AC77"/>
      <c r="AD77"/>
      <c r="AE77"/>
      <c r="AF77"/>
      <c r="AJ77" s="1958"/>
    </row>
    <row r="78" spans="1:36" s="812" customFormat="1" ht="12" customHeight="1" outlineLevel="1">
      <c r="A78" s="811"/>
      <c r="B78" s="1879"/>
      <c r="C78" s="1900" t="s">
        <v>310</v>
      </c>
      <c r="D78" s="1954"/>
      <c r="E78" s="1954"/>
      <c r="F78" s="1954"/>
      <c r="G78" s="1954"/>
      <c r="H78" s="1959">
        <f>_xll.ThomsonONEAddinShim.SpreadsheetFormulas.TF(SedolTicker,"ZAV(TF.FN.LeaseCommitmentsYr2(period=FY0,sdate=FY-8,edate=FY0,curn=#1,Scale=6))","dataDir=across",$J$3)</f>
        <v>230</v>
      </c>
      <c r="I78" s="808">
        <v>226.69900000000001</v>
      </c>
      <c r="J78" s="808">
        <v>233.279</v>
      </c>
      <c r="K78" s="808">
        <v>241.87799999999999</v>
      </c>
      <c r="L78" s="808">
        <v>240.578</v>
      </c>
      <c r="M78" s="808">
        <v>261.82799999999997</v>
      </c>
      <c r="N78" s="808">
        <v>259.10599999999999</v>
      </c>
      <c r="O78" s="808">
        <v>254.67699999999999</v>
      </c>
      <c r="P78" s="1960">
        <v>260.84699999999998</v>
      </c>
      <c r="Q78" s="769">
        <f t="shared" si="39"/>
        <v>266.06394</v>
      </c>
      <c r="R78" s="769">
        <f t="shared" si="39"/>
        <v>271.38521880000002</v>
      </c>
      <c r="S78" s="769">
        <f t="shared" si="39"/>
        <v>276.81292317600003</v>
      </c>
      <c r="T78" s="769">
        <f t="shared" si="39"/>
        <v>282.34918163952005</v>
      </c>
      <c r="U78" s="769">
        <f t="shared" si="39"/>
        <v>287.99616527231046</v>
      </c>
      <c r="V78" s="769">
        <f t="shared" si="39"/>
        <v>293.75608857775666</v>
      </c>
      <c r="W78" s="769">
        <f t="shared" si="39"/>
        <v>299.6312103493118</v>
      </c>
      <c r="AA78"/>
      <c r="AB78"/>
      <c r="AC78"/>
      <c r="AD78"/>
      <c r="AE78"/>
      <c r="AF78"/>
      <c r="AJ78" s="1958"/>
    </row>
    <row r="79" spans="1:36" s="812" customFormat="1" ht="12" customHeight="1" outlineLevel="1">
      <c r="A79" s="811"/>
      <c r="B79" s="1879"/>
      <c r="C79" s="1900" t="s">
        <v>311</v>
      </c>
      <c r="D79" s="1954"/>
      <c r="E79" s="1954"/>
      <c r="F79" s="1954"/>
      <c r="G79" s="1954"/>
      <c r="H79" s="1959">
        <f>_xll.ThomsonONEAddinShim.SpreadsheetFormulas.TF(SedolTicker,"ZAV(TF.FN.LeaseCommitmentsYr3(period=FY0,sdate=FY-8,edate=FY0,curn=#1,Scale=6))","dataDir=across",$J$3)</f>
        <v>213</v>
      </c>
      <c r="I79" s="808">
        <v>210.67599999999999</v>
      </c>
      <c r="J79" s="808">
        <v>220.08099999999999</v>
      </c>
      <c r="K79" s="808">
        <v>222.93100000000001</v>
      </c>
      <c r="L79" s="808">
        <v>223.209</v>
      </c>
      <c r="M79" s="808">
        <v>233.81</v>
      </c>
      <c r="N79" s="808">
        <v>229.489</v>
      </c>
      <c r="O79" s="808">
        <v>225.006</v>
      </c>
      <c r="P79" s="1960">
        <v>228.08500000000001</v>
      </c>
      <c r="Q79" s="769">
        <f t="shared" si="39"/>
        <v>232.64670000000001</v>
      </c>
      <c r="R79" s="769">
        <f t="shared" si="39"/>
        <v>237.29963400000003</v>
      </c>
      <c r="S79" s="769">
        <f t="shared" si="39"/>
        <v>242.04562668000003</v>
      </c>
      <c r="T79" s="769">
        <f t="shared" si="39"/>
        <v>246.88653921360003</v>
      </c>
      <c r="U79" s="769">
        <f t="shared" si="39"/>
        <v>251.82426999787202</v>
      </c>
      <c r="V79" s="769">
        <f t="shared" si="39"/>
        <v>256.86075539782945</v>
      </c>
      <c r="W79" s="769">
        <f t="shared" si="39"/>
        <v>261.99797050578604</v>
      </c>
      <c r="AA79"/>
      <c r="AB79"/>
      <c r="AC79"/>
      <c r="AD79"/>
      <c r="AE79"/>
      <c r="AF79"/>
      <c r="AJ79" s="1958"/>
    </row>
    <row r="80" spans="1:36" s="812" customFormat="1" ht="12" customHeight="1" outlineLevel="1">
      <c r="A80" s="811"/>
      <c r="B80" s="1879"/>
      <c r="C80" s="1900" t="s">
        <v>320</v>
      </c>
      <c r="D80" s="1954"/>
      <c r="E80" s="1954"/>
      <c r="F80" s="1954"/>
      <c r="G80" s="1954"/>
      <c r="H80" s="1959">
        <f>_xll.ThomsonONEAddinShim.SpreadsheetFormulas.TF(SedolTicker,"ZAV(TF.FN.LeaseCommitmentsYr4(period=FY0,sdate=FY-8,edate=FY0,curn=#1,Scale=6))","dataDir=across",$J$3)</f>
        <v>195</v>
      </c>
      <c r="I80" s="808">
        <v>194.613</v>
      </c>
      <c r="J80" s="808">
        <v>201.761</v>
      </c>
      <c r="K80" s="808">
        <v>207.24799999999999</v>
      </c>
      <c r="L80" s="808">
        <v>199.59</v>
      </c>
      <c r="M80" s="808">
        <v>206.934</v>
      </c>
      <c r="N80" s="808">
        <v>199.208</v>
      </c>
      <c r="O80" s="808">
        <v>194.80600000000001</v>
      </c>
      <c r="P80" s="1960">
        <v>207.029</v>
      </c>
      <c r="Q80" s="769">
        <f t="shared" si="39"/>
        <v>211.16958</v>
      </c>
      <c r="R80" s="769">
        <f t="shared" si="39"/>
        <v>215.39297160000001</v>
      </c>
      <c r="S80" s="769">
        <f t="shared" si="39"/>
        <v>219.70083103200002</v>
      </c>
      <c r="T80" s="769">
        <f t="shared" si="39"/>
        <v>224.09484765264003</v>
      </c>
      <c r="U80" s="769">
        <f t="shared" si="39"/>
        <v>228.57674460569282</v>
      </c>
      <c r="V80" s="769">
        <f t="shared" si="39"/>
        <v>233.1482794978067</v>
      </c>
      <c r="W80" s="769">
        <f t="shared" si="39"/>
        <v>237.81124508776284</v>
      </c>
      <c r="AA80"/>
      <c r="AB80"/>
      <c r="AC80"/>
      <c r="AD80"/>
      <c r="AE80"/>
      <c r="AF80"/>
      <c r="AJ80" s="1958"/>
    </row>
    <row r="81" spans="1:36" s="812" customFormat="1" ht="12" customHeight="1" outlineLevel="1">
      <c r="A81" s="811"/>
      <c r="B81" s="1879"/>
      <c r="C81" s="1900" t="s">
        <v>321</v>
      </c>
      <c r="D81" s="1954"/>
      <c r="E81" s="1954"/>
      <c r="F81" s="1954"/>
      <c r="G81" s="1954"/>
      <c r="H81" s="1961">
        <f>_xll.ThomsonONEAddinShim.SpreadsheetFormulas.TF(SedolTicker,"ZAV(TF.FN.LeaseCommitmentsYr5(period=FY0,sdate=FY-8,edate=FY0,curn=#1,Scale=6))","dataDir=across",$J$3)</f>
        <v>178</v>
      </c>
      <c r="I81" s="1962">
        <v>176.61199999999999</v>
      </c>
      <c r="J81" s="1962">
        <v>187.23400000000001</v>
      </c>
      <c r="K81" s="1962">
        <v>183.881</v>
      </c>
      <c r="L81" s="1962">
        <v>173.65299999999999</v>
      </c>
      <c r="M81" s="1962">
        <v>177.22900000000001</v>
      </c>
      <c r="N81" s="1962">
        <v>173.38800000000001</v>
      </c>
      <c r="O81" s="1962">
        <v>175.643</v>
      </c>
      <c r="P81" s="1963">
        <v>182.21899999999999</v>
      </c>
      <c r="Q81" s="769">
        <f t="shared" si="39"/>
        <v>185.86338000000001</v>
      </c>
      <c r="R81" s="769">
        <f t="shared" si="39"/>
        <v>189.58064760000002</v>
      </c>
      <c r="S81" s="769">
        <f t="shared" si="39"/>
        <v>193.37226055200003</v>
      </c>
      <c r="T81" s="769">
        <f t="shared" si="39"/>
        <v>197.23970576304004</v>
      </c>
      <c r="U81" s="769">
        <f t="shared" si="39"/>
        <v>201.18449987830084</v>
      </c>
      <c r="V81" s="769">
        <f t="shared" si="39"/>
        <v>205.20818987586685</v>
      </c>
      <c r="W81" s="769">
        <f t="shared" si="39"/>
        <v>209.31235367338419</v>
      </c>
      <c r="AA81"/>
      <c r="AB81"/>
      <c r="AC81"/>
      <c r="AD81"/>
      <c r="AE81"/>
      <c r="AF81"/>
      <c r="AJ81" s="1958"/>
    </row>
    <row r="82" spans="1:36" s="812" customFormat="1" outlineLevel="1">
      <c r="A82" s="811"/>
      <c r="B82" s="1879"/>
      <c r="C82" s="1954" t="s">
        <v>322</v>
      </c>
      <c r="D82" s="1954"/>
      <c r="E82" s="1954"/>
      <c r="F82" s="1954"/>
      <c r="G82" s="1954"/>
      <c r="H82" s="770">
        <f t="shared" ref="H82:P82" si="40">IF(ISERROR(H68/H71),"NA",H68/H71)</f>
        <v>144</v>
      </c>
      <c r="I82" s="770">
        <f t="shared" si="40"/>
        <v>138.6096</v>
      </c>
      <c r="J82" s="770">
        <f t="shared" si="40"/>
        <v>137.41739999999999</v>
      </c>
      <c r="K82" s="770">
        <f t="shared" si="40"/>
        <v>122.51140000000001</v>
      </c>
      <c r="L82" s="770">
        <f t="shared" si="40"/>
        <v>114.07680000000001</v>
      </c>
      <c r="M82" s="770">
        <f t="shared" si="40"/>
        <v>120.38679999999999</v>
      </c>
      <c r="N82" s="770">
        <f t="shared" si="40"/>
        <v>109.8092</v>
      </c>
      <c r="O82" s="770">
        <f t="shared" si="40"/>
        <v>100.4294</v>
      </c>
      <c r="P82" s="770">
        <f t="shared" si="40"/>
        <v>97.947800000000001</v>
      </c>
      <c r="Q82" s="769">
        <f t="shared" si="39"/>
        <v>99.906756000000001</v>
      </c>
      <c r="R82" s="769">
        <f t="shared" si="39"/>
        <v>101.90489112</v>
      </c>
      <c r="S82" s="769">
        <f t="shared" si="39"/>
        <v>103.94298894240001</v>
      </c>
      <c r="T82" s="769">
        <f t="shared" si="39"/>
        <v>106.02184872124801</v>
      </c>
      <c r="U82" s="769">
        <f t="shared" si="39"/>
        <v>108.14228569567297</v>
      </c>
      <c r="V82" s="769">
        <f t="shared" si="39"/>
        <v>110.30513140958642</v>
      </c>
      <c r="W82" s="769">
        <f t="shared" si="39"/>
        <v>112.51123403777815</v>
      </c>
      <c r="AA82"/>
      <c r="AB82"/>
      <c r="AC82"/>
      <c r="AD82"/>
      <c r="AE82"/>
      <c r="AF82"/>
      <c r="AJ82" s="1958"/>
    </row>
    <row r="83" spans="1:36" s="812" customFormat="1" outlineLevel="1">
      <c r="A83" s="811"/>
      <c r="B83" s="1879"/>
      <c r="C83" s="1954" t="s">
        <v>323</v>
      </c>
      <c r="D83" s="1954"/>
      <c r="E83" s="1954"/>
      <c r="F83" s="1954"/>
      <c r="G83" s="1954"/>
      <c r="H83" s="770">
        <f>IF(ISERROR(IF(ROUND(SUM(H$82:H82),3)&gt;=ROUND(H$68,3),0,H$68/H$71)),"NA",IF(ROUND(SUM(H$82:H82),3)&gt;=ROUND(H$68,3),0,H$68/H$71))</f>
        <v>144</v>
      </c>
      <c r="I83" s="770">
        <f>IF(ISERROR(IF(ROUND(SUM(I$82:I82),3)&gt;=ROUND(I$68,3),0,I$68/I$71)),"NA",IF(ROUND(SUM(I$82:I82),3)&gt;=ROUND(I$68,3),0,I$68/I$71))</f>
        <v>138.6096</v>
      </c>
      <c r="J83" s="770">
        <f>IF(ISERROR(IF(ROUND(SUM(J$82:J82),3)&gt;=ROUND(J$68,3),0,J$68/J$71)),"NA",IF(ROUND(SUM(J$82:J82),3)&gt;=ROUND(J$68,3),0,J$68/J$71))</f>
        <v>137.41739999999999</v>
      </c>
      <c r="K83" s="770">
        <f>IF(ISERROR(IF(ROUND(SUM(K$82:K82),3)&gt;=ROUND(K$68,3),0,K$68/K$71)),"NA",IF(ROUND(SUM(K$82:K82),3)&gt;=ROUND(K$68,3),0,K$68/K$71))</f>
        <v>122.51140000000001</v>
      </c>
      <c r="L83" s="770">
        <f>IF(ISERROR(IF(ROUND(SUM(L$82:L82),3)&gt;=ROUND(L$68,3),0,L$68/L$71)),"NA",IF(ROUND(SUM(L$82:L82),3)&gt;=ROUND(L$68,3),0,L$68/L$71))</f>
        <v>114.07680000000001</v>
      </c>
      <c r="M83" s="770">
        <f>IF(ISERROR(IF(ROUND(SUM(M$82:M82),3)&gt;=ROUND(M$68,3),0,M$68/M$71)),"NA",IF(ROUND(SUM(M$82:M82),3)&gt;=ROUND(M$68,3),0,M$68/M$71))</f>
        <v>120.38679999999999</v>
      </c>
      <c r="N83" s="770">
        <f>IF(ISERROR(IF(ROUND(SUM(N$82:N82),3)&gt;=ROUND(N$68,3),0,N$68/N$71)),"NA",IF(ROUND(SUM(N$82:N82),3)&gt;=ROUND(N$68,3),0,N$68/N$71))</f>
        <v>109.8092</v>
      </c>
      <c r="O83" s="770">
        <f>IF(ISERROR(IF(ROUND(SUM(O$82:O82),3)&gt;=ROUND(O$68,3),0,O$68/O$71)),"NA",IF(ROUND(SUM(O$82:O82),3)&gt;=ROUND(O$68,3),0,O$68/O$71))</f>
        <v>100.4294</v>
      </c>
      <c r="P83" s="770">
        <f>IF(ISERROR(IF(ROUND(SUM(P$82:P82),3)&gt;=ROUND(P$68,3),0,P$68/P$71)),"NA",IF(ROUND(SUM(P$82:P82),3)&gt;=ROUND(P$68,3),0,P$68/P$71))</f>
        <v>97.947800000000001</v>
      </c>
      <c r="Q83" s="769">
        <f t="shared" si="39"/>
        <v>99.906756000000001</v>
      </c>
      <c r="R83" s="769">
        <f t="shared" si="39"/>
        <v>101.90489112</v>
      </c>
      <c r="S83" s="769">
        <f t="shared" si="39"/>
        <v>103.94298894240001</v>
      </c>
      <c r="T83" s="769">
        <f t="shared" si="39"/>
        <v>106.02184872124801</v>
      </c>
      <c r="U83" s="769">
        <f t="shared" si="39"/>
        <v>108.14228569567297</v>
      </c>
      <c r="V83" s="769">
        <f t="shared" si="39"/>
        <v>110.30513140958642</v>
      </c>
      <c r="W83" s="769">
        <f t="shared" si="39"/>
        <v>112.51123403777815</v>
      </c>
      <c r="AA83"/>
      <c r="AB83"/>
      <c r="AC83"/>
      <c r="AD83"/>
      <c r="AE83"/>
      <c r="AF83"/>
      <c r="AJ83" s="1958"/>
    </row>
    <row r="84" spans="1:36" s="812" customFormat="1" outlineLevel="1">
      <c r="A84" s="811"/>
      <c r="B84" s="1879"/>
      <c r="C84" s="1954" t="s">
        <v>324</v>
      </c>
      <c r="D84" s="1954"/>
      <c r="E84" s="1954"/>
      <c r="F84" s="1954"/>
      <c r="G84" s="1954"/>
      <c r="H84" s="770">
        <f>IF(ISERROR(IF(ROUND(SUM(H$82:H83),3)&gt;=ROUND(H$68,3),0,H$68/H$71)),"NA",IF(ROUND(SUM(H$82:H83),3)&gt;=ROUND(H$68,3),0,H$68/H$71))</f>
        <v>144</v>
      </c>
      <c r="I84" s="770">
        <f>IF(ISERROR(IF(ROUND(SUM(I$82:I83),3)&gt;=ROUND(I$68,3),0,I$68/I$71)),"NA",IF(ROUND(SUM(I$82:I83),3)&gt;=ROUND(I$68,3),0,I$68/I$71))</f>
        <v>138.6096</v>
      </c>
      <c r="J84" s="770">
        <f>IF(ISERROR(IF(ROUND(SUM(J$82:J83),3)&gt;=ROUND(J$68,3),0,J$68/J$71)),"NA",IF(ROUND(SUM(J$82:J83),3)&gt;=ROUND(J$68,3),0,J$68/J$71))</f>
        <v>137.41739999999999</v>
      </c>
      <c r="K84" s="770">
        <f>IF(ISERROR(IF(ROUND(SUM(K$82:K83),3)&gt;=ROUND(K$68,3),0,K$68/K$71)),"NA",IF(ROUND(SUM(K$82:K83),3)&gt;=ROUND(K$68,3),0,K$68/K$71))</f>
        <v>122.51140000000001</v>
      </c>
      <c r="L84" s="770">
        <f>IF(ISERROR(IF(ROUND(SUM(L$82:L83),3)&gt;=ROUND(L$68,3),0,L$68/L$71)),"NA",IF(ROUND(SUM(L$82:L83),3)&gt;=ROUND(L$68,3),0,L$68/L$71))</f>
        <v>114.07680000000001</v>
      </c>
      <c r="M84" s="770">
        <f>IF(ISERROR(IF(ROUND(SUM(M$82:M83),3)&gt;=ROUND(M$68,3),0,M$68/M$71)),"NA",IF(ROUND(SUM(M$82:M83),3)&gt;=ROUND(M$68,3),0,M$68/M$71))</f>
        <v>120.38679999999999</v>
      </c>
      <c r="N84" s="770">
        <f>IF(ISERROR(IF(ROUND(SUM(N$82:N83),3)&gt;=ROUND(N$68,3),0,N$68/N$71)),"NA",IF(ROUND(SUM(N$82:N83),3)&gt;=ROUND(N$68,3),0,N$68/N$71))</f>
        <v>109.8092</v>
      </c>
      <c r="O84" s="770">
        <f>IF(ISERROR(IF(ROUND(SUM(O$82:O83),3)&gt;=ROUND(O$68,3),0,O$68/O$71)),"NA",IF(ROUND(SUM(O$82:O83),3)&gt;=ROUND(O$68,3),0,O$68/O$71))</f>
        <v>100.4294</v>
      </c>
      <c r="P84" s="770">
        <f>IF(ISERROR(IF(ROUND(SUM(P$82:P83),3)&gt;=ROUND(P$68,3),0,P$68/P$71)),"NA",IF(ROUND(SUM(P$82:P83),3)&gt;=ROUND(P$68,3),0,P$68/P$71))</f>
        <v>97.947800000000001</v>
      </c>
      <c r="Q84" s="769">
        <f t="shared" si="39"/>
        <v>99.906756000000001</v>
      </c>
      <c r="R84" s="769">
        <f t="shared" si="39"/>
        <v>101.90489112</v>
      </c>
      <c r="S84" s="769">
        <f t="shared" si="39"/>
        <v>103.94298894240001</v>
      </c>
      <c r="T84" s="769">
        <f t="shared" si="39"/>
        <v>106.02184872124801</v>
      </c>
      <c r="U84" s="769">
        <f t="shared" si="39"/>
        <v>108.14228569567297</v>
      </c>
      <c r="V84" s="769">
        <f t="shared" si="39"/>
        <v>110.30513140958642</v>
      </c>
      <c r="W84" s="769">
        <f t="shared" si="39"/>
        <v>112.51123403777815</v>
      </c>
      <c r="AA84"/>
      <c r="AB84"/>
      <c r="AC84"/>
      <c r="AD84"/>
      <c r="AE84"/>
      <c r="AF84"/>
      <c r="AJ84" s="1958"/>
    </row>
    <row r="85" spans="1:36" s="812" customFormat="1" outlineLevel="1">
      <c r="A85" s="811"/>
      <c r="B85" s="1879"/>
      <c r="C85" s="1954" t="s">
        <v>325</v>
      </c>
      <c r="D85" s="1954"/>
      <c r="E85" s="1954"/>
      <c r="F85" s="1954"/>
      <c r="G85" s="1954"/>
      <c r="H85" s="770">
        <f>IF(ISERROR(IF(ROUND(SUM(H$82:H84),3)&gt;=ROUND(H$68,3),0,H$68/H$71)),"NA",IF(ROUND(SUM(H$82:H84),3)&gt;=ROUND(H$68,3),0,H$68/H$71))</f>
        <v>144</v>
      </c>
      <c r="I85" s="770">
        <f>IF(ISERROR(IF(ROUND(SUM(I$82:I84),3)&gt;=ROUND(I$68,3),0,I$68/I$71)),"NA",IF(ROUND(SUM(I$82:I84),3)&gt;=ROUND(I$68,3),0,I$68/I$71))</f>
        <v>138.6096</v>
      </c>
      <c r="J85" s="770">
        <f>IF(ISERROR(IF(ROUND(SUM(J$82:J84),3)&gt;=ROUND(J$68,3),0,J$68/J$71)),"NA",IF(ROUND(SUM(J$82:J84),3)&gt;=ROUND(J$68,3),0,J$68/J$71))</f>
        <v>137.41739999999999</v>
      </c>
      <c r="K85" s="770">
        <f>IF(ISERROR(IF(ROUND(SUM(K$82:K84),3)&gt;=ROUND(K$68,3),0,K$68/K$71)),"NA",IF(ROUND(SUM(K$82:K84),3)&gt;=ROUND(K$68,3),0,K$68/K$71))</f>
        <v>122.51140000000001</v>
      </c>
      <c r="L85" s="770">
        <f>IF(ISERROR(IF(ROUND(SUM(L$82:L84),3)&gt;=ROUND(L$68,3),0,L$68/L$71)),"NA",IF(ROUND(SUM(L$82:L84),3)&gt;=ROUND(L$68,3),0,L$68/L$71))</f>
        <v>114.07680000000001</v>
      </c>
      <c r="M85" s="770">
        <f>IF(ISERROR(IF(ROUND(SUM(M$82:M84),3)&gt;=ROUND(M$68,3),0,M$68/M$71)),"NA",IF(ROUND(SUM(M$82:M84),3)&gt;=ROUND(M$68,3),0,M$68/M$71))</f>
        <v>120.38679999999999</v>
      </c>
      <c r="N85" s="770">
        <f>IF(ISERROR(IF(ROUND(SUM(N$82:N84),3)&gt;=ROUND(N$68,3),0,N$68/N$71)),"NA",IF(ROUND(SUM(N$82:N84),3)&gt;=ROUND(N$68,3),0,N$68/N$71))</f>
        <v>109.8092</v>
      </c>
      <c r="O85" s="770">
        <f>IF(ISERROR(IF(ROUND(SUM(O$82:O84),3)&gt;=ROUND(O$68,3),0,O$68/O$71)),"NA",IF(ROUND(SUM(O$82:O84),3)&gt;=ROUND(O$68,3),0,O$68/O$71))</f>
        <v>100.4294</v>
      </c>
      <c r="P85" s="770">
        <f>IF(ISERROR(IF(ROUND(SUM(P$82:P84),3)&gt;=ROUND(P$68,3),0,P$68/P$71)),"NA",IF(ROUND(SUM(P$82:P84),3)&gt;=ROUND(P$68,3),0,P$68/P$71))</f>
        <v>97.947800000000001</v>
      </c>
      <c r="Q85" s="769">
        <f t="shared" si="39"/>
        <v>99.906756000000001</v>
      </c>
      <c r="R85" s="769">
        <f t="shared" si="39"/>
        <v>101.90489112</v>
      </c>
      <c r="S85" s="769">
        <f t="shared" si="39"/>
        <v>103.94298894240001</v>
      </c>
      <c r="T85" s="769">
        <f t="shared" si="39"/>
        <v>106.02184872124801</v>
      </c>
      <c r="U85" s="769">
        <f t="shared" si="39"/>
        <v>108.14228569567297</v>
      </c>
      <c r="V85" s="769">
        <f t="shared" si="39"/>
        <v>110.30513140958642</v>
      </c>
      <c r="W85" s="769">
        <f t="shared" si="39"/>
        <v>112.51123403777815</v>
      </c>
      <c r="AA85"/>
      <c r="AB85"/>
      <c r="AC85"/>
      <c r="AD85"/>
      <c r="AE85"/>
      <c r="AF85"/>
      <c r="AJ85" s="1958"/>
    </row>
    <row r="86" spans="1:36" s="812" customFormat="1" outlineLevel="1">
      <c r="A86" s="811"/>
      <c r="B86" s="1879"/>
      <c r="C86" s="1954" t="s">
        <v>326</v>
      </c>
      <c r="D86" s="1954"/>
      <c r="E86" s="1954"/>
      <c r="F86" s="1954"/>
      <c r="G86" s="1954"/>
      <c r="H86" s="770">
        <f>IF(ISERROR(IF(ROUND(SUM(H$82:H85),3)&gt;=ROUND(H$68,3),0,H$68/H$71)),"NA",IF(ROUND(SUM(H$82:H85),3)&gt;=ROUND(H$68,3),0,H$68/H$71))</f>
        <v>144</v>
      </c>
      <c r="I86" s="770">
        <f>IF(ISERROR(IF(ROUND(SUM(I$82:I85),3)&gt;=ROUND(I$68,3),0,I$68/I$71)),"NA",IF(ROUND(SUM(I$82:I85),3)&gt;=ROUND(I$68,3),0,I$68/I$71))</f>
        <v>138.6096</v>
      </c>
      <c r="J86" s="770">
        <f>IF(ISERROR(IF(ROUND(SUM(J$82:J85),3)&gt;=ROUND(J$68,3),0,J$68/J$71)),"NA",IF(ROUND(SUM(J$82:J85),3)&gt;=ROUND(J$68,3),0,J$68/J$71))</f>
        <v>137.41739999999999</v>
      </c>
      <c r="K86" s="770">
        <f>IF(ISERROR(IF(ROUND(SUM(K$82:K85),3)&gt;=ROUND(K$68,3),0,K$68/K$71)),"NA",IF(ROUND(SUM(K$82:K85),3)&gt;=ROUND(K$68,3),0,K$68/K$71))</f>
        <v>122.51140000000001</v>
      </c>
      <c r="L86" s="770">
        <f>IF(ISERROR(IF(ROUND(SUM(L$82:L85),3)&gt;=ROUND(L$68,3),0,L$68/L$71)),"NA",IF(ROUND(SUM(L$82:L85),3)&gt;=ROUND(L$68,3),0,L$68/L$71))</f>
        <v>114.07680000000001</v>
      </c>
      <c r="M86" s="770">
        <f>IF(ISERROR(IF(ROUND(SUM(M$82:M85),3)&gt;=ROUND(M$68,3),0,M$68/M$71)),"NA",IF(ROUND(SUM(M$82:M85),3)&gt;=ROUND(M$68,3),0,M$68/M$71))</f>
        <v>120.38679999999999</v>
      </c>
      <c r="N86" s="770">
        <f>IF(ISERROR(IF(ROUND(SUM(N$82:N85),3)&gt;=ROUND(N$68,3),0,N$68/N$71)),"NA",IF(ROUND(SUM(N$82:N85),3)&gt;=ROUND(N$68,3),0,N$68/N$71))</f>
        <v>109.8092</v>
      </c>
      <c r="O86" s="770">
        <f>IF(ISERROR(IF(ROUND(SUM(O$82:O85),3)&gt;=ROUND(O$68,3),0,O$68/O$71)),"NA",IF(ROUND(SUM(O$82:O85),3)&gt;=ROUND(O$68,3),0,O$68/O$71))</f>
        <v>100.4294</v>
      </c>
      <c r="P86" s="770">
        <f>IF(ISERROR(IF(ROUND(SUM(P$82:P85),3)&gt;=ROUND(P$68,3),0,P$68/P$71)),"NA",IF(ROUND(SUM(P$82:P85),3)&gt;=ROUND(P$68,3),0,P$68/P$71))</f>
        <v>97.947800000000001</v>
      </c>
      <c r="Q86" s="769">
        <f t="shared" si="39"/>
        <v>99.906756000000001</v>
      </c>
      <c r="R86" s="769">
        <f t="shared" si="39"/>
        <v>101.90489112</v>
      </c>
      <c r="S86" s="769">
        <f t="shared" si="39"/>
        <v>103.94298894240001</v>
      </c>
      <c r="T86" s="769">
        <f t="shared" si="39"/>
        <v>106.02184872124801</v>
      </c>
      <c r="U86" s="769">
        <f t="shared" si="39"/>
        <v>108.14228569567297</v>
      </c>
      <c r="V86" s="769">
        <f t="shared" si="39"/>
        <v>110.30513140958642</v>
      </c>
      <c r="W86" s="769">
        <f t="shared" si="39"/>
        <v>112.51123403777815</v>
      </c>
      <c r="AA86"/>
      <c r="AB86"/>
      <c r="AC86"/>
      <c r="AD86"/>
      <c r="AE86"/>
      <c r="AF86"/>
      <c r="AJ86" s="1958"/>
    </row>
    <row r="87" spans="1:36" s="812" customFormat="1" outlineLevel="1">
      <c r="A87" s="811"/>
      <c r="B87" s="1879"/>
      <c r="C87" s="1954" t="s">
        <v>327</v>
      </c>
      <c r="D87" s="1954"/>
      <c r="E87" s="1954"/>
      <c r="F87" s="1954"/>
      <c r="G87" s="1954"/>
      <c r="H87" s="770">
        <f>IF(ISERROR(IF(ROUND(SUM(H$82:H86),3)&gt;=ROUND(H$68,3),0,H$68/H$71)),"NA",IF(ROUND(SUM(H$82:H86),3)&gt;=ROUND(H$68,3),0,H$68/H$71))</f>
        <v>0</v>
      </c>
      <c r="I87" s="770">
        <f>IF(ISERROR(IF(ROUND(SUM(I$82:I86),3)&gt;=ROUND(I$68,3),0,I$68/I$71)),"NA",IF(ROUND(SUM(I$82:I86),3)&gt;=ROUND(I$68,3),0,I$68/I$71))</f>
        <v>0</v>
      </c>
      <c r="J87" s="770">
        <f>IF(ISERROR(IF(ROUND(SUM(J$82:J86),3)&gt;=ROUND(J$68,3),0,J$68/J$71)),"NA",IF(ROUND(SUM(J$82:J86),3)&gt;=ROUND(J$68,3),0,J$68/J$71))</f>
        <v>0</v>
      </c>
      <c r="K87" s="770">
        <f>IF(ISERROR(IF(ROUND(SUM(K$82:K86),3)&gt;=ROUND(K$68,3),0,K$68/K$71)),"NA",IF(ROUND(SUM(K$82:K86),3)&gt;=ROUND(K$68,3),0,K$68/K$71))</f>
        <v>0</v>
      </c>
      <c r="L87" s="770">
        <f>IF(ISERROR(IF(ROUND(SUM(L$82:L86),3)&gt;=ROUND(L$68,3),0,L$68/L$71)),"NA",IF(ROUND(SUM(L$82:L86),3)&gt;=ROUND(L$68,3),0,L$68/L$71))</f>
        <v>0</v>
      </c>
      <c r="M87" s="770">
        <f>IF(ISERROR(IF(ROUND(SUM(M$82:M86),3)&gt;=ROUND(M$68,3),0,M$68/M$71)),"NA",IF(ROUND(SUM(M$82:M86),3)&gt;=ROUND(M$68,3),0,M$68/M$71))</f>
        <v>0</v>
      </c>
      <c r="N87" s="770">
        <f>IF(ISERROR(IF(ROUND(SUM(N$82:N86),3)&gt;=ROUND(N$68,3),0,N$68/N$71)),"NA",IF(ROUND(SUM(N$82:N86),3)&gt;=ROUND(N$68,3),0,N$68/N$71))</f>
        <v>0</v>
      </c>
      <c r="O87" s="770">
        <f>IF(ISERROR(IF(ROUND(SUM(O$82:O86),3)&gt;=ROUND(O$68,3),0,O$68/O$71)),"NA",IF(ROUND(SUM(O$82:O86),3)&gt;=ROUND(O$68,3),0,O$68/O$71))</f>
        <v>0</v>
      </c>
      <c r="P87" s="770">
        <f>IF(ISERROR(IF(ROUND(SUM(P$82:P86),3)&gt;=ROUND(P$68,3),0,P$68/P$71)),"NA",IF(ROUND(SUM(P$82:P86),3)&gt;=ROUND(P$68,3),0,P$68/P$71))</f>
        <v>0</v>
      </c>
      <c r="Q87" s="769">
        <f t="shared" si="39"/>
        <v>0</v>
      </c>
      <c r="R87" s="769">
        <f t="shared" si="39"/>
        <v>0</v>
      </c>
      <c r="S87" s="769">
        <f t="shared" si="39"/>
        <v>0</v>
      </c>
      <c r="T87" s="769">
        <f t="shared" si="39"/>
        <v>0</v>
      </c>
      <c r="U87" s="769">
        <f t="shared" si="39"/>
        <v>0</v>
      </c>
      <c r="V87" s="769">
        <f t="shared" si="39"/>
        <v>0</v>
      </c>
      <c r="W87" s="769">
        <f t="shared" si="39"/>
        <v>0</v>
      </c>
      <c r="AA87"/>
      <c r="AB87"/>
      <c r="AC87"/>
      <c r="AD87"/>
      <c r="AE87"/>
      <c r="AF87"/>
      <c r="AJ87" s="1958"/>
    </row>
    <row r="88" spans="1:36" s="812" customFormat="1" outlineLevel="1">
      <c r="A88" s="811"/>
      <c r="B88" s="1879"/>
      <c r="C88" s="1954" t="s">
        <v>334</v>
      </c>
      <c r="D88" s="1954"/>
      <c r="E88" s="1954"/>
      <c r="F88" s="1954"/>
      <c r="G88" s="1954"/>
      <c r="H88" s="770">
        <f>IF(ISERROR(IF(ROUND(SUM(H$82:H87),3)&gt;=ROUND(H$68,3),0,H$68/H$71)),"NA",IF(ROUND(SUM(H$82:H87),3)&gt;=ROUND(H$68,3),0,H$68/H$71))</f>
        <v>0</v>
      </c>
      <c r="I88" s="770">
        <f>IF(ISERROR(IF(ROUND(SUM(I$82:I87),3)&gt;=ROUND(I$68,3),0,I$68/I$71)),"NA",IF(ROUND(SUM(I$82:I87),3)&gt;=ROUND(I$68,3),0,I$68/I$71))</f>
        <v>0</v>
      </c>
      <c r="J88" s="770">
        <f>IF(ISERROR(IF(ROUND(SUM(J$82:J87),3)&gt;=ROUND(J$68,3),0,J$68/J$71)),"NA",IF(ROUND(SUM(J$82:J87),3)&gt;=ROUND(J$68,3),0,J$68/J$71))</f>
        <v>0</v>
      </c>
      <c r="K88" s="770">
        <f>IF(ISERROR(IF(ROUND(SUM(K$82:K87),3)&gt;=ROUND(K$68,3),0,K$68/K$71)),"NA",IF(ROUND(SUM(K$82:K87),3)&gt;=ROUND(K$68,3),0,K$68/K$71))</f>
        <v>0</v>
      </c>
      <c r="L88" s="770">
        <f>IF(ISERROR(IF(ROUND(SUM(L$82:L87),3)&gt;=ROUND(L$68,3),0,L$68/L$71)),"NA",IF(ROUND(SUM(L$82:L87),3)&gt;=ROUND(L$68,3),0,L$68/L$71))</f>
        <v>0</v>
      </c>
      <c r="M88" s="770">
        <f>IF(ISERROR(IF(ROUND(SUM(M$82:M87),3)&gt;=ROUND(M$68,3),0,M$68/M$71)),"NA",IF(ROUND(SUM(M$82:M87),3)&gt;=ROUND(M$68,3),0,M$68/M$71))</f>
        <v>0</v>
      </c>
      <c r="N88" s="770">
        <f>IF(ISERROR(IF(ROUND(SUM(N$82:N87),3)&gt;=ROUND(N$68,3),0,N$68/N$71)),"NA",IF(ROUND(SUM(N$82:N87),3)&gt;=ROUND(N$68,3),0,N$68/N$71))</f>
        <v>0</v>
      </c>
      <c r="O88" s="770">
        <f>IF(ISERROR(IF(ROUND(SUM(O$82:O87),3)&gt;=ROUND(O$68,3),0,O$68/O$71)),"NA",IF(ROUND(SUM(O$82:O87),3)&gt;=ROUND(O$68,3),0,O$68/O$71))</f>
        <v>0</v>
      </c>
      <c r="P88" s="770">
        <f>IF(ISERROR(IF(ROUND(SUM(P$82:P87),3)&gt;=ROUND(P$68,3),0,P$68/P$71)),"NA",IF(ROUND(SUM(P$82:P87),3)&gt;=ROUND(P$68,3),0,P$68/P$71))</f>
        <v>0</v>
      </c>
      <c r="Q88" s="769">
        <f t="shared" si="39"/>
        <v>0</v>
      </c>
      <c r="R88" s="769">
        <f t="shared" si="39"/>
        <v>0</v>
      </c>
      <c r="S88" s="769">
        <f t="shared" si="39"/>
        <v>0</v>
      </c>
      <c r="T88" s="769">
        <f t="shared" si="39"/>
        <v>0</v>
      </c>
      <c r="U88" s="769">
        <f t="shared" si="39"/>
        <v>0</v>
      </c>
      <c r="V88" s="769">
        <f t="shared" si="39"/>
        <v>0</v>
      </c>
      <c r="W88" s="769">
        <f t="shared" si="39"/>
        <v>0</v>
      </c>
      <c r="AA88"/>
      <c r="AB88"/>
      <c r="AC88"/>
      <c r="AD88"/>
      <c r="AE88"/>
      <c r="AF88"/>
      <c r="AJ88" s="1958"/>
    </row>
    <row r="89" spans="1:36" s="812" customFormat="1" outlineLevel="1">
      <c r="A89" s="811"/>
      <c r="B89" s="1879"/>
      <c r="C89" s="1954" t="s">
        <v>335</v>
      </c>
      <c r="D89" s="1954"/>
      <c r="E89" s="1954"/>
      <c r="F89" s="1954"/>
      <c r="G89" s="1954"/>
      <c r="H89" s="770">
        <f>IF(ISERROR(IF(ROUND(SUM(H$82:H88),3)&gt;=ROUND(H$68,3),0,H$68/H$71)),"NA",IF(ROUND(SUM(H$82:H88),3)&gt;=ROUND(H$68,3),0,H$68/H$71))</f>
        <v>0</v>
      </c>
      <c r="I89" s="770">
        <f>IF(ISERROR(IF(ROUND(SUM(I$82:I88),3)&gt;=ROUND(I$68,3),0,I$68/I$71)),"NA",IF(ROUND(SUM(I$82:I88),3)&gt;=ROUND(I$68,3),0,I$68/I$71))</f>
        <v>0</v>
      </c>
      <c r="J89" s="770">
        <f>IF(ISERROR(IF(ROUND(SUM(J$82:J88),3)&gt;=ROUND(J$68,3),0,J$68/J$71)),"NA",IF(ROUND(SUM(J$82:J88),3)&gt;=ROUND(J$68,3),0,J$68/J$71))</f>
        <v>0</v>
      </c>
      <c r="K89" s="770">
        <f>IF(ISERROR(IF(ROUND(SUM(K$82:K88),3)&gt;=ROUND(K$68,3),0,K$68/K$71)),"NA",IF(ROUND(SUM(K$82:K88),3)&gt;=ROUND(K$68,3),0,K$68/K$71))</f>
        <v>0</v>
      </c>
      <c r="L89" s="770">
        <f>IF(ISERROR(IF(ROUND(SUM(L$82:L88),3)&gt;=ROUND(L$68,3),0,L$68/L$71)),"NA",IF(ROUND(SUM(L$82:L88),3)&gt;=ROUND(L$68,3),0,L$68/L$71))</f>
        <v>0</v>
      </c>
      <c r="M89" s="770">
        <f>IF(ISERROR(IF(ROUND(SUM(M$82:M88),3)&gt;=ROUND(M$68,3),0,M$68/M$71)),"NA",IF(ROUND(SUM(M$82:M88),3)&gt;=ROUND(M$68,3),0,M$68/M$71))</f>
        <v>0</v>
      </c>
      <c r="N89" s="770">
        <f>IF(ISERROR(IF(ROUND(SUM(N$82:N88),3)&gt;=ROUND(N$68,3),0,N$68/N$71)),"NA",IF(ROUND(SUM(N$82:N88),3)&gt;=ROUND(N$68,3),0,N$68/N$71))</f>
        <v>0</v>
      </c>
      <c r="O89" s="770">
        <f>IF(ISERROR(IF(ROUND(SUM(O$82:O88),3)&gt;=ROUND(O$68,3),0,O$68/O$71)),"NA",IF(ROUND(SUM(O$82:O88),3)&gt;=ROUND(O$68,3),0,O$68/O$71))</f>
        <v>0</v>
      </c>
      <c r="P89" s="770">
        <f>IF(ISERROR(IF(ROUND(SUM(P$82:P88),3)&gt;=ROUND(P$68,3),0,P$68/P$71)),"NA",IF(ROUND(SUM(P$82:P88),3)&gt;=ROUND(P$68,3),0,P$68/P$71))</f>
        <v>0</v>
      </c>
      <c r="Q89" s="769">
        <f t="shared" si="39"/>
        <v>0</v>
      </c>
      <c r="R89" s="769">
        <f t="shared" si="39"/>
        <v>0</v>
      </c>
      <c r="S89" s="769">
        <f t="shared" si="39"/>
        <v>0</v>
      </c>
      <c r="T89" s="769">
        <f t="shared" si="39"/>
        <v>0</v>
      </c>
      <c r="U89" s="769">
        <f t="shared" si="39"/>
        <v>0</v>
      </c>
      <c r="V89" s="769">
        <f t="shared" si="39"/>
        <v>0</v>
      </c>
      <c r="W89" s="769">
        <f t="shared" si="39"/>
        <v>0</v>
      </c>
      <c r="AA89"/>
      <c r="AB89"/>
      <c r="AC89"/>
      <c r="AD89"/>
      <c r="AE89"/>
      <c r="AF89"/>
      <c r="AJ89" s="1958"/>
    </row>
    <row r="90" spans="1:36" s="812" customFormat="1" outlineLevel="1">
      <c r="A90" s="811"/>
      <c r="B90" s="1879"/>
      <c r="C90" s="1954" t="s">
        <v>336</v>
      </c>
      <c r="D90" s="1954"/>
      <c r="E90" s="1954"/>
      <c r="F90" s="1954"/>
      <c r="G90" s="1954"/>
      <c r="H90" s="770">
        <f>IF(ISERROR(IF(ROUND(SUM(H$82:H89),3)&gt;=ROUND(H$68,3),0,H$68/H$71)),"NA",IF(ROUND(SUM(H$82:H89),3)&gt;=ROUND(H$68,3),0,H$68/H$71))</f>
        <v>0</v>
      </c>
      <c r="I90" s="770">
        <f>IF(ISERROR(IF(ROUND(SUM(I$82:I89),3)&gt;=ROUND(I$68,3),0,I$68/I$71)),"NA",IF(ROUND(SUM(I$82:I89),3)&gt;=ROUND(I$68,3),0,I$68/I$71))</f>
        <v>0</v>
      </c>
      <c r="J90" s="770">
        <f>IF(ISERROR(IF(ROUND(SUM(J$82:J89),3)&gt;=ROUND(J$68,3),0,J$68/J$71)),"NA",IF(ROUND(SUM(J$82:J89),3)&gt;=ROUND(J$68,3),0,J$68/J$71))</f>
        <v>0</v>
      </c>
      <c r="K90" s="770">
        <f>IF(ISERROR(IF(ROUND(SUM(K$82:K89),3)&gt;=ROUND(K$68,3),0,K$68/K$71)),"NA",IF(ROUND(SUM(K$82:K89),3)&gt;=ROUND(K$68,3),0,K$68/K$71))</f>
        <v>0</v>
      </c>
      <c r="L90" s="770">
        <f>IF(ISERROR(IF(ROUND(SUM(L$82:L89),3)&gt;=ROUND(L$68,3),0,L$68/L$71)),"NA",IF(ROUND(SUM(L$82:L89),3)&gt;=ROUND(L$68,3),0,L$68/L$71))</f>
        <v>0</v>
      </c>
      <c r="M90" s="770">
        <f>IF(ISERROR(IF(ROUND(SUM(M$82:M89),3)&gt;=ROUND(M$68,3),0,M$68/M$71)),"NA",IF(ROUND(SUM(M$82:M89),3)&gt;=ROUND(M$68,3),0,M$68/M$71))</f>
        <v>0</v>
      </c>
      <c r="N90" s="770">
        <f>IF(ISERROR(IF(ROUND(SUM(N$82:N89),3)&gt;=ROUND(N$68,3),0,N$68/N$71)),"NA",IF(ROUND(SUM(N$82:N89),3)&gt;=ROUND(N$68,3),0,N$68/N$71))</f>
        <v>0</v>
      </c>
      <c r="O90" s="770">
        <f>IF(ISERROR(IF(ROUND(SUM(O$82:O89),3)&gt;=ROUND(O$68,3),0,O$68/O$71)),"NA",IF(ROUND(SUM(O$82:O89),3)&gt;=ROUND(O$68,3),0,O$68/O$71))</f>
        <v>0</v>
      </c>
      <c r="P90" s="770">
        <f>IF(ISERROR(IF(ROUND(SUM(P$82:P89),3)&gt;=ROUND(P$68,3),0,P$68/P$71)),"NA",IF(ROUND(SUM(P$82:P89),3)&gt;=ROUND(P$68,3),0,P$68/P$71))</f>
        <v>0</v>
      </c>
      <c r="Q90" s="769">
        <f t="shared" si="39"/>
        <v>0</v>
      </c>
      <c r="R90" s="769">
        <f t="shared" si="39"/>
        <v>0</v>
      </c>
      <c r="S90" s="769">
        <f t="shared" si="39"/>
        <v>0</v>
      </c>
      <c r="T90" s="769">
        <f t="shared" si="39"/>
        <v>0</v>
      </c>
      <c r="U90" s="769">
        <f t="shared" si="39"/>
        <v>0</v>
      </c>
      <c r="V90" s="769">
        <f t="shared" si="39"/>
        <v>0</v>
      </c>
      <c r="W90" s="769">
        <f t="shared" si="39"/>
        <v>0</v>
      </c>
      <c r="AA90"/>
      <c r="AB90"/>
      <c r="AC90"/>
      <c r="AD90"/>
      <c r="AE90"/>
      <c r="AF90"/>
      <c r="AJ90" s="1958"/>
    </row>
    <row r="91" spans="1:36" s="812" customFormat="1" outlineLevel="1">
      <c r="A91" s="811"/>
      <c r="B91" s="1879"/>
      <c r="C91" s="1954" t="s">
        <v>337</v>
      </c>
      <c r="D91" s="1954"/>
      <c r="E91" s="1954"/>
      <c r="F91" s="1954"/>
      <c r="G91" s="1954"/>
      <c r="H91" s="770">
        <f>IF(ISERROR(IF(ROUND(SUM(H$82:H90),3)&gt;=ROUND(H$68,3),0,H$68/H$71)),"NA",IF(ROUND(SUM(H$82:H90),3)&gt;=ROUND(H$68,3),0,H$68/H$71))</f>
        <v>0</v>
      </c>
      <c r="I91" s="770">
        <f>IF(ISERROR(IF(ROUND(SUM(I$82:I90),3)&gt;=ROUND(I$68,3),0,I$68/I$71)),"NA",IF(ROUND(SUM(I$82:I90),3)&gt;=ROUND(I$68,3),0,I$68/I$71))</f>
        <v>0</v>
      </c>
      <c r="J91" s="770">
        <f>IF(ISERROR(IF(ROUND(SUM(J$82:J90),3)&gt;=ROUND(J$68,3),0,J$68/J$71)),"NA",IF(ROUND(SUM(J$82:J90),3)&gt;=ROUND(J$68,3),0,J$68/J$71))</f>
        <v>0</v>
      </c>
      <c r="K91" s="770">
        <f>IF(ISERROR(IF(ROUND(SUM(K$82:K90),3)&gt;=ROUND(K$68,3),0,K$68/K$71)),"NA",IF(ROUND(SUM(K$82:K90),3)&gt;=ROUND(K$68,3),0,K$68/K$71))</f>
        <v>0</v>
      </c>
      <c r="L91" s="770">
        <f>IF(ISERROR(IF(ROUND(SUM(L$82:L90),3)&gt;=ROUND(L$68,3),0,L$68/L$71)),"NA",IF(ROUND(SUM(L$82:L90),3)&gt;=ROUND(L$68,3),0,L$68/L$71))</f>
        <v>0</v>
      </c>
      <c r="M91" s="770">
        <f>IF(ISERROR(IF(ROUND(SUM(M$82:M90),3)&gt;=ROUND(M$68,3),0,M$68/M$71)),"NA",IF(ROUND(SUM(M$82:M90),3)&gt;=ROUND(M$68,3),0,M$68/M$71))</f>
        <v>0</v>
      </c>
      <c r="N91" s="770">
        <f>IF(ISERROR(IF(ROUND(SUM(N$82:N90),3)&gt;=ROUND(N$68,3),0,N$68/N$71)),"NA",IF(ROUND(SUM(N$82:N90),3)&gt;=ROUND(N$68,3),0,N$68/N$71))</f>
        <v>0</v>
      </c>
      <c r="O91" s="770">
        <f>IF(ISERROR(IF(ROUND(SUM(O$82:O90),3)&gt;=ROUND(O$68,3),0,O$68/O$71)),"NA",IF(ROUND(SUM(O$82:O90),3)&gt;=ROUND(O$68,3),0,O$68/O$71))</f>
        <v>0</v>
      </c>
      <c r="P91" s="770">
        <f>IF(ISERROR(IF(ROUND(SUM(P$82:P90),3)&gt;=ROUND(P$68,3),0,P$68/P$71)),"NA",IF(ROUND(SUM(P$82:P90),3)&gt;=ROUND(P$68,3),0,P$68/P$71))</f>
        <v>0</v>
      </c>
      <c r="Q91" s="769">
        <f t="shared" si="39"/>
        <v>0</v>
      </c>
      <c r="R91" s="769">
        <f t="shared" si="39"/>
        <v>0</v>
      </c>
      <c r="S91" s="769">
        <f t="shared" si="39"/>
        <v>0</v>
      </c>
      <c r="T91" s="769">
        <f t="shared" si="39"/>
        <v>0</v>
      </c>
      <c r="U91" s="769">
        <f t="shared" si="39"/>
        <v>0</v>
      </c>
      <c r="V91" s="769">
        <f t="shared" si="39"/>
        <v>0</v>
      </c>
      <c r="W91" s="769">
        <f t="shared" si="39"/>
        <v>0</v>
      </c>
      <c r="AA91"/>
      <c r="AB91"/>
      <c r="AC91"/>
      <c r="AD91"/>
      <c r="AE91"/>
      <c r="AF91"/>
      <c r="AJ91" s="1958"/>
    </row>
    <row r="92" spans="1:36" s="812" customFormat="1" outlineLevel="1">
      <c r="A92" s="811"/>
      <c r="B92" s="1879"/>
      <c r="C92" s="1954" t="s">
        <v>338</v>
      </c>
      <c r="D92" s="1954"/>
      <c r="E92" s="1954"/>
      <c r="F92" s="1954"/>
      <c r="G92" s="1954"/>
      <c r="H92" s="770">
        <f>IF(ISERROR(IF(ROUND(SUM(H$82:H91),3)&gt;=ROUND(H$68,3),0,H$68/H$71)),"NA",IF(ROUND(SUM(H$82:H91),3)&gt;=ROUND(H$68,3),0,H$68/H$71))</f>
        <v>0</v>
      </c>
      <c r="I92" s="770">
        <f>IF(ISERROR(IF(ROUND(SUM(I$82:I91),3)&gt;=ROUND(I$68,3),0,I$68/I$71)),"NA",IF(ROUND(SUM(I$82:I91),3)&gt;=ROUND(I$68,3),0,I$68/I$71))</f>
        <v>0</v>
      </c>
      <c r="J92" s="770">
        <f>IF(ISERROR(IF(ROUND(SUM(J$82:J91),3)&gt;=ROUND(J$68,3),0,J$68/J$71)),"NA",IF(ROUND(SUM(J$82:J91),3)&gt;=ROUND(J$68,3),0,J$68/J$71))</f>
        <v>0</v>
      </c>
      <c r="K92" s="770">
        <f>IF(ISERROR(IF(ROUND(SUM(K$82:K91),3)&gt;=ROUND(K$68,3),0,K$68/K$71)),"NA",IF(ROUND(SUM(K$82:K91),3)&gt;=ROUND(K$68,3),0,K$68/K$71))</f>
        <v>0</v>
      </c>
      <c r="L92" s="770">
        <f>IF(ISERROR(IF(ROUND(SUM(L$82:L91),3)&gt;=ROUND(L$68,3),0,L$68/L$71)),"NA",IF(ROUND(SUM(L$82:L91),3)&gt;=ROUND(L$68,3),0,L$68/L$71))</f>
        <v>0</v>
      </c>
      <c r="M92" s="770">
        <f>IF(ISERROR(IF(ROUND(SUM(M$82:M91),3)&gt;=ROUND(M$68,3),0,M$68/M$71)),"NA",IF(ROUND(SUM(M$82:M91),3)&gt;=ROUND(M$68,3),0,M$68/M$71))</f>
        <v>0</v>
      </c>
      <c r="N92" s="770">
        <f>IF(ISERROR(IF(ROUND(SUM(N$82:N91),3)&gt;=ROUND(N$68,3),0,N$68/N$71)),"NA",IF(ROUND(SUM(N$82:N91),3)&gt;=ROUND(N$68,3),0,N$68/N$71))</f>
        <v>0</v>
      </c>
      <c r="O92" s="770">
        <f>IF(ISERROR(IF(ROUND(SUM(O$82:O91),3)&gt;=ROUND(O$68,3),0,O$68/O$71)),"NA",IF(ROUND(SUM(O$82:O91),3)&gt;=ROUND(O$68,3),0,O$68/O$71))</f>
        <v>0</v>
      </c>
      <c r="P92" s="770">
        <f>IF(ISERROR(IF(ROUND(SUM(P$82:P91),3)&gt;=ROUND(P$68,3),0,P$68/P$71)),"NA",IF(ROUND(SUM(P$82:P91),3)&gt;=ROUND(P$68,3),0,P$68/P$71))</f>
        <v>0</v>
      </c>
      <c r="Q92" s="769">
        <f t="shared" ref="Q92:W106" si="41">P92*(1+Q$64)</f>
        <v>0</v>
      </c>
      <c r="R92" s="769">
        <f t="shared" si="41"/>
        <v>0</v>
      </c>
      <c r="S92" s="769">
        <f t="shared" si="41"/>
        <v>0</v>
      </c>
      <c r="T92" s="769">
        <f t="shared" si="41"/>
        <v>0</v>
      </c>
      <c r="U92" s="769">
        <f t="shared" si="41"/>
        <v>0</v>
      </c>
      <c r="V92" s="769">
        <f t="shared" si="41"/>
        <v>0</v>
      </c>
      <c r="W92" s="769">
        <f t="shared" si="41"/>
        <v>0</v>
      </c>
      <c r="AA92"/>
      <c r="AB92"/>
      <c r="AC92"/>
      <c r="AD92"/>
      <c r="AE92"/>
      <c r="AF92"/>
      <c r="AJ92" s="1958"/>
    </row>
    <row r="93" spans="1:36" s="812" customFormat="1" outlineLevel="1">
      <c r="A93" s="811"/>
      <c r="B93" s="1879"/>
      <c r="C93" s="1954" t="s">
        <v>339</v>
      </c>
      <c r="D93" s="1954"/>
      <c r="E93" s="1954"/>
      <c r="F93" s="1954"/>
      <c r="G93" s="1954"/>
      <c r="H93" s="770">
        <f>IF(ISERROR(IF(ROUND(SUM(H$82:H92),3)&gt;=ROUND(H$68,3),0,H$68/H$71)),"NA",IF(ROUND(SUM(H$82:H92),3)&gt;=ROUND(H$68,3),0,H$68/H$71))</f>
        <v>0</v>
      </c>
      <c r="I93" s="770">
        <f>IF(ISERROR(IF(ROUND(SUM(I$82:I92),3)&gt;=ROUND(I$68,3),0,I$68/I$71)),"NA",IF(ROUND(SUM(I$82:I92),3)&gt;=ROUND(I$68,3),0,I$68/I$71))</f>
        <v>0</v>
      </c>
      <c r="J93" s="770">
        <f>IF(ISERROR(IF(ROUND(SUM(J$82:J92),3)&gt;=ROUND(J$68,3),0,J$68/J$71)),"NA",IF(ROUND(SUM(J$82:J92),3)&gt;=ROUND(J$68,3),0,J$68/J$71))</f>
        <v>0</v>
      </c>
      <c r="K93" s="770">
        <f>IF(ISERROR(IF(ROUND(SUM(K$82:K92),3)&gt;=ROUND(K$68,3),0,K$68/K$71)),"NA",IF(ROUND(SUM(K$82:K92),3)&gt;=ROUND(K$68,3),0,K$68/K$71))</f>
        <v>0</v>
      </c>
      <c r="L93" s="770">
        <f>IF(ISERROR(IF(ROUND(SUM(L$82:L92),3)&gt;=ROUND(L$68,3),0,L$68/L$71)),"NA",IF(ROUND(SUM(L$82:L92),3)&gt;=ROUND(L$68,3),0,L$68/L$71))</f>
        <v>0</v>
      </c>
      <c r="M93" s="770">
        <f>IF(ISERROR(IF(ROUND(SUM(M$82:M92),3)&gt;=ROUND(M$68,3),0,M$68/M$71)),"NA",IF(ROUND(SUM(M$82:M92),3)&gt;=ROUND(M$68,3),0,M$68/M$71))</f>
        <v>0</v>
      </c>
      <c r="N93" s="770">
        <f>IF(ISERROR(IF(ROUND(SUM(N$82:N92),3)&gt;=ROUND(N$68,3),0,N$68/N$71)),"NA",IF(ROUND(SUM(N$82:N92),3)&gt;=ROUND(N$68,3),0,N$68/N$71))</f>
        <v>0</v>
      </c>
      <c r="O93" s="770">
        <f>IF(ISERROR(IF(ROUND(SUM(O$82:O92),3)&gt;=ROUND(O$68,3),0,O$68/O$71)),"NA",IF(ROUND(SUM(O$82:O92),3)&gt;=ROUND(O$68,3),0,O$68/O$71))</f>
        <v>0</v>
      </c>
      <c r="P93" s="770">
        <f>IF(ISERROR(IF(ROUND(SUM(P$82:P92),3)&gt;=ROUND(P$68,3),0,P$68/P$71)),"NA",IF(ROUND(SUM(P$82:P92),3)&gt;=ROUND(P$68,3),0,P$68/P$71))</f>
        <v>0</v>
      </c>
      <c r="Q93" s="769">
        <f t="shared" si="41"/>
        <v>0</v>
      </c>
      <c r="R93" s="769">
        <f t="shared" si="41"/>
        <v>0</v>
      </c>
      <c r="S93" s="769">
        <f t="shared" si="41"/>
        <v>0</v>
      </c>
      <c r="T93" s="769">
        <f t="shared" si="41"/>
        <v>0</v>
      </c>
      <c r="U93" s="769">
        <f t="shared" si="41"/>
        <v>0</v>
      </c>
      <c r="V93" s="769">
        <f t="shared" si="41"/>
        <v>0</v>
      </c>
      <c r="W93" s="769">
        <f t="shared" si="41"/>
        <v>0</v>
      </c>
      <c r="AA93"/>
      <c r="AB93"/>
      <c r="AC93"/>
      <c r="AD93"/>
      <c r="AE93"/>
      <c r="AF93"/>
      <c r="AJ93" s="1958"/>
    </row>
    <row r="94" spans="1:36" s="812" customFormat="1" outlineLevel="1">
      <c r="A94" s="811"/>
      <c r="B94" s="1879"/>
      <c r="C94" s="1954" t="s">
        <v>340</v>
      </c>
      <c r="D94" s="1954"/>
      <c r="E94" s="1954"/>
      <c r="F94" s="1954"/>
      <c r="G94" s="1954"/>
      <c r="H94" s="770">
        <f>IF(ISERROR(IF(ROUND(SUM(H$82:H93),3)&gt;=ROUND(H$68,3),0,H$68/H$71)),"NA",IF(ROUND(SUM(H$82:H93),3)&gt;=ROUND(H$68,3),0,H$68/H$71))</f>
        <v>0</v>
      </c>
      <c r="I94" s="770">
        <f>IF(ISERROR(IF(ROUND(SUM(I$82:I93),3)&gt;=ROUND(I$68,3),0,I$68/I$71)),"NA",IF(ROUND(SUM(I$82:I93),3)&gt;=ROUND(I$68,3),0,I$68/I$71))</f>
        <v>0</v>
      </c>
      <c r="J94" s="770">
        <f>IF(ISERROR(IF(ROUND(SUM(J$82:J93),3)&gt;=ROUND(J$68,3),0,J$68/J$71)),"NA",IF(ROUND(SUM(J$82:J93),3)&gt;=ROUND(J$68,3),0,J$68/J$71))</f>
        <v>0</v>
      </c>
      <c r="K94" s="770">
        <f>IF(ISERROR(IF(ROUND(SUM(K$82:K93),3)&gt;=ROUND(K$68,3),0,K$68/K$71)),"NA",IF(ROUND(SUM(K$82:K93),3)&gt;=ROUND(K$68,3),0,K$68/K$71))</f>
        <v>0</v>
      </c>
      <c r="L94" s="770">
        <f>IF(ISERROR(IF(ROUND(SUM(L$82:L93),3)&gt;=ROUND(L$68,3),0,L$68/L$71)),"NA",IF(ROUND(SUM(L$82:L93),3)&gt;=ROUND(L$68,3),0,L$68/L$71))</f>
        <v>0</v>
      </c>
      <c r="M94" s="770">
        <f>IF(ISERROR(IF(ROUND(SUM(M$82:M93),3)&gt;=ROUND(M$68,3),0,M$68/M$71)),"NA",IF(ROUND(SUM(M$82:M93),3)&gt;=ROUND(M$68,3),0,M$68/M$71))</f>
        <v>0</v>
      </c>
      <c r="N94" s="770">
        <f>IF(ISERROR(IF(ROUND(SUM(N$82:N93),3)&gt;=ROUND(N$68,3),0,N$68/N$71)),"NA",IF(ROUND(SUM(N$82:N93),3)&gt;=ROUND(N$68,3),0,N$68/N$71))</f>
        <v>0</v>
      </c>
      <c r="O94" s="770">
        <f>IF(ISERROR(IF(ROUND(SUM(O$82:O93),3)&gt;=ROUND(O$68,3),0,O$68/O$71)),"NA",IF(ROUND(SUM(O$82:O93),3)&gt;=ROUND(O$68,3),0,O$68/O$71))</f>
        <v>0</v>
      </c>
      <c r="P94" s="770">
        <f>IF(ISERROR(IF(ROUND(SUM(P$82:P93),3)&gt;=ROUND(P$68,3),0,P$68/P$71)),"NA",IF(ROUND(SUM(P$82:P93),3)&gt;=ROUND(P$68,3),0,P$68/P$71))</f>
        <v>0</v>
      </c>
      <c r="Q94" s="769">
        <f t="shared" si="41"/>
        <v>0</v>
      </c>
      <c r="R94" s="769">
        <f t="shared" si="41"/>
        <v>0</v>
      </c>
      <c r="S94" s="769">
        <f t="shared" si="41"/>
        <v>0</v>
      </c>
      <c r="T94" s="769">
        <f t="shared" si="41"/>
        <v>0</v>
      </c>
      <c r="U94" s="769">
        <f t="shared" si="41"/>
        <v>0</v>
      </c>
      <c r="V94" s="769">
        <f t="shared" si="41"/>
        <v>0</v>
      </c>
      <c r="W94" s="769">
        <f t="shared" si="41"/>
        <v>0</v>
      </c>
      <c r="AA94"/>
      <c r="AB94"/>
      <c r="AC94"/>
      <c r="AD94"/>
      <c r="AE94"/>
      <c r="AF94"/>
      <c r="AJ94" s="1958"/>
    </row>
    <row r="95" spans="1:36" s="812" customFormat="1" outlineLevel="1">
      <c r="A95" s="811"/>
      <c r="B95" s="1879"/>
      <c r="C95" s="1954" t="s">
        <v>341</v>
      </c>
      <c r="D95" s="1954"/>
      <c r="E95" s="1954"/>
      <c r="F95" s="1954"/>
      <c r="G95" s="1954"/>
      <c r="H95" s="770">
        <f>IF(ISERROR(IF(ROUND(SUM(H$82:H94),3)&gt;=ROUND(H$68,3),0,H$68/H$71)),"NA",IF(ROUND(SUM(H$82:H94),3)&gt;=ROUND(H$68,3),0,H$68/H$71))</f>
        <v>0</v>
      </c>
      <c r="I95" s="770">
        <f>IF(ISERROR(IF(ROUND(SUM(I$82:I94),3)&gt;=ROUND(I$68,3),0,I$68/I$71)),"NA",IF(ROUND(SUM(I$82:I94),3)&gt;=ROUND(I$68,3),0,I$68/I$71))</f>
        <v>0</v>
      </c>
      <c r="J95" s="770">
        <f>IF(ISERROR(IF(ROUND(SUM(J$82:J94),3)&gt;=ROUND(J$68,3),0,J$68/J$71)),"NA",IF(ROUND(SUM(J$82:J94),3)&gt;=ROUND(J$68,3),0,J$68/J$71))</f>
        <v>0</v>
      </c>
      <c r="K95" s="770">
        <f>IF(ISERROR(IF(ROUND(SUM(K$82:K94),3)&gt;=ROUND(K$68,3),0,K$68/K$71)),"NA",IF(ROUND(SUM(K$82:K94),3)&gt;=ROUND(K$68,3),0,K$68/K$71))</f>
        <v>0</v>
      </c>
      <c r="L95" s="770">
        <f>IF(ISERROR(IF(ROUND(SUM(L$82:L94),3)&gt;=ROUND(L$68,3),0,L$68/L$71)),"NA",IF(ROUND(SUM(L$82:L94),3)&gt;=ROUND(L$68,3),0,L$68/L$71))</f>
        <v>0</v>
      </c>
      <c r="M95" s="770">
        <f>IF(ISERROR(IF(ROUND(SUM(M$82:M94),3)&gt;=ROUND(M$68,3),0,M$68/M$71)),"NA",IF(ROUND(SUM(M$82:M94),3)&gt;=ROUND(M$68,3),0,M$68/M$71))</f>
        <v>0</v>
      </c>
      <c r="N95" s="770">
        <f>IF(ISERROR(IF(ROUND(SUM(N$82:N94),3)&gt;=ROUND(N$68,3),0,N$68/N$71)),"NA",IF(ROUND(SUM(N$82:N94),3)&gt;=ROUND(N$68,3),0,N$68/N$71))</f>
        <v>0</v>
      </c>
      <c r="O95" s="770">
        <f>IF(ISERROR(IF(ROUND(SUM(O$82:O94),3)&gt;=ROUND(O$68,3),0,O$68/O$71)),"NA",IF(ROUND(SUM(O$82:O94),3)&gt;=ROUND(O$68,3),0,O$68/O$71))</f>
        <v>0</v>
      </c>
      <c r="P95" s="770">
        <f>IF(ISERROR(IF(ROUND(SUM(P$82:P94),3)&gt;=ROUND(P$68,3),0,P$68/P$71)),"NA",IF(ROUND(SUM(P$82:P94),3)&gt;=ROUND(P$68,3),0,P$68/P$71))</f>
        <v>0</v>
      </c>
      <c r="Q95" s="769">
        <f t="shared" si="41"/>
        <v>0</v>
      </c>
      <c r="R95" s="769">
        <f t="shared" si="41"/>
        <v>0</v>
      </c>
      <c r="S95" s="769">
        <f t="shared" si="41"/>
        <v>0</v>
      </c>
      <c r="T95" s="769">
        <f t="shared" si="41"/>
        <v>0</v>
      </c>
      <c r="U95" s="769">
        <f t="shared" si="41"/>
        <v>0</v>
      </c>
      <c r="V95" s="769">
        <f t="shared" si="41"/>
        <v>0</v>
      </c>
      <c r="W95" s="769">
        <f t="shared" si="41"/>
        <v>0</v>
      </c>
      <c r="AA95"/>
      <c r="AB95"/>
      <c r="AC95"/>
      <c r="AD95"/>
      <c r="AE95"/>
      <c r="AF95"/>
      <c r="AJ95" s="1958"/>
    </row>
    <row r="96" spans="1:36" s="812" customFormat="1" outlineLevel="1">
      <c r="A96" s="811"/>
      <c r="B96" s="1879"/>
      <c r="C96" s="1954" t="s">
        <v>342</v>
      </c>
      <c r="D96" s="1954"/>
      <c r="E96" s="1954"/>
      <c r="F96" s="1954"/>
      <c r="G96" s="1954"/>
      <c r="H96" s="770">
        <f>IF(ISERROR(IF(ROUND(SUM(H$82:H95),3)&gt;=ROUND(H$68,3),0,H$68/H$71)),"NA",IF(ROUND(SUM(H$82:H95),3)&gt;=ROUND(H$68,3),0,H$68/H$71))</f>
        <v>0</v>
      </c>
      <c r="I96" s="770">
        <f>IF(ISERROR(IF(ROUND(SUM(I$82:I95),3)&gt;=ROUND(I$68,3),0,I$68/I$71)),"NA",IF(ROUND(SUM(I$82:I95),3)&gt;=ROUND(I$68,3),0,I$68/I$71))</f>
        <v>0</v>
      </c>
      <c r="J96" s="770">
        <f>IF(ISERROR(IF(ROUND(SUM(J$82:J95),3)&gt;=ROUND(J$68,3),0,J$68/J$71)),"NA",IF(ROUND(SUM(J$82:J95),3)&gt;=ROUND(J$68,3),0,J$68/J$71))</f>
        <v>0</v>
      </c>
      <c r="K96" s="770">
        <f>IF(ISERROR(IF(ROUND(SUM(K$82:K95),3)&gt;=ROUND(K$68,3),0,K$68/K$71)),"NA",IF(ROUND(SUM(K$82:K95),3)&gt;=ROUND(K$68,3),0,K$68/K$71))</f>
        <v>0</v>
      </c>
      <c r="L96" s="770">
        <f>IF(ISERROR(IF(ROUND(SUM(L$82:L95),3)&gt;=ROUND(L$68,3),0,L$68/L$71)),"NA",IF(ROUND(SUM(L$82:L95),3)&gt;=ROUND(L$68,3),0,L$68/L$71))</f>
        <v>0</v>
      </c>
      <c r="M96" s="770">
        <f>IF(ISERROR(IF(ROUND(SUM(M$82:M95),3)&gt;=ROUND(M$68,3),0,M$68/M$71)),"NA",IF(ROUND(SUM(M$82:M95),3)&gt;=ROUND(M$68,3),0,M$68/M$71))</f>
        <v>0</v>
      </c>
      <c r="N96" s="770">
        <f>IF(ISERROR(IF(ROUND(SUM(N$82:N95),3)&gt;=ROUND(N$68,3),0,N$68/N$71)),"NA",IF(ROUND(SUM(N$82:N95),3)&gt;=ROUND(N$68,3),0,N$68/N$71))</f>
        <v>0</v>
      </c>
      <c r="O96" s="770">
        <f>IF(ISERROR(IF(ROUND(SUM(O$82:O95),3)&gt;=ROUND(O$68,3),0,O$68/O$71)),"NA",IF(ROUND(SUM(O$82:O95),3)&gt;=ROUND(O$68,3),0,O$68/O$71))</f>
        <v>0</v>
      </c>
      <c r="P96" s="770">
        <f>IF(ISERROR(IF(ROUND(SUM(P$82:P95),3)&gt;=ROUND(P$68,3),0,P$68/P$71)),"NA",IF(ROUND(SUM(P$82:P95),3)&gt;=ROUND(P$68,3),0,P$68/P$71))</f>
        <v>0</v>
      </c>
      <c r="Q96" s="769">
        <f t="shared" si="41"/>
        <v>0</v>
      </c>
      <c r="R96" s="769">
        <f t="shared" si="41"/>
        <v>0</v>
      </c>
      <c r="S96" s="769">
        <f t="shared" si="41"/>
        <v>0</v>
      </c>
      <c r="T96" s="769">
        <f t="shared" si="41"/>
        <v>0</v>
      </c>
      <c r="U96" s="769">
        <f t="shared" si="41"/>
        <v>0</v>
      </c>
      <c r="V96" s="769">
        <f t="shared" si="41"/>
        <v>0</v>
      </c>
      <c r="W96" s="769">
        <f t="shared" si="41"/>
        <v>0</v>
      </c>
      <c r="AA96"/>
      <c r="AB96"/>
      <c r="AC96"/>
      <c r="AD96"/>
      <c r="AE96"/>
      <c r="AF96"/>
      <c r="AJ96" s="1958"/>
    </row>
    <row r="97" spans="1:36" s="812" customFormat="1" outlineLevel="1">
      <c r="A97" s="811"/>
      <c r="B97" s="1879"/>
      <c r="C97" s="1954" t="s">
        <v>343</v>
      </c>
      <c r="D97" s="1954"/>
      <c r="E97" s="1954"/>
      <c r="F97" s="1954"/>
      <c r="G97" s="1954"/>
      <c r="H97" s="770">
        <f>IF(ISERROR(IF(ROUND(SUM(H$82:H96),3)&gt;=ROUND(H$68,3),0,H$68/H$71)),"NA",IF(ROUND(SUM(H$82:H96),3)&gt;=ROUND(H$68,3),0,H$68/H$71))</f>
        <v>0</v>
      </c>
      <c r="I97" s="770">
        <f>IF(ISERROR(IF(ROUND(SUM(I$82:I96),3)&gt;=ROUND(I$68,3),0,I$68/I$71)),"NA",IF(ROUND(SUM(I$82:I96),3)&gt;=ROUND(I$68,3),0,I$68/I$71))</f>
        <v>0</v>
      </c>
      <c r="J97" s="770">
        <f>IF(ISERROR(IF(ROUND(SUM(J$82:J96),3)&gt;=ROUND(J$68,3),0,J$68/J$71)),"NA",IF(ROUND(SUM(J$82:J96),3)&gt;=ROUND(J$68,3),0,J$68/J$71))</f>
        <v>0</v>
      </c>
      <c r="K97" s="770">
        <f>IF(ISERROR(IF(ROUND(SUM(K$82:K96),3)&gt;=ROUND(K$68,3),0,K$68/K$71)),"NA",IF(ROUND(SUM(K$82:K96),3)&gt;=ROUND(K$68,3),0,K$68/K$71))</f>
        <v>0</v>
      </c>
      <c r="L97" s="770">
        <f>IF(ISERROR(IF(ROUND(SUM(L$82:L96),3)&gt;=ROUND(L$68,3),0,L$68/L$71)),"NA",IF(ROUND(SUM(L$82:L96),3)&gt;=ROUND(L$68,3),0,L$68/L$71))</f>
        <v>0</v>
      </c>
      <c r="M97" s="770">
        <f>IF(ISERROR(IF(ROUND(SUM(M$82:M96),3)&gt;=ROUND(M$68,3),0,M$68/M$71)),"NA",IF(ROUND(SUM(M$82:M96),3)&gt;=ROUND(M$68,3),0,M$68/M$71))</f>
        <v>0</v>
      </c>
      <c r="N97" s="770">
        <f>IF(ISERROR(IF(ROUND(SUM(N$82:N96),3)&gt;=ROUND(N$68,3),0,N$68/N$71)),"NA",IF(ROUND(SUM(N$82:N96),3)&gt;=ROUND(N$68,3),0,N$68/N$71))</f>
        <v>0</v>
      </c>
      <c r="O97" s="770">
        <f>IF(ISERROR(IF(ROUND(SUM(O$82:O96),3)&gt;=ROUND(O$68,3),0,O$68/O$71)),"NA",IF(ROUND(SUM(O$82:O96),3)&gt;=ROUND(O$68,3),0,O$68/O$71))</f>
        <v>0</v>
      </c>
      <c r="P97" s="770">
        <f>IF(ISERROR(IF(ROUND(SUM(P$82:P96),3)&gt;=ROUND(P$68,3),0,P$68/P$71)),"NA",IF(ROUND(SUM(P$82:P96),3)&gt;=ROUND(P$68,3),0,P$68/P$71))</f>
        <v>0</v>
      </c>
      <c r="Q97" s="769">
        <f t="shared" si="41"/>
        <v>0</v>
      </c>
      <c r="R97" s="769">
        <f t="shared" si="41"/>
        <v>0</v>
      </c>
      <c r="S97" s="769">
        <f t="shared" si="41"/>
        <v>0</v>
      </c>
      <c r="T97" s="769">
        <f t="shared" si="41"/>
        <v>0</v>
      </c>
      <c r="U97" s="769">
        <f t="shared" si="41"/>
        <v>0</v>
      </c>
      <c r="V97" s="769">
        <f t="shared" si="41"/>
        <v>0</v>
      </c>
      <c r="W97" s="769">
        <f t="shared" si="41"/>
        <v>0</v>
      </c>
      <c r="AA97"/>
      <c r="AB97"/>
      <c r="AC97"/>
      <c r="AD97"/>
      <c r="AE97"/>
      <c r="AF97"/>
      <c r="AJ97" s="1958"/>
    </row>
    <row r="98" spans="1:36" s="812" customFormat="1" outlineLevel="1">
      <c r="A98" s="811"/>
      <c r="B98" s="1879"/>
      <c r="C98" s="1954" t="s">
        <v>344</v>
      </c>
      <c r="D98" s="1954"/>
      <c r="E98" s="1954"/>
      <c r="F98" s="1954"/>
      <c r="G98" s="1954"/>
      <c r="H98" s="770">
        <f>IF(ISERROR(IF(ROUND(SUM(H$82:H97),3)&gt;=ROUND(H$68,3),0,H$68/H$71)),"NA",IF(ROUND(SUM(H$82:H97),3)&gt;=ROUND(H$68,3),0,H$68/H$71))</f>
        <v>0</v>
      </c>
      <c r="I98" s="770">
        <f>IF(ISERROR(IF(ROUND(SUM(I$82:I97),3)&gt;=ROUND(I$68,3),0,I$68/I$71)),"NA",IF(ROUND(SUM(I$82:I97),3)&gt;=ROUND(I$68,3),0,I$68/I$71))</f>
        <v>0</v>
      </c>
      <c r="J98" s="770">
        <f>IF(ISERROR(IF(ROUND(SUM(J$82:J97),3)&gt;=ROUND(J$68,3),0,J$68/J$71)),"NA",IF(ROUND(SUM(J$82:J97),3)&gt;=ROUND(J$68,3),0,J$68/J$71))</f>
        <v>0</v>
      </c>
      <c r="K98" s="770">
        <f>IF(ISERROR(IF(ROUND(SUM(K$82:K97),3)&gt;=ROUND(K$68,3),0,K$68/K$71)),"NA",IF(ROUND(SUM(K$82:K97),3)&gt;=ROUND(K$68,3),0,K$68/K$71))</f>
        <v>0</v>
      </c>
      <c r="L98" s="770">
        <f>IF(ISERROR(IF(ROUND(SUM(L$82:L97),3)&gt;=ROUND(L$68,3),0,L$68/L$71)),"NA",IF(ROUND(SUM(L$82:L97),3)&gt;=ROUND(L$68,3),0,L$68/L$71))</f>
        <v>0</v>
      </c>
      <c r="M98" s="770">
        <f>IF(ISERROR(IF(ROUND(SUM(M$82:M97),3)&gt;=ROUND(M$68,3),0,M$68/M$71)),"NA",IF(ROUND(SUM(M$82:M97),3)&gt;=ROUND(M$68,3),0,M$68/M$71))</f>
        <v>0</v>
      </c>
      <c r="N98" s="770">
        <f>IF(ISERROR(IF(ROUND(SUM(N$82:N97),3)&gt;=ROUND(N$68,3),0,N$68/N$71)),"NA",IF(ROUND(SUM(N$82:N97),3)&gt;=ROUND(N$68,3),0,N$68/N$71))</f>
        <v>0</v>
      </c>
      <c r="O98" s="770">
        <f>IF(ISERROR(IF(ROUND(SUM(O$82:O97),3)&gt;=ROUND(O$68,3),0,O$68/O$71)),"NA",IF(ROUND(SUM(O$82:O97),3)&gt;=ROUND(O$68,3),0,O$68/O$71))</f>
        <v>0</v>
      </c>
      <c r="P98" s="770">
        <f>IF(ISERROR(IF(ROUND(SUM(P$82:P97),3)&gt;=ROUND(P$68,3),0,P$68/P$71)),"NA",IF(ROUND(SUM(P$82:P97),3)&gt;=ROUND(P$68,3),0,P$68/P$71))</f>
        <v>0</v>
      </c>
      <c r="Q98" s="769">
        <f t="shared" si="41"/>
        <v>0</v>
      </c>
      <c r="R98" s="769">
        <f t="shared" si="41"/>
        <v>0</v>
      </c>
      <c r="S98" s="769">
        <f t="shared" si="41"/>
        <v>0</v>
      </c>
      <c r="T98" s="769">
        <f t="shared" si="41"/>
        <v>0</v>
      </c>
      <c r="U98" s="769">
        <f t="shared" si="41"/>
        <v>0</v>
      </c>
      <c r="V98" s="769">
        <f t="shared" si="41"/>
        <v>0</v>
      </c>
      <c r="W98" s="769">
        <f t="shared" si="41"/>
        <v>0</v>
      </c>
      <c r="AA98"/>
      <c r="AB98"/>
      <c r="AC98"/>
      <c r="AD98"/>
      <c r="AE98"/>
      <c r="AF98"/>
      <c r="AJ98" s="1958"/>
    </row>
    <row r="99" spans="1:36" s="812" customFormat="1" outlineLevel="1">
      <c r="A99" s="811"/>
      <c r="B99" s="1879"/>
      <c r="C99" s="1954" t="s">
        <v>345</v>
      </c>
      <c r="D99" s="1954"/>
      <c r="E99" s="1954"/>
      <c r="F99" s="1954"/>
      <c r="G99" s="1954"/>
      <c r="H99" s="770">
        <f>IF(ISERROR(IF(ROUND(SUM(H$82:H98),3)&gt;=ROUND(H$68,3),0,H$68/H$71)),"NA",IF(ROUND(SUM(H$82:H98),3)&gt;=ROUND(H$68,3),0,H$68/H$71))</f>
        <v>0</v>
      </c>
      <c r="I99" s="770">
        <f>IF(ISERROR(IF(ROUND(SUM(I$82:I98),3)&gt;=ROUND(I$68,3),0,I$68/I$71)),"NA",IF(ROUND(SUM(I$82:I98),3)&gt;=ROUND(I$68,3),0,I$68/I$71))</f>
        <v>0</v>
      </c>
      <c r="J99" s="770">
        <f>IF(ISERROR(IF(ROUND(SUM(J$82:J98),3)&gt;=ROUND(J$68,3),0,J$68/J$71)),"NA",IF(ROUND(SUM(J$82:J98),3)&gt;=ROUND(J$68,3),0,J$68/J$71))</f>
        <v>0</v>
      </c>
      <c r="K99" s="770">
        <f>IF(ISERROR(IF(ROUND(SUM(K$82:K98),3)&gt;=ROUND(K$68,3),0,K$68/K$71)),"NA",IF(ROUND(SUM(K$82:K98),3)&gt;=ROUND(K$68,3),0,K$68/K$71))</f>
        <v>0</v>
      </c>
      <c r="L99" s="770">
        <f>IF(ISERROR(IF(ROUND(SUM(L$82:L98),3)&gt;=ROUND(L$68,3),0,L$68/L$71)),"NA",IF(ROUND(SUM(L$82:L98),3)&gt;=ROUND(L$68,3),0,L$68/L$71))</f>
        <v>0</v>
      </c>
      <c r="M99" s="770">
        <f>IF(ISERROR(IF(ROUND(SUM(M$82:M98),3)&gt;=ROUND(M$68,3),0,M$68/M$71)),"NA",IF(ROUND(SUM(M$82:M98),3)&gt;=ROUND(M$68,3),0,M$68/M$71))</f>
        <v>0</v>
      </c>
      <c r="N99" s="770">
        <f>IF(ISERROR(IF(ROUND(SUM(N$82:N98),3)&gt;=ROUND(N$68,3),0,N$68/N$71)),"NA",IF(ROUND(SUM(N$82:N98),3)&gt;=ROUND(N$68,3),0,N$68/N$71))</f>
        <v>0</v>
      </c>
      <c r="O99" s="770">
        <f>IF(ISERROR(IF(ROUND(SUM(O$82:O98),3)&gt;=ROUND(O$68,3),0,O$68/O$71)),"NA",IF(ROUND(SUM(O$82:O98),3)&gt;=ROUND(O$68,3),0,O$68/O$71))</f>
        <v>0</v>
      </c>
      <c r="P99" s="770">
        <f>IF(ISERROR(IF(ROUND(SUM(P$82:P98),3)&gt;=ROUND(P$68,3),0,P$68/P$71)),"NA",IF(ROUND(SUM(P$82:P98),3)&gt;=ROUND(P$68,3),0,P$68/P$71))</f>
        <v>0</v>
      </c>
      <c r="Q99" s="769">
        <f t="shared" si="41"/>
        <v>0</v>
      </c>
      <c r="R99" s="769">
        <f t="shared" si="41"/>
        <v>0</v>
      </c>
      <c r="S99" s="769">
        <f t="shared" si="41"/>
        <v>0</v>
      </c>
      <c r="T99" s="769">
        <f t="shared" si="41"/>
        <v>0</v>
      </c>
      <c r="U99" s="769">
        <f t="shared" si="41"/>
        <v>0</v>
      </c>
      <c r="V99" s="769">
        <f t="shared" si="41"/>
        <v>0</v>
      </c>
      <c r="W99" s="769">
        <f t="shared" si="41"/>
        <v>0</v>
      </c>
      <c r="AA99"/>
      <c r="AB99"/>
      <c r="AC99"/>
      <c r="AD99"/>
      <c r="AE99"/>
      <c r="AF99"/>
      <c r="AJ99" s="1958"/>
    </row>
    <row r="100" spans="1:36" s="812" customFormat="1" outlineLevel="1">
      <c r="A100" s="811"/>
      <c r="B100" s="1879"/>
      <c r="C100" s="1954" t="s">
        <v>346</v>
      </c>
      <c r="D100" s="1954"/>
      <c r="E100" s="1954"/>
      <c r="F100" s="1954"/>
      <c r="G100" s="1954"/>
      <c r="H100" s="770">
        <f>IF(ISERROR(IF(ROUND(SUM(H$82:H99),3)&gt;=ROUND(H$68,3),0,H$68/H$71)),"NA",IF(ROUND(SUM(H$82:H99),3)&gt;=ROUND(H$68,3),0,H$68/H$71))</f>
        <v>0</v>
      </c>
      <c r="I100" s="770">
        <f>IF(ISERROR(IF(ROUND(SUM(I$82:I99),3)&gt;=ROUND(I$68,3),0,I$68/I$71)),"NA",IF(ROUND(SUM(I$82:I99),3)&gt;=ROUND(I$68,3),0,I$68/I$71))</f>
        <v>0</v>
      </c>
      <c r="J100" s="770">
        <f>IF(ISERROR(IF(ROUND(SUM(J$82:J99),3)&gt;=ROUND(J$68,3),0,J$68/J$71)),"NA",IF(ROUND(SUM(J$82:J99),3)&gt;=ROUND(J$68,3),0,J$68/J$71))</f>
        <v>0</v>
      </c>
      <c r="K100" s="770">
        <f>IF(ISERROR(IF(ROUND(SUM(K$82:K99),3)&gt;=ROUND(K$68,3),0,K$68/K$71)),"NA",IF(ROUND(SUM(K$82:K99),3)&gt;=ROUND(K$68,3),0,K$68/K$71))</f>
        <v>0</v>
      </c>
      <c r="L100" s="770">
        <f>IF(ISERROR(IF(ROUND(SUM(L$82:L99),3)&gt;=ROUND(L$68,3),0,L$68/L$71)),"NA",IF(ROUND(SUM(L$82:L99),3)&gt;=ROUND(L$68,3),0,L$68/L$71))</f>
        <v>0</v>
      </c>
      <c r="M100" s="770">
        <f>IF(ISERROR(IF(ROUND(SUM(M$82:M99),3)&gt;=ROUND(M$68,3),0,M$68/M$71)),"NA",IF(ROUND(SUM(M$82:M99),3)&gt;=ROUND(M$68,3),0,M$68/M$71))</f>
        <v>0</v>
      </c>
      <c r="N100" s="770">
        <f>IF(ISERROR(IF(ROUND(SUM(N$82:N99),3)&gt;=ROUND(N$68,3),0,N$68/N$71)),"NA",IF(ROUND(SUM(N$82:N99),3)&gt;=ROUND(N$68,3),0,N$68/N$71))</f>
        <v>0</v>
      </c>
      <c r="O100" s="770">
        <f>IF(ISERROR(IF(ROUND(SUM(O$82:O99),3)&gt;=ROUND(O$68,3),0,O$68/O$71)),"NA",IF(ROUND(SUM(O$82:O99),3)&gt;=ROUND(O$68,3),0,O$68/O$71))</f>
        <v>0</v>
      </c>
      <c r="P100" s="770">
        <f>IF(ISERROR(IF(ROUND(SUM(P$82:P99),3)&gt;=ROUND(P$68,3),0,P$68/P$71)),"NA",IF(ROUND(SUM(P$82:P99),3)&gt;=ROUND(P$68,3),0,P$68/P$71))</f>
        <v>0</v>
      </c>
      <c r="Q100" s="769">
        <f t="shared" si="41"/>
        <v>0</v>
      </c>
      <c r="R100" s="769">
        <f t="shared" si="41"/>
        <v>0</v>
      </c>
      <c r="S100" s="769">
        <f t="shared" si="41"/>
        <v>0</v>
      </c>
      <c r="T100" s="769">
        <f t="shared" si="41"/>
        <v>0</v>
      </c>
      <c r="U100" s="769">
        <f t="shared" si="41"/>
        <v>0</v>
      </c>
      <c r="V100" s="769">
        <f t="shared" si="41"/>
        <v>0</v>
      </c>
      <c r="W100" s="769">
        <f t="shared" si="41"/>
        <v>0</v>
      </c>
      <c r="AA100"/>
      <c r="AB100"/>
      <c r="AC100"/>
      <c r="AD100"/>
      <c r="AE100"/>
      <c r="AF100"/>
      <c r="AJ100" s="1958"/>
    </row>
    <row r="101" spans="1:36" s="812" customFormat="1" outlineLevel="1">
      <c r="A101" s="811"/>
      <c r="B101" s="1879"/>
      <c r="C101" s="1954" t="s">
        <v>347</v>
      </c>
      <c r="D101" s="1954"/>
      <c r="E101" s="1954"/>
      <c r="F101" s="1954"/>
      <c r="G101" s="1954"/>
      <c r="H101" s="770">
        <f>IF(ISERROR(IF(ROUND(SUM(H$82:H100),3)&gt;=ROUND(H$68,3),0,H$68/H$71)),"NA",IF(ROUND(SUM(H$82:H100),3)&gt;=ROUND(H$68,3),0,H$68/H$71))</f>
        <v>0</v>
      </c>
      <c r="I101" s="770">
        <f>IF(ISERROR(IF(ROUND(SUM(I$82:I100),3)&gt;=ROUND(I$68,3),0,I$68/I$71)),"NA",IF(ROUND(SUM(I$82:I100),3)&gt;=ROUND(I$68,3),0,I$68/I$71))</f>
        <v>0</v>
      </c>
      <c r="J101" s="770">
        <f>IF(ISERROR(IF(ROUND(SUM(J$82:J100),3)&gt;=ROUND(J$68,3),0,J$68/J$71)),"NA",IF(ROUND(SUM(J$82:J100),3)&gt;=ROUND(J$68,3),0,J$68/J$71))</f>
        <v>0</v>
      </c>
      <c r="K101" s="770">
        <f>IF(ISERROR(IF(ROUND(SUM(K$82:K100),3)&gt;=ROUND(K$68,3),0,K$68/K$71)),"NA",IF(ROUND(SUM(K$82:K100),3)&gt;=ROUND(K$68,3),0,K$68/K$71))</f>
        <v>0</v>
      </c>
      <c r="L101" s="770">
        <f>IF(ISERROR(IF(ROUND(SUM(L$82:L100),3)&gt;=ROUND(L$68,3),0,L$68/L$71)),"NA",IF(ROUND(SUM(L$82:L100),3)&gt;=ROUND(L$68,3),0,L$68/L$71))</f>
        <v>0</v>
      </c>
      <c r="M101" s="770">
        <f>IF(ISERROR(IF(ROUND(SUM(M$82:M100),3)&gt;=ROUND(M$68,3),0,M$68/M$71)),"NA",IF(ROUND(SUM(M$82:M100),3)&gt;=ROUND(M$68,3),0,M$68/M$71))</f>
        <v>0</v>
      </c>
      <c r="N101" s="770">
        <f>IF(ISERROR(IF(ROUND(SUM(N$82:N100),3)&gt;=ROUND(N$68,3),0,N$68/N$71)),"NA",IF(ROUND(SUM(N$82:N100),3)&gt;=ROUND(N$68,3),0,N$68/N$71))</f>
        <v>0</v>
      </c>
      <c r="O101" s="770">
        <f>IF(ISERROR(IF(ROUND(SUM(O$82:O100),3)&gt;=ROUND(O$68,3),0,O$68/O$71)),"NA",IF(ROUND(SUM(O$82:O100),3)&gt;=ROUND(O$68,3),0,O$68/O$71))</f>
        <v>0</v>
      </c>
      <c r="P101" s="770">
        <f>IF(ISERROR(IF(ROUND(SUM(P$82:P100),3)&gt;=ROUND(P$68,3),0,P$68/P$71)),"NA",IF(ROUND(SUM(P$82:P100),3)&gt;=ROUND(P$68,3),0,P$68/P$71))</f>
        <v>0</v>
      </c>
      <c r="Q101" s="769">
        <f t="shared" si="41"/>
        <v>0</v>
      </c>
      <c r="R101" s="769">
        <f t="shared" si="41"/>
        <v>0</v>
      </c>
      <c r="S101" s="769">
        <f t="shared" si="41"/>
        <v>0</v>
      </c>
      <c r="T101" s="769">
        <f t="shared" si="41"/>
        <v>0</v>
      </c>
      <c r="U101" s="769">
        <f t="shared" si="41"/>
        <v>0</v>
      </c>
      <c r="V101" s="769">
        <f t="shared" si="41"/>
        <v>0</v>
      </c>
      <c r="W101" s="769">
        <f t="shared" si="41"/>
        <v>0</v>
      </c>
      <c r="AA101"/>
      <c r="AB101"/>
      <c r="AC101"/>
      <c r="AD101"/>
      <c r="AE101"/>
      <c r="AF101"/>
      <c r="AJ101" s="1958"/>
    </row>
    <row r="102" spans="1:36" s="812" customFormat="1" outlineLevel="1">
      <c r="A102" s="811"/>
      <c r="B102" s="1879"/>
      <c r="C102" s="1954" t="s">
        <v>348</v>
      </c>
      <c r="D102" s="1954"/>
      <c r="E102" s="1954"/>
      <c r="F102" s="1954"/>
      <c r="G102" s="1954"/>
      <c r="H102" s="770">
        <f>IF(ISERROR(IF(ROUND(SUM(H$82:H101),3)&gt;=ROUND(H$68,3),0,H$68/H$71)),"NA",IF(ROUND(SUM(H$82:H101),3)&gt;=ROUND(H$68,3),0,H$68/H$71))</f>
        <v>0</v>
      </c>
      <c r="I102" s="770">
        <f>IF(ISERROR(IF(ROUND(SUM(I$82:I101),3)&gt;=ROUND(I$68,3),0,I$68/I$71)),"NA",IF(ROUND(SUM(I$82:I101),3)&gt;=ROUND(I$68,3),0,I$68/I$71))</f>
        <v>0</v>
      </c>
      <c r="J102" s="770">
        <f>IF(ISERROR(IF(ROUND(SUM(J$82:J101),3)&gt;=ROUND(J$68,3),0,J$68/J$71)),"NA",IF(ROUND(SUM(J$82:J101),3)&gt;=ROUND(J$68,3),0,J$68/J$71))</f>
        <v>0</v>
      </c>
      <c r="K102" s="770">
        <f>IF(ISERROR(IF(ROUND(SUM(K$82:K101),3)&gt;=ROUND(K$68,3),0,K$68/K$71)),"NA",IF(ROUND(SUM(K$82:K101),3)&gt;=ROUND(K$68,3),0,K$68/K$71))</f>
        <v>0</v>
      </c>
      <c r="L102" s="770">
        <f>IF(ISERROR(IF(ROUND(SUM(L$82:L101),3)&gt;=ROUND(L$68,3),0,L$68/L$71)),"NA",IF(ROUND(SUM(L$82:L101),3)&gt;=ROUND(L$68,3),0,L$68/L$71))</f>
        <v>0</v>
      </c>
      <c r="M102" s="770">
        <f>IF(ISERROR(IF(ROUND(SUM(M$82:M101),3)&gt;=ROUND(M$68,3),0,M$68/M$71)),"NA",IF(ROUND(SUM(M$82:M101),3)&gt;=ROUND(M$68,3),0,M$68/M$71))</f>
        <v>0</v>
      </c>
      <c r="N102" s="770">
        <f>IF(ISERROR(IF(ROUND(SUM(N$82:N101),3)&gt;=ROUND(N$68,3),0,N$68/N$71)),"NA",IF(ROUND(SUM(N$82:N101),3)&gt;=ROUND(N$68,3),0,N$68/N$71))</f>
        <v>0</v>
      </c>
      <c r="O102" s="770">
        <f>IF(ISERROR(IF(ROUND(SUM(O$82:O101),3)&gt;=ROUND(O$68,3),0,O$68/O$71)),"NA",IF(ROUND(SUM(O$82:O101),3)&gt;=ROUND(O$68,3),0,O$68/O$71))</f>
        <v>0</v>
      </c>
      <c r="P102" s="770">
        <f>IF(ISERROR(IF(ROUND(SUM(P$82:P101),3)&gt;=ROUND(P$68,3),0,P$68/P$71)),"NA",IF(ROUND(SUM(P$82:P101),3)&gt;=ROUND(P$68,3),0,P$68/P$71))</f>
        <v>0</v>
      </c>
      <c r="Q102" s="769">
        <f t="shared" si="41"/>
        <v>0</v>
      </c>
      <c r="R102" s="769">
        <f t="shared" si="41"/>
        <v>0</v>
      </c>
      <c r="S102" s="769">
        <f t="shared" si="41"/>
        <v>0</v>
      </c>
      <c r="T102" s="769">
        <f t="shared" si="41"/>
        <v>0</v>
      </c>
      <c r="U102" s="769">
        <f t="shared" si="41"/>
        <v>0</v>
      </c>
      <c r="V102" s="769">
        <f t="shared" si="41"/>
        <v>0</v>
      </c>
      <c r="W102" s="769">
        <f t="shared" si="41"/>
        <v>0</v>
      </c>
      <c r="AA102"/>
      <c r="AB102"/>
      <c r="AC102"/>
      <c r="AD102"/>
      <c r="AE102"/>
      <c r="AF102"/>
      <c r="AJ102" s="1958"/>
    </row>
    <row r="103" spans="1:36" s="812" customFormat="1" outlineLevel="1">
      <c r="A103" s="811"/>
      <c r="B103" s="1879"/>
      <c r="C103" s="1954" t="s">
        <v>349</v>
      </c>
      <c r="D103" s="1954"/>
      <c r="E103" s="1954"/>
      <c r="F103" s="1954"/>
      <c r="G103" s="1954"/>
      <c r="H103" s="770">
        <f>IF(ISERROR(IF(ROUND(SUM(H$82:H102),3)&gt;=ROUND(H$68,3),0,H$68/H$71)),"NA",IF(ROUND(SUM(H$82:H102),3)&gt;=ROUND(H$68,3),0,H$68/H$71))</f>
        <v>0</v>
      </c>
      <c r="I103" s="770">
        <f>IF(ISERROR(IF(ROUND(SUM(I$82:I102),3)&gt;=ROUND(I$68,3),0,I$68/I$71)),"NA",IF(ROUND(SUM(I$82:I102),3)&gt;=ROUND(I$68,3),0,I$68/I$71))</f>
        <v>0</v>
      </c>
      <c r="J103" s="770">
        <f>IF(ISERROR(IF(ROUND(SUM(J$82:J102),3)&gt;=ROUND(J$68,3),0,J$68/J$71)),"NA",IF(ROUND(SUM(J$82:J102),3)&gt;=ROUND(J$68,3),0,J$68/J$71))</f>
        <v>0</v>
      </c>
      <c r="K103" s="770">
        <f>IF(ISERROR(IF(ROUND(SUM(K$82:K102),3)&gt;=ROUND(K$68,3),0,K$68/K$71)),"NA",IF(ROUND(SUM(K$82:K102),3)&gt;=ROUND(K$68,3),0,K$68/K$71))</f>
        <v>0</v>
      </c>
      <c r="L103" s="770">
        <f>IF(ISERROR(IF(ROUND(SUM(L$82:L102),3)&gt;=ROUND(L$68,3),0,L$68/L$71)),"NA",IF(ROUND(SUM(L$82:L102),3)&gt;=ROUND(L$68,3),0,L$68/L$71))</f>
        <v>0</v>
      </c>
      <c r="M103" s="770">
        <f>IF(ISERROR(IF(ROUND(SUM(M$82:M102),3)&gt;=ROUND(M$68,3),0,M$68/M$71)),"NA",IF(ROUND(SUM(M$82:M102),3)&gt;=ROUND(M$68,3),0,M$68/M$71))</f>
        <v>0</v>
      </c>
      <c r="N103" s="770">
        <f>IF(ISERROR(IF(ROUND(SUM(N$82:N102),3)&gt;=ROUND(N$68,3),0,N$68/N$71)),"NA",IF(ROUND(SUM(N$82:N102),3)&gt;=ROUND(N$68,3),0,N$68/N$71))</f>
        <v>0</v>
      </c>
      <c r="O103" s="770">
        <f>IF(ISERROR(IF(ROUND(SUM(O$82:O102),3)&gt;=ROUND(O$68,3),0,O$68/O$71)),"NA",IF(ROUND(SUM(O$82:O102),3)&gt;=ROUND(O$68,3),0,O$68/O$71))</f>
        <v>0</v>
      </c>
      <c r="P103" s="770">
        <f>IF(ISERROR(IF(ROUND(SUM(P$82:P102),3)&gt;=ROUND(P$68,3),0,P$68/P$71)),"NA",IF(ROUND(SUM(P$82:P102),3)&gt;=ROUND(P$68,3),0,P$68/P$71))</f>
        <v>0</v>
      </c>
      <c r="Q103" s="769">
        <f t="shared" si="41"/>
        <v>0</v>
      </c>
      <c r="R103" s="769">
        <f t="shared" si="41"/>
        <v>0</v>
      </c>
      <c r="S103" s="769">
        <f t="shared" si="41"/>
        <v>0</v>
      </c>
      <c r="T103" s="769">
        <f t="shared" si="41"/>
        <v>0</v>
      </c>
      <c r="U103" s="769">
        <f t="shared" si="41"/>
        <v>0</v>
      </c>
      <c r="V103" s="769">
        <f t="shared" si="41"/>
        <v>0</v>
      </c>
      <c r="W103" s="769">
        <f t="shared" si="41"/>
        <v>0</v>
      </c>
      <c r="AA103"/>
      <c r="AB103"/>
      <c r="AC103"/>
      <c r="AD103"/>
      <c r="AE103"/>
      <c r="AF103"/>
      <c r="AJ103" s="1958"/>
    </row>
    <row r="104" spans="1:36" s="812" customFormat="1" outlineLevel="1">
      <c r="A104" s="811"/>
      <c r="B104" s="1879"/>
      <c r="C104" s="1954" t="s">
        <v>350</v>
      </c>
      <c r="D104" s="1954"/>
      <c r="E104" s="1954"/>
      <c r="F104" s="1954"/>
      <c r="G104" s="1954"/>
      <c r="H104" s="770">
        <f>IF(ISERROR(IF(ROUND(SUM(H$82:H103),3)&gt;=ROUND(H$68,3),0,H$68/H$71)),"NA",IF(ROUND(SUM(H$82:H103),3)&gt;=ROUND(H$68,3),0,H$68/H$71))</f>
        <v>0</v>
      </c>
      <c r="I104" s="770">
        <f>IF(ISERROR(IF(ROUND(SUM(I$82:I103),3)&gt;=ROUND(I$68,3),0,I$68/I$71)),"NA",IF(ROUND(SUM(I$82:I103),3)&gt;=ROUND(I$68,3),0,I$68/I$71))</f>
        <v>0</v>
      </c>
      <c r="J104" s="770">
        <f>IF(ISERROR(IF(ROUND(SUM(J$82:J103),3)&gt;=ROUND(J$68,3),0,J$68/J$71)),"NA",IF(ROUND(SUM(J$82:J103),3)&gt;=ROUND(J$68,3),0,J$68/J$71))</f>
        <v>0</v>
      </c>
      <c r="K104" s="770">
        <f>IF(ISERROR(IF(ROUND(SUM(K$82:K103),3)&gt;=ROUND(K$68,3),0,K$68/K$71)),"NA",IF(ROUND(SUM(K$82:K103),3)&gt;=ROUND(K$68,3),0,K$68/K$71))</f>
        <v>0</v>
      </c>
      <c r="L104" s="770">
        <f>IF(ISERROR(IF(ROUND(SUM(L$82:L103),3)&gt;=ROUND(L$68,3),0,L$68/L$71)),"NA",IF(ROUND(SUM(L$82:L103),3)&gt;=ROUND(L$68,3),0,L$68/L$71))</f>
        <v>0</v>
      </c>
      <c r="M104" s="770">
        <f>IF(ISERROR(IF(ROUND(SUM(M$82:M103),3)&gt;=ROUND(M$68,3),0,M$68/M$71)),"NA",IF(ROUND(SUM(M$82:M103),3)&gt;=ROUND(M$68,3),0,M$68/M$71))</f>
        <v>0</v>
      </c>
      <c r="N104" s="770">
        <f>IF(ISERROR(IF(ROUND(SUM(N$82:N103),3)&gt;=ROUND(N$68,3),0,N$68/N$71)),"NA",IF(ROUND(SUM(N$82:N103),3)&gt;=ROUND(N$68,3),0,N$68/N$71))</f>
        <v>0</v>
      </c>
      <c r="O104" s="770">
        <f>IF(ISERROR(IF(ROUND(SUM(O$82:O103),3)&gt;=ROUND(O$68,3),0,O$68/O$71)),"NA",IF(ROUND(SUM(O$82:O103),3)&gt;=ROUND(O$68,3),0,O$68/O$71))</f>
        <v>0</v>
      </c>
      <c r="P104" s="770">
        <f>IF(ISERROR(IF(ROUND(SUM(P$82:P103),3)&gt;=ROUND(P$68,3),0,P$68/P$71)),"NA",IF(ROUND(SUM(P$82:P103),3)&gt;=ROUND(P$68,3),0,P$68/P$71))</f>
        <v>0</v>
      </c>
      <c r="Q104" s="769">
        <f t="shared" si="41"/>
        <v>0</v>
      </c>
      <c r="R104" s="769">
        <f t="shared" si="41"/>
        <v>0</v>
      </c>
      <c r="S104" s="769">
        <f t="shared" si="41"/>
        <v>0</v>
      </c>
      <c r="T104" s="769">
        <f t="shared" si="41"/>
        <v>0</v>
      </c>
      <c r="U104" s="769">
        <f t="shared" si="41"/>
        <v>0</v>
      </c>
      <c r="V104" s="769">
        <f t="shared" si="41"/>
        <v>0</v>
      </c>
      <c r="W104" s="769">
        <f t="shared" si="41"/>
        <v>0</v>
      </c>
      <c r="AA104"/>
      <c r="AB104"/>
      <c r="AC104"/>
      <c r="AD104"/>
      <c r="AE104"/>
      <c r="AF104"/>
      <c r="AJ104" s="1958"/>
    </row>
    <row r="105" spans="1:36" s="812" customFormat="1" outlineLevel="1">
      <c r="A105" s="811"/>
      <c r="B105" s="1879"/>
      <c r="C105" s="1954" t="s">
        <v>351</v>
      </c>
      <c r="D105" s="1954"/>
      <c r="E105" s="1954"/>
      <c r="F105" s="1954"/>
      <c r="G105" s="1954"/>
      <c r="H105" s="770">
        <f>IF(ISERROR(IF(ROUND(SUM(H$82:H104),3)&gt;=ROUND(H$68,3),0,H$68/H$71)),"NA",IF(ROUND(SUM(H$82:H104),3)&gt;=ROUND(H$68,3),0,H$68/H$71))</f>
        <v>0</v>
      </c>
      <c r="I105" s="770">
        <f>IF(ISERROR(IF(ROUND(SUM(I$82:I104),3)&gt;=ROUND(I$68,3),0,I$68/I$71)),"NA",IF(ROUND(SUM(I$82:I104),3)&gt;=ROUND(I$68,3),0,I$68/I$71))</f>
        <v>0</v>
      </c>
      <c r="J105" s="770">
        <f>IF(ISERROR(IF(ROUND(SUM(J$82:J104),3)&gt;=ROUND(J$68,3),0,J$68/J$71)),"NA",IF(ROUND(SUM(J$82:J104),3)&gt;=ROUND(J$68,3),0,J$68/J$71))</f>
        <v>0</v>
      </c>
      <c r="K105" s="770">
        <f>IF(ISERROR(IF(ROUND(SUM(K$82:K104),3)&gt;=ROUND(K$68,3),0,K$68/K$71)),"NA",IF(ROUND(SUM(K$82:K104),3)&gt;=ROUND(K$68,3),0,K$68/K$71))</f>
        <v>0</v>
      </c>
      <c r="L105" s="770">
        <f>IF(ISERROR(IF(ROUND(SUM(L$82:L104),3)&gt;=ROUND(L$68,3),0,L$68/L$71)),"NA",IF(ROUND(SUM(L$82:L104),3)&gt;=ROUND(L$68,3),0,L$68/L$71))</f>
        <v>0</v>
      </c>
      <c r="M105" s="770">
        <f>IF(ISERROR(IF(ROUND(SUM(M$82:M104),3)&gt;=ROUND(M$68,3),0,M$68/M$71)),"NA",IF(ROUND(SUM(M$82:M104),3)&gt;=ROUND(M$68,3),0,M$68/M$71))</f>
        <v>0</v>
      </c>
      <c r="N105" s="770">
        <f>IF(ISERROR(IF(ROUND(SUM(N$82:N104),3)&gt;=ROUND(N$68,3),0,N$68/N$71)),"NA",IF(ROUND(SUM(N$82:N104),3)&gt;=ROUND(N$68,3),0,N$68/N$71))</f>
        <v>0</v>
      </c>
      <c r="O105" s="770">
        <f>IF(ISERROR(IF(ROUND(SUM(O$82:O104),3)&gt;=ROUND(O$68,3),0,O$68/O$71)),"NA",IF(ROUND(SUM(O$82:O104),3)&gt;=ROUND(O$68,3),0,O$68/O$71))</f>
        <v>0</v>
      </c>
      <c r="P105" s="770">
        <f>IF(ISERROR(IF(ROUND(SUM(P$82:P104),3)&gt;=ROUND(P$68,3),0,P$68/P$71)),"NA",IF(ROUND(SUM(P$82:P104),3)&gt;=ROUND(P$68,3),0,P$68/P$71))</f>
        <v>0</v>
      </c>
      <c r="Q105" s="769">
        <f t="shared" si="41"/>
        <v>0</v>
      </c>
      <c r="R105" s="769">
        <f t="shared" si="41"/>
        <v>0</v>
      </c>
      <c r="S105" s="769">
        <f t="shared" si="41"/>
        <v>0</v>
      </c>
      <c r="T105" s="769">
        <f t="shared" si="41"/>
        <v>0</v>
      </c>
      <c r="U105" s="769">
        <f t="shared" si="41"/>
        <v>0</v>
      </c>
      <c r="V105" s="769">
        <f t="shared" si="41"/>
        <v>0</v>
      </c>
      <c r="W105" s="769">
        <f t="shared" si="41"/>
        <v>0</v>
      </c>
      <c r="AA105"/>
      <c r="AB105"/>
      <c r="AC105"/>
      <c r="AD105"/>
      <c r="AE105"/>
      <c r="AF105"/>
      <c r="AJ105" s="1958"/>
    </row>
    <row r="106" spans="1:36" s="812" customFormat="1" outlineLevel="1">
      <c r="A106" s="811"/>
      <c r="B106" s="1879"/>
      <c r="C106" s="1954" t="s">
        <v>352</v>
      </c>
      <c r="D106" s="1954"/>
      <c r="E106" s="1954"/>
      <c r="F106" s="1954"/>
      <c r="G106" s="1954"/>
      <c r="H106" s="770">
        <f>IF(ISERROR(IF(ROUND(SUM(H$82:H105),3)&gt;=ROUND(H$68,3),0,H$68/H$71)),"NA",IF(ROUND(SUM(H$82:H105),3)&gt;=ROUND(H$68,3),0,H$68/H$71))</f>
        <v>0</v>
      </c>
      <c r="I106" s="770">
        <f>IF(ISERROR(IF(ROUND(SUM(I$82:I105),3)&gt;=ROUND(I$68,3),0,I$68/I$71)),"NA",IF(ROUND(SUM(I$82:I105),3)&gt;=ROUND(I$68,3),0,I$68/I$71))</f>
        <v>0</v>
      </c>
      <c r="J106" s="770">
        <f>IF(ISERROR(IF(ROUND(SUM(J$82:J105),3)&gt;=ROUND(J$68,3),0,J$68/J$71)),"NA",IF(ROUND(SUM(J$82:J105),3)&gt;=ROUND(J$68,3),0,J$68/J$71))</f>
        <v>0</v>
      </c>
      <c r="K106" s="770">
        <f>IF(ISERROR(IF(ROUND(SUM(K$82:K105),3)&gt;=ROUND(K$68,3),0,K$68/K$71)),"NA",IF(ROUND(SUM(K$82:K105),3)&gt;=ROUND(K$68,3),0,K$68/K$71))</f>
        <v>0</v>
      </c>
      <c r="L106" s="770">
        <f>IF(ISERROR(IF(ROUND(SUM(L$82:L105),3)&gt;=ROUND(L$68,3),0,L$68/L$71)),"NA",IF(ROUND(SUM(L$82:L105),3)&gt;=ROUND(L$68,3),0,L$68/L$71))</f>
        <v>0</v>
      </c>
      <c r="M106" s="770">
        <f>IF(ISERROR(IF(ROUND(SUM(M$82:M105),3)&gt;=ROUND(M$68,3),0,M$68/M$71)),"NA",IF(ROUND(SUM(M$82:M105),3)&gt;=ROUND(M$68,3),0,M$68/M$71))</f>
        <v>0</v>
      </c>
      <c r="N106" s="770">
        <f>IF(ISERROR(IF(ROUND(SUM(N$82:N105),3)&gt;=ROUND(N$68,3),0,N$68/N$71)),"NA",IF(ROUND(SUM(N$82:N105),3)&gt;=ROUND(N$68,3),0,N$68/N$71))</f>
        <v>0</v>
      </c>
      <c r="O106" s="770">
        <f>IF(ISERROR(IF(ROUND(SUM(O$82:O105),3)&gt;=ROUND(O$68,3),0,O$68/O$71)),"NA",IF(ROUND(SUM(O$82:O105),3)&gt;=ROUND(O$68,3),0,O$68/O$71))</f>
        <v>0</v>
      </c>
      <c r="P106" s="770">
        <f>IF(ISERROR(IF(ROUND(SUM(P$82:P105),3)&gt;=ROUND(P$68,3),0,P$68/P$71)),"NA",IF(ROUND(SUM(P$82:P105),3)&gt;=ROUND(P$68,3),0,P$68/P$71))</f>
        <v>0</v>
      </c>
      <c r="Q106" s="769">
        <f t="shared" si="41"/>
        <v>0</v>
      </c>
      <c r="R106" s="769">
        <f t="shared" si="41"/>
        <v>0</v>
      </c>
      <c r="S106" s="769">
        <f t="shared" si="41"/>
        <v>0</v>
      </c>
      <c r="T106" s="769">
        <f t="shared" si="41"/>
        <v>0</v>
      </c>
      <c r="U106" s="769">
        <f t="shared" si="41"/>
        <v>0</v>
      </c>
      <c r="V106" s="769">
        <f t="shared" si="41"/>
        <v>0</v>
      </c>
      <c r="W106" s="769">
        <f t="shared" si="41"/>
        <v>0</v>
      </c>
      <c r="AA106"/>
      <c r="AB106"/>
      <c r="AC106"/>
      <c r="AD106"/>
      <c r="AE106"/>
      <c r="AF106"/>
      <c r="AJ106" s="1958"/>
    </row>
    <row r="107" spans="1:36" s="812" customFormat="1" ht="11.25" customHeight="1">
      <c r="A107" s="811"/>
      <c r="B107" s="1964"/>
      <c r="C107" s="1965" t="s">
        <v>353</v>
      </c>
      <c r="D107" s="1965"/>
      <c r="E107" s="1965"/>
      <c r="F107" s="1965"/>
      <c r="G107" s="1965"/>
      <c r="H107" s="813"/>
      <c r="I107" s="813"/>
      <c r="J107" s="813"/>
      <c r="K107" s="813"/>
      <c r="L107" s="813"/>
      <c r="M107" s="813"/>
      <c r="N107" s="813"/>
      <c r="O107" s="813"/>
      <c r="P107" s="813"/>
      <c r="AA107"/>
      <c r="AB107"/>
      <c r="AC107"/>
      <c r="AD107"/>
      <c r="AE107"/>
      <c r="AF107"/>
      <c r="AJ107" s="1958"/>
    </row>
    <row r="108" spans="1:36" s="815" customFormat="1" ht="11.25" customHeight="1">
      <c r="A108" s="814"/>
      <c r="B108" s="1966"/>
      <c r="C108" s="1965"/>
      <c r="D108" s="1965"/>
      <c r="E108" s="1965"/>
      <c r="F108" s="1965"/>
      <c r="G108" s="1965"/>
      <c r="AA108"/>
      <c r="AB108"/>
      <c r="AC108"/>
      <c r="AD108"/>
      <c r="AE108"/>
      <c r="AF108"/>
      <c r="AJ108" s="1958"/>
    </row>
    <row r="109" spans="1:36" s="812" customFormat="1" outlineLevel="1">
      <c r="A109" s="811"/>
      <c r="B109" s="1964"/>
      <c r="C109" s="816"/>
      <c r="D109" s="816"/>
      <c r="E109" s="816"/>
      <c r="F109" s="816"/>
      <c r="G109" s="816"/>
      <c r="H109" s="1967"/>
      <c r="I109" s="769"/>
      <c r="J109" s="769"/>
      <c r="K109" s="769"/>
      <c r="L109" s="769"/>
      <c r="M109" s="769"/>
      <c r="N109" s="769"/>
      <c r="O109" s="769"/>
      <c r="P109" s="769"/>
      <c r="Q109" s="769"/>
      <c r="R109" s="769"/>
      <c r="S109" s="769"/>
      <c r="T109" s="769"/>
      <c r="U109" s="769"/>
      <c r="V109" s="769"/>
      <c r="W109" s="769"/>
      <c r="AA109"/>
      <c r="AB109"/>
      <c r="AC109"/>
      <c r="AD109"/>
      <c r="AE109"/>
      <c r="AF109"/>
      <c r="AJ109" s="1958"/>
    </row>
    <row r="110" spans="1:36" s="812" customFormat="1" ht="12.75" customHeight="1" outlineLevel="1">
      <c r="A110" s="811"/>
      <c r="B110" s="1968" t="s">
        <v>694</v>
      </c>
      <c r="C110" s="779" t="s">
        <v>354</v>
      </c>
      <c r="D110" s="779"/>
      <c r="E110" s="779"/>
      <c r="F110" s="779"/>
      <c r="G110" s="779"/>
      <c r="H110" s="1952">
        <f t="shared" ref="H110:W110" si="42">H74</f>
        <v>39841</v>
      </c>
      <c r="I110" s="1952">
        <f t="shared" si="42"/>
        <v>40206</v>
      </c>
      <c r="J110" s="1952">
        <f t="shared" si="42"/>
        <v>40571</v>
      </c>
      <c r="K110" s="1952">
        <f t="shared" si="42"/>
        <v>40936</v>
      </c>
      <c r="L110" s="1952">
        <f t="shared" si="42"/>
        <v>41302</v>
      </c>
      <c r="M110" s="1952">
        <f t="shared" si="42"/>
        <v>41667</v>
      </c>
      <c r="N110" s="1952">
        <f t="shared" si="42"/>
        <v>42032</v>
      </c>
      <c r="O110" s="1952">
        <f t="shared" si="42"/>
        <v>42397</v>
      </c>
      <c r="P110" s="1952">
        <f t="shared" si="42"/>
        <v>42763</v>
      </c>
      <c r="Q110" s="1952">
        <f t="shared" si="42"/>
        <v>43128</v>
      </c>
      <c r="R110" s="1952">
        <f t="shared" si="42"/>
        <v>43493</v>
      </c>
      <c r="S110" s="1952">
        <f t="shared" si="42"/>
        <v>43858</v>
      </c>
      <c r="T110" s="1952">
        <f t="shared" si="42"/>
        <v>44224</v>
      </c>
      <c r="U110" s="1952">
        <f t="shared" si="42"/>
        <v>44589</v>
      </c>
      <c r="V110" s="1952">
        <f t="shared" si="42"/>
        <v>44954</v>
      </c>
      <c r="W110" s="1952">
        <f t="shared" si="42"/>
        <v>45319</v>
      </c>
      <c r="AA110"/>
      <c r="AB110"/>
      <c r="AC110"/>
      <c r="AD110"/>
      <c r="AE110"/>
      <c r="AF110"/>
      <c r="AJ110" s="1958"/>
    </row>
    <row r="111" spans="1:36" s="812" customFormat="1" ht="12.75" customHeight="1" outlineLevel="1">
      <c r="A111" s="811"/>
      <c r="B111" s="1968"/>
      <c r="C111" s="779"/>
      <c r="D111" s="779"/>
      <c r="E111" s="779"/>
      <c r="F111" s="779"/>
      <c r="G111" s="779"/>
      <c r="H111" s="1969"/>
      <c r="I111" s="1969"/>
      <c r="J111" s="1969"/>
      <c r="K111" s="1969"/>
      <c r="L111" s="1969"/>
      <c r="M111" s="1969"/>
      <c r="N111" s="1969"/>
      <c r="O111" s="1969"/>
      <c r="P111" s="1970"/>
      <c r="Q111" s="1970"/>
      <c r="R111" s="1970"/>
      <c r="S111" s="1970"/>
      <c r="T111" s="1970"/>
      <c r="U111" s="1970"/>
      <c r="V111" s="1970"/>
      <c r="W111" s="1970"/>
      <c r="AA111"/>
      <c r="AB111"/>
      <c r="AC111"/>
      <c r="AD111"/>
      <c r="AE111"/>
      <c r="AF111"/>
      <c r="AJ111" s="1958"/>
    </row>
    <row r="112" spans="1:36" s="812" customFormat="1" ht="11.25" customHeight="1" outlineLevel="1">
      <c r="A112" s="811"/>
      <c r="B112" s="1971">
        <v>1</v>
      </c>
      <c r="C112" s="763" t="s">
        <v>355</v>
      </c>
      <c r="D112" s="763"/>
      <c r="E112" s="763"/>
      <c r="F112" s="763"/>
      <c r="G112" s="763"/>
      <c r="H112" s="817">
        <f t="shared" ref="H112:H141" si="43">IF(ISERROR(H76/(POWER((1+$H$44),B112))),"NA",H76/(POWER((1+$H$44),B112)))</f>
        <v>225.74257425742573</v>
      </c>
      <c r="I112" s="817">
        <f t="shared" ref="I112:W127" si="44">IF(ISERROR((I76-H77)/(POWER((1+I$45),$B112))),"NA",(I76-H77)/(POWER((1+I$45),$B112)))</f>
        <v>21.74752475247525</v>
      </c>
      <c r="J112" s="817">
        <f t="shared" si="44"/>
        <v>12.200000000000003</v>
      </c>
      <c r="K112" s="817">
        <f t="shared" si="44"/>
        <v>32.404950495049491</v>
      </c>
      <c r="L112" s="817">
        <f t="shared" si="44"/>
        <v>19.788118811881205</v>
      </c>
      <c r="M112" s="817">
        <f t="shared" si="44"/>
        <v>26.588118811881174</v>
      </c>
      <c r="N112" s="817">
        <f t="shared" si="44"/>
        <v>27.717821782178223</v>
      </c>
      <c r="O112" s="817">
        <f t="shared" si="44"/>
        <v>20.105940594059422</v>
      </c>
      <c r="P112" s="817">
        <f t="shared" si="44"/>
        <v>28.159405940594034</v>
      </c>
      <c r="Q112" s="817">
        <f t="shared" si="44"/>
        <v>31.673089108910901</v>
      </c>
      <c r="R112" s="817">
        <f t="shared" si="44"/>
        <v>32.306550891089138</v>
      </c>
      <c r="S112" s="817">
        <f t="shared" si="44"/>
        <v>32.952681908910947</v>
      </c>
      <c r="T112" s="817">
        <f t="shared" si="44"/>
        <v>33.611735547089211</v>
      </c>
      <c r="U112" s="817">
        <f t="shared" si="44"/>
        <v>34.283970258030983</v>
      </c>
      <c r="V112" s="817">
        <f t="shared" si="44"/>
        <v>34.969649663191596</v>
      </c>
      <c r="W112" s="817">
        <f t="shared" si="44"/>
        <v>35.669042656455431</v>
      </c>
      <c r="AA112"/>
      <c r="AB112"/>
      <c r="AC112"/>
      <c r="AD112"/>
      <c r="AE112"/>
      <c r="AF112"/>
      <c r="AJ112" s="1958"/>
    </row>
    <row r="113" spans="1:36" s="819" customFormat="1" ht="11.25" customHeight="1" outlineLevel="1">
      <c r="A113" s="818"/>
      <c r="B113" s="1879">
        <v>2</v>
      </c>
      <c r="C113" s="763" t="str">
        <f t="shared" ref="C113:C141" si="45">"PV of Increase in forecast year "&amp;B112&amp;" lease commitments"</f>
        <v>PV of Increase in forecast year 1 lease commitments</v>
      </c>
      <c r="D113" s="763"/>
      <c r="E113" s="763"/>
      <c r="F113" s="763"/>
      <c r="G113" s="763"/>
      <c r="H113" s="817">
        <f t="shared" si="43"/>
        <v>229.38927556121948</v>
      </c>
      <c r="I113" s="817">
        <f t="shared" si="44"/>
        <v>12.605626899323605</v>
      </c>
      <c r="J113" s="817">
        <f t="shared" si="44"/>
        <v>16.762082148808929</v>
      </c>
      <c r="K113" s="817">
        <f t="shared" si="44"/>
        <v>21.857661013626114</v>
      </c>
      <c r="L113" s="817">
        <f t="shared" si="44"/>
        <v>15.356337613959436</v>
      </c>
      <c r="M113" s="817">
        <f t="shared" si="44"/>
        <v>32.593863346730707</v>
      </c>
      <c r="N113" s="817">
        <f t="shared" si="44"/>
        <v>24.765219096167076</v>
      </c>
      <c r="O113" s="817">
        <f t="shared" si="44"/>
        <v>25.481815508283528</v>
      </c>
      <c r="P113" s="817">
        <f t="shared" si="44"/>
        <v>32.4919125575924</v>
      </c>
      <c r="Q113" s="817">
        <f t="shared" si="44"/>
        <v>32.086501323399688</v>
      </c>
      <c r="R113" s="817">
        <f t="shared" si="44"/>
        <v>32.728231349867634</v>
      </c>
      <c r="S113" s="817">
        <f t="shared" si="44"/>
        <v>33.382795976864962</v>
      </c>
      <c r="T113" s="817">
        <f t="shared" si="44"/>
        <v>34.050451896402265</v>
      </c>
      <c r="U113" s="817">
        <f t="shared" si="44"/>
        <v>34.731460934330286</v>
      </c>
      <c r="V113" s="817">
        <f t="shared" si="44"/>
        <v>35.426090153016879</v>
      </c>
      <c r="W113" s="817">
        <f t="shared" si="44"/>
        <v>36.134611956077251</v>
      </c>
      <c r="AA113"/>
      <c r="AB113"/>
      <c r="AC113"/>
      <c r="AD113"/>
      <c r="AE113"/>
      <c r="AF113"/>
      <c r="AJ113" s="1972"/>
    </row>
    <row r="114" spans="1:36" s="819" customFormat="1" ht="11.25" customHeight="1" outlineLevel="1">
      <c r="A114" s="818"/>
      <c r="B114" s="1879">
        <v>3</v>
      </c>
      <c r="C114" s="763" t="str">
        <f t="shared" si="45"/>
        <v>PV of Increase in forecast year 2 lease commitments</v>
      </c>
      <c r="D114" s="763"/>
      <c r="E114" s="763"/>
      <c r="F114" s="763"/>
      <c r="G114" s="763"/>
      <c r="H114" s="817">
        <f t="shared" si="43"/>
        <v>223.23573402335825</v>
      </c>
      <c r="I114" s="817">
        <f t="shared" si="44"/>
        <v>13.296114436460813</v>
      </c>
      <c r="J114" s="817">
        <f t="shared" si="44"/>
        <v>21.938249113608556</v>
      </c>
      <c r="K114" s="817">
        <f t="shared" si="44"/>
        <v>21.155953454378864</v>
      </c>
      <c r="L114" s="817">
        <f t="shared" si="44"/>
        <v>17.128004340479134</v>
      </c>
      <c r="M114" s="817">
        <f t="shared" si="44"/>
        <v>37.483220922817679</v>
      </c>
      <c r="N114" s="817">
        <f t="shared" si="44"/>
        <v>24.552048381977688</v>
      </c>
      <c r="O114" s="817">
        <f t="shared" si="44"/>
        <v>24.447224646001498</v>
      </c>
      <c r="P114" s="817">
        <f t="shared" si="44"/>
        <v>34.786921491874686</v>
      </c>
      <c r="Q114" s="817">
        <f t="shared" si="44"/>
        <v>36.861984992735131</v>
      </c>
      <c r="R114" s="817">
        <f t="shared" si="44"/>
        <v>37.59922469258985</v>
      </c>
      <c r="S114" s="817">
        <f t="shared" si="44"/>
        <v>38.351209186441636</v>
      </c>
      <c r="T114" s="817">
        <f t="shared" si="44"/>
        <v>39.118233370170493</v>
      </c>
      <c r="U114" s="817">
        <f t="shared" si="44"/>
        <v>39.900598037573907</v>
      </c>
      <c r="V114" s="817">
        <f t="shared" si="44"/>
        <v>40.698609998325381</v>
      </c>
      <c r="W114" s="817">
        <f t="shared" si="44"/>
        <v>41.512582198291909</v>
      </c>
      <c r="AA114"/>
      <c r="AB114"/>
      <c r="AC114"/>
      <c r="AD114"/>
      <c r="AE114"/>
      <c r="AF114"/>
      <c r="AJ114" s="1972"/>
    </row>
    <row r="115" spans="1:36" s="819" customFormat="1" outlineLevel="1">
      <c r="A115" s="818"/>
      <c r="B115" s="1879">
        <v>4</v>
      </c>
      <c r="C115" s="763" t="str">
        <f t="shared" si="45"/>
        <v>PV of Increase in forecast year 3 lease commitments</v>
      </c>
      <c r="D115" s="763"/>
      <c r="E115" s="763"/>
      <c r="F115" s="763"/>
      <c r="G115" s="763"/>
      <c r="H115" s="817">
        <f t="shared" si="43"/>
        <v>204.68881337483987</v>
      </c>
      <c r="I115" s="817">
        <f t="shared" si="44"/>
        <v>15.064327880112616</v>
      </c>
      <c r="J115" s="817">
        <f t="shared" si="44"/>
        <v>24.474247413288353</v>
      </c>
      <c r="K115" s="817">
        <f t="shared" si="44"/>
        <v>20.343953892701236</v>
      </c>
      <c r="L115" s="817">
        <f t="shared" si="44"/>
        <v>15.338207278290243</v>
      </c>
      <c r="M115" s="817">
        <f t="shared" si="44"/>
        <v>32.884747388201973</v>
      </c>
      <c r="N115" s="817">
        <f t="shared" si="44"/>
        <v>21.674911669809926</v>
      </c>
      <c r="O115" s="817">
        <f t="shared" si="44"/>
        <v>24.791370926967694</v>
      </c>
      <c r="P115" s="817">
        <f t="shared" si="44"/>
        <v>31.980464884043638</v>
      </c>
      <c r="Q115" s="817">
        <f t="shared" si="44"/>
        <v>24.618106170857455</v>
      </c>
      <c r="R115" s="817">
        <f t="shared" si="44"/>
        <v>25.110468294274618</v>
      </c>
      <c r="S115" s="817">
        <f t="shared" si="44"/>
        <v>25.612677660160099</v>
      </c>
      <c r="T115" s="817">
        <f t="shared" si="44"/>
        <v>26.12493121336329</v>
      </c>
      <c r="U115" s="817">
        <f t="shared" si="44"/>
        <v>26.647429837630547</v>
      </c>
      <c r="V115" s="817">
        <f t="shared" si="44"/>
        <v>27.180378434383147</v>
      </c>
      <c r="W115" s="817">
        <f t="shared" si="44"/>
        <v>27.723986003070799</v>
      </c>
      <c r="AA115"/>
      <c r="AB115"/>
      <c r="AC115"/>
      <c r="AD115"/>
      <c r="AE115"/>
      <c r="AF115"/>
      <c r="AJ115" s="1972"/>
    </row>
    <row r="116" spans="1:36" s="812" customFormat="1" outlineLevel="1">
      <c r="A116" s="811"/>
      <c r="B116" s="1879">
        <v>5</v>
      </c>
      <c r="C116" s="763" t="str">
        <f t="shared" si="45"/>
        <v>PV of Increase in forecast year 4 lease commitments</v>
      </c>
      <c r="D116" s="763"/>
      <c r="E116" s="763"/>
      <c r="F116" s="763"/>
      <c r="G116" s="763"/>
      <c r="H116" s="817">
        <f t="shared" si="43"/>
        <v>185.53580908331602</v>
      </c>
      <c r="I116" s="817">
        <f t="shared" si="44"/>
        <v>15.806699468210919</v>
      </c>
      <c r="J116" s="817">
        <f t="shared" si="44"/>
        <v>23.928410577622127</v>
      </c>
      <c r="K116" s="817">
        <f t="shared" si="44"/>
        <v>19.042634271761454</v>
      </c>
      <c r="L116" s="817">
        <f t="shared" si="44"/>
        <v>14.946574486614422</v>
      </c>
      <c r="M116" s="817">
        <f t="shared" si="44"/>
        <v>31.665729549240215</v>
      </c>
      <c r="N116" s="817">
        <f t="shared" si="44"/>
        <v>20.912264347908717</v>
      </c>
      <c r="O116" s="817">
        <f t="shared" si="44"/>
        <v>20.378492097161352</v>
      </c>
      <c r="P116" s="817">
        <f t="shared" si="44"/>
        <v>29.862702071225417</v>
      </c>
      <c r="Q116" s="817">
        <f t="shared" si="44"/>
        <v>27.545483506314195</v>
      </c>
      <c r="R116" s="817">
        <f t="shared" si="44"/>
        <v>28.096393176440479</v>
      </c>
      <c r="S116" s="817">
        <f t="shared" si="44"/>
        <v>28.658321039969291</v>
      </c>
      <c r="T116" s="817">
        <f t="shared" si="44"/>
        <v>29.231487460768669</v>
      </c>
      <c r="U116" s="817">
        <f t="shared" si="44"/>
        <v>29.816117209984032</v>
      </c>
      <c r="V116" s="817">
        <f t="shared" si="44"/>
        <v>30.412439554183727</v>
      </c>
      <c r="W116" s="817">
        <f t="shared" si="44"/>
        <v>31.020688345267416</v>
      </c>
      <c r="AA116"/>
      <c r="AB116"/>
      <c r="AC116"/>
      <c r="AD116"/>
      <c r="AE116"/>
      <c r="AF116"/>
      <c r="AJ116" s="1958"/>
    </row>
    <row r="117" spans="1:36" s="812" customFormat="1" outlineLevel="1">
      <c r="A117" s="811"/>
      <c r="B117" s="1879">
        <v>6</v>
      </c>
      <c r="C117" s="763" t="str">
        <f t="shared" si="45"/>
        <v>PV of Increase in forecast year 5 lease commitments</v>
      </c>
      <c r="D117" s="763"/>
      <c r="E117" s="763"/>
      <c r="F117" s="763"/>
      <c r="G117" s="763"/>
      <c r="H117" s="817">
        <f t="shared" si="43"/>
        <v>167.68405187524877</v>
      </c>
      <c r="I117" s="817">
        <f t="shared" si="44"/>
        <v>30.721979212110181</v>
      </c>
      <c r="J117" s="817">
        <f t="shared" si="44"/>
        <v>45.806384337094649</v>
      </c>
      <c r="K117" s="817">
        <f t="shared" si="44"/>
        <v>43.770812992757364</v>
      </c>
      <c r="L117" s="817">
        <f t="shared" si="44"/>
        <v>48.177700603276513</v>
      </c>
      <c r="M117" s="817">
        <f t="shared" si="44"/>
        <v>59.492229105820712</v>
      </c>
      <c r="N117" s="817">
        <f t="shared" si="44"/>
        <v>49.929527922755263</v>
      </c>
      <c r="O117" s="817">
        <f t="shared" si="44"/>
        <v>62.018417608678384</v>
      </c>
      <c r="P117" s="817">
        <f t="shared" si="44"/>
        <v>77.049502973347444</v>
      </c>
      <c r="Q117" s="817">
        <f t="shared" si="44"/>
        <v>82.820453243610032</v>
      </c>
      <c r="R117" s="817">
        <f t="shared" si="44"/>
        <v>84.476862308482239</v>
      </c>
      <c r="S117" s="817">
        <f t="shared" si="44"/>
        <v>86.166399554651889</v>
      </c>
      <c r="T117" s="817">
        <f t="shared" si="44"/>
        <v>87.889727545744933</v>
      </c>
      <c r="U117" s="817">
        <f t="shared" si="44"/>
        <v>89.647522096659841</v>
      </c>
      <c r="V117" s="817">
        <f t="shared" si="44"/>
        <v>91.440472538593028</v>
      </c>
      <c r="W117" s="817">
        <f t="shared" si="44"/>
        <v>93.269281989364899</v>
      </c>
      <c r="AA117"/>
      <c r="AB117"/>
      <c r="AC117"/>
      <c r="AD117"/>
      <c r="AE117"/>
      <c r="AF117"/>
      <c r="AJ117" s="1958"/>
    </row>
    <row r="118" spans="1:36" s="812" customFormat="1" outlineLevel="1">
      <c r="A118" s="811"/>
      <c r="B118" s="1879">
        <v>7</v>
      </c>
      <c r="C118" s="763" t="str">
        <f t="shared" si="45"/>
        <v>PV of Increase in forecast year 6 lease commitments</v>
      </c>
      <c r="D118" s="763"/>
      <c r="E118" s="763"/>
      <c r="F118" s="763"/>
      <c r="G118" s="763"/>
      <c r="H118" s="817">
        <f t="shared" si="43"/>
        <v>134.31139987782751</v>
      </c>
      <c r="I118" s="817">
        <f t="shared" si="44"/>
        <v>-5.0277234020933426</v>
      </c>
      <c r="J118" s="817">
        <f t="shared" si="44"/>
        <v>-1.11198646482186</v>
      </c>
      <c r="K118" s="817">
        <f t="shared" si="44"/>
        <v>-13.903095323464541</v>
      </c>
      <c r="L118" s="817">
        <f t="shared" si="44"/>
        <v>-7.8671037042328082</v>
      </c>
      <c r="M118" s="817">
        <f t="shared" si="44"/>
        <v>5.8854509252020142</v>
      </c>
      <c r="N118" s="817">
        <f t="shared" si="44"/>
        <v>-9.8659184954701864</v>
      </c>
      <c r="O118" s="817">
        <f t="shared" si="44"/>
        <v>-8.7487088095419931</v>
      </c>
      <c r="P118" s="817">
        <f t="shared" si="44"/>
        <v>-2.3146331245612277</v>
      </c>
      <c r="Q118" s="817">
        <f t="shared" si="44"/>
        <v>1.827153629576872</v>
      </c>
      <c r="R118" s="817">
        <f t="shared" si="44"/>
        <v>1.8636967021684094</v>
      </c>
      <c r="S118" s="817">
        <f t="shared" si="44"/>
        <v>1.9009706362117813</v>
      </c>
      <c r="T118" s="817">
        <f t="shared" si="44"/>
        <v>1.9389900489360117</v>
      </c>
      <c r="U118" s="817">
        <f t="shared" si="44"/>
        <v>1.9777698499147345</v>
      </c>
      <c r="V118" s="817">
        <f t="shared" si="44"/>
        <v>2.0173252469130238</v>
      </c>
      <c r="W118" s="817">
        <f t="shared" si="44"/>
        <v>2.0576717518512888</v>
      </c>
      <c r="AA118"/>
      <c r="AB118"/>
      <c r="AC118"/>
      <c r="AD118"/>
      <c r="AE118"/>
      <c r="AF118"/>
      <c r="AJ118" s="1958"/>
    </row>
    <row r="119" spans="1:36" s="812" customFormat="1" outlineLevel="1">
      <c r="A119" s="811"/>
      <c r="B119" s="1879">
        <v>8</v>
      </c>
      <c r="C119" s="763" t="str">
        <f t="shared" si="45"/>
        <v>PV of Increase in forecast year 7 lease commitments</v>
      </c>
      <c r="D119" s="763"/>
      <c r="E119" s="763"/>
      <c r="F119" s="763"/>
      <c r="G119" s="763"/>
      <c r="H119" s="817">
        <f t="shared" si="43"/>
        <v>132.98158403745296</v>
      </c>
      <c r="I119" s="817">
        <f t="shared" si="44"/>
        <v>-4.9779439624686548</v>
      </c>
      <c r="J119" s="817">
        <f t="shared" si="44"/>
        <v>-1.1009766978434254</v>
      </c>
      <c r="K119" s="817">
        <f t="shared" si="44"/>
        <v>-13.765440914321324</v>
      </c>
      <c r="L119" s="817">
        <f t="shared" si="44"/>
        <v>-7.7892115883493132</v>
      </c>
      <c r="M119" s="817">
        <f t="shared" si="44"/>
        <v>5.8271791338633783</v>
      </c>
      <c r="N119" s="817">
        <f t="shared" si="44"/>
        <v>-9.7682361341288946</v>
      </c>
      <c r="O119" s="817">
        <f t="shared" si="44"/>
        <v>-8.6620879302395934</v>
      </c>
      <c r="P119" s="817">
        <f t="shared" si="44"/>
        <v>-2.2917159649121062</v>
      </c>
      <c r="Q119" s="817">
        <f t="shared" si="44"/>
        <v>1.8090629995810608</v>
      </c>
      <c r="R119" s="817">
        <f t="shared" si="44"/>
        <v>1.8452442595726821</v>
      </c>
      <c r="S119" s="817">
        <f t="shared" si="44"/>
        <v>1.8821491447641394</v>
      </c>
      <c r="T119" s="817">
        <f t="shared" si="44"/>
        <v>1.919792127659417</v>
      </c>
      <c r="U119" s="817">
        <f t="shared" si="44"/>
        <v>1.9581879702126079</v>
      </c>
      <c r="V119" s="817">
        <f t="shared" si="44"/>
        <v>1.9973517296168548</v>
      </c>
      <c r="W119" s="817">
        <f t="shared" si="44"/>
        <v>2.0372987642091962</v>
      </c>
      <c r="AA119"/>
      <c r="AB119"/>
      <c r="AC119"/>
      <c r="AD119"/>
      <c r="AE119"/>
      <c r="AF119"/>
      <c r="AJ119" s="1958"/>
    </row>
    <row r="120" spans="1:36" s="812" customFormat="1" outlineLevel="1">
      <c r="A120" s="811"/>
      <c r="B120" s="1879">
        <v>9</v>
      </c>
      <c r="C120" s="763" t="str">
        <f t="shared" si="45"/>
        <v>PV of Increase in forecast year 8 lease commitments</v>
      </c>
      <c r="D120" s="763"/>
      <c r="E120" s="763"/>
      <c r="F120" s="763"/>
      <c r="G120" s="763"/>
      <c r="H120" s="817">
        <f t="shared" si="43"/>
        <v>131.66493469054745</v>
      </c>
      <c r="I120" s="817">
        <f t="shared" si="44"/>
        <v>-4.9286573885828266</v>
      </c>
      <c r="J120" s="817">
        <f t="shared" si="44"/>
        <v>-1.090075938458837</v>
      </c>
      <c r="K120" s="817">
        <f t="shared" si="44"/>
        <v>-13.629149420120122</v>
      </c>
      <c r="L120" s="817">
        <f t="shared" si="44"/>
        <v>-7.7120906815339723</v>
      </c>
      <c r="M120" s="817">
        <f t="shared" si="44"/>
        <v>5.76948429095384</v>
      </c>
      <c r="N120" s="817">
        <f t="shared" si="44"/>
        <v>-9.6715209248800935</v>
      </c>
      <c r="O120" s="817">
        <f t="shared" si="44"/>
        <v>-8.576324683405538</v>
      </c>
      <c r="P120" s="817">
        <f t="shared" si="44"/>
        <v>-2.2690257078337681</v>
      </c>
      <c r="Q120" s="817">
        <f t="shared" si="44"/>
        <v>1.7911514847337235</v>
      </c>
      <c r="R120" s="817">
        <f t="shared" si="44"/>
        <v>1.826974514428398</v>
      </c>
      <c r="S120" s="817">
        <f t="shared" si="44"/>
        <v>1.8635140047169696</v>
      </c>
      <c r="T120" s="817">
        <f t="shared" si="44"/>
        <v>1.9007842848113037</v>
      </c>
      <c r="U120" s="817">
        <f t="shared" si="44"/>
        <v>1.9387999705075323</v>
      </c>
      <c r="V120" s="817">
        <f t="shared" si="44"/>
        <v>1.9775759699176778</v>
      </c>
      <c r="W120" s="817">
        <f t="shared" si="44"/>
        <v>2.0171274893160356</v>
      </c>
      <c r="AA120"/>
      <c r="AB120"/>
      <c r="AC120"/>
      <c r="AD120"/>
      <c r="AE120"/>
      <c r="AF120"/>
      <c r="AJ120" s="1958"/>
    </row>
    <row r="121" spans="1:36" s="812" customFormat="1" outlineLevel="1">
      <c r="A121" s="811"/>
      <c r="B121" s="1879">
        <v>10</v>
      </c>
      <c r="C121" s="763" t="str">
        <f t="shared" si="45"/>
        <v>PV of Increase in forecast year 9 lease commitments</v>
      </c>
      <c r="D121" s="763"/>
      <c r="E121" s="763"/>
      <c r="F121" s="763"/>
      <c r="G121" s="763"/>
      <c r="H121" s="817">
        <f t="shared" si="43"/>
        <v>130.36132147578957</v>
      </c>
      <c r="I121" s="817">
        <f t="shared" si="44"/>
        <v>-4.8798588005770558</v>
      </c>
      <c r="J121" s="817">
        <f t="shared" si="44"/>
        <v>-1.0792831073849871</v>
      </c>
      <c r="K121" s="817">
        <f t="shared" si="44"/>
        <v>-13.494207346653585</v>
      </c>
      <c r="L121" s="817">
        <f t="shared" si="44"/>
        <v>-7.6357333480534377</v>
      </c>
      <c r="M121" s="817">
        <f t="shared" si="44"/>
        <v>5.7123606841127126</v>
      </c>
      <c r="N121" s="817">
        <f t="shared" si="44"/>
        <v>-9.575763291960488</v>
      </c>
      <c r="O121" s="817">
        <f t="shared" si="44"/>
        <v>-8.4914105776292459</v>
      </c>
      <c r="P121" s="817">
        <f t="shared" si="44"/>
        <v>-2.2465601067661072</v>
      </c>
      <c r="Q121" s="817">
        <f t="shared" si="44"/>
        <v>1.773417311617548</v>
      </c>
      <c r="R121" s="817">
        <f t="shared" si="44"/>
        <v>1.8088856578498989</v>
      </c>
      <c r="S121" s="817">
        <f t="shared" si="44"/>
        <v>1.8450633710069004</v>
      </c>
      <c r="T121" s="817">
        <f t="shared" si="44"/>
        <v>1.8819646384270332</v>
      </c>
      <c r="U121" s="817">
        <f t="shared" si="44"/>
        <v>1.9196039311955766</v>
      </c>
      <c r="V121" s="817">
        <f t="shared" si="44"/>
        <v>1.9579960098194829</v>
      </c>
      <c r="W121" s="817">
        <f t="shared" si="44"/>
        <v>1.997155930015877</v>
      </c>
      <c r="AA121"/>
      <c r="AB121"/>
      <c r="AC121"/>
      <c r="AD121"/>
      <c r="AE121"/>
      <c r="AF121"/>
      <c r="AJ121" s="1958"/>
    </row>
    <row r="122" spans="1:36" s="812" customFormat="1" outlineLevel="1">
      <c r="A122" s="811"/>
      <c r="B122" s="1879">
        <v>11</v>
      </c>
      <c r="C122" s="763" t="str">
        <f t="shared" si="45"/>
        <v>PV of Increase in forecast year 10 lease commitments</v>
      </c>
      <c r="D122" s="763"/>
      <c r="E122" s="763"/>
      <c r="F122" s="763"/>
      <c r="G122" s="763"/>
      <c r="H122" s="817">
        <f t="shared" si="43"/>
        <v>129.07061532256395</v>
      </c>
      <c r="I122" s="817">
        <f t="shared" si="44"/>
        <v>124.23907195565597</v>
      </c>
      <c r="J122" s="817">
        <f t="shared" si="44"/>
        <v>123.17047481963124</v>
      </c>
      <c r="K122" s="817">
        <f t="shared" si="44"/>
        <v>109.80987348631085</v>
      </c>
      <c r="L122" s="817">
        <f t="shared" si="44"/>
        <v>102.24974145853517</v>
      </c>
      <c r="M122" s="817">
        <f t="shared" si="44"/>
        <v>107.90554411607251</v>
      </c>
      <c r="N122" s="817">
        <f t="shared" si="44"/>
        <v>98.424590361656186</v>
      </c>
      <c r="O122" s="817">
        <f t="shared" si="44"/>
        <v>90.017253156082674</v>
      </c>
      <c r="P122" s="817">
        <f t="shared" si="44"/>
        <v>87.792936218690485</v>
      </c>
      <c r="Q122" s="817">
        <f t="shared" si="44"/>
        <v>89.548794943064294</v>
      </c>
      <c r="R122" s="817">
        <f t="shared" si="44"/>
        <v>91.339770841925585</v>
      </c>
      <c r="S122" s="817">
        <f t="shared" si="44"/>
        <v>93.166566258764092</v>
      </c>
      <c r="T122" s="817">
        <f t="shared" si="44"/>
        <v>95.029897583939373</v>
      </c>
      <c r="U122" s="817">
        <f t="shared" si="44"/>
        <v>96.930495535618164</v>
      </c>
      <c r="V122" s="817">
        <f t="shared" si="44"/>
        <v>98.869105446330522</v>
      </c>
      <c r="W122" s="817">
        <f t="shared" si="44"/>
        <v>100.84648755525714</v>
      </c>
      <c r="AA122"/>
      <c r="AB122"/>
      <c r="AC122"/>
      <c r="AD122"/>
      <c r="AE122"/>
      <c r="AF122"/>
      <c r="AJ122" s="1958"/>
    </row>
    <row r="123" spans="1:36" s="812" customFormat="1" outlineLevel="1">
      <c r="A123" s="811"/>
      <c r="B123" s="1879">
        <v>12</v>
      </c>
      <c r="C123" s="763" t="str">
        <f t="shared" si="45"/>
        <v>PV of Increase in forecast year 11 lease commitments</v>
      </c>
      <c r="D123" s="763"/>
      <c r="E123" s="763"/>
      <c r="F123" s="763"/>
      <c r="G123" s="763"/>
      <c r="H123" s="817">
        <f t="shared" si="43"/>
        <v>0</v>
      </c>
      <c r="I123" s="817">
        <f t="shared" si="44"/>
        <v>0</v>
      </c>
      <c r="J123" s="817">
        <f t="shared" si="44"/>
        <v>0</v>
      </c>
      <c r="K123" s="817">
        <f t="shared" si="44"/>
        <v>0</v>
      </c>
      <c r="L123" s="817">
        <f t="shared" si="44"/>
        <v>0</v>
      </c>
      <c r="M123" s="817">
        <f t="shared" si="44"/>
        <v>0</v>
      </c>
      <c r="N123" s="817">
        <f t="shared" si="44"/>
        <v>0</v>
      </c>
      <c r="O123" s="817">
        <f t="shared" si="44"/>
        <v>0</v>
      </c>
      <c r="P123" s="817">
        <f t="shared" si="44"/>
        <v>0</v>
      </c>
      <c r="Q123" s="817">
        <f t="shared" si="44"/>
        <v>0</v>
      </c>
      <c r="R123" s="817">
        <f t="shared" si="44"/>
        <v>0</v>
      </c>
      <c r="S123" s="817">
        <f t="shared" si="44"/>
        <v>0</v>
      </c>
      <c r="T123" s="817">
        <f t="shared" si="44"/>
        <v>0</v>
      </c>
      <c r="U123" s="817">
        <f t="shared" si="44"/>
        <v>0</v>
      </c>
      <c r="V123" s="817">
        <f t="shared" si="44"/>
        <v>0</v>
      </c>
      <c r="W123" s="817">
        <f t="shared" si="44"/>
        <v>0</v>
      </c>
      <c r="AA123"/>
      <c r="AB123"/>
      <c r="AC123"/>
      <c r="AD123"/>
      <c r="AE123"/>
      <c r="AF123"/>
      <c r="AJ123" s="1958"/>
    </row>
    <row r="124" spans="1:36" s="812" customFormat="1" outlineLevel="1">
      <c r="A124" s="811"/>
      <c r="B124" s="1879">
        <v>13</v>
      </c>
      <c r="C124" s="763" t="str">
        <f t="shared" si="45"/>
        <v>PV of Increase in forecast year 12 lease commitments</v>
      </c>
      <c r="D124" s="763"/>
      <c r="E124" s="763"/>
      <c r="F124" s="763"/>
      <c r="G124" s="763"/>
      <c r="H124" s="817">
        <f t="shared" si="43"/>
        <v>0</v>
      </c>
      <c r="I124" s="817">
        <f t="shared" si="44"/>
        <v>0</v>
      </c>
      <c r="J124" s="817">
        <f t="shared" si="44"/>
        <v>0</v>
      </c>
      <c r="K124" s="817">
        <f t="shared" si="44"/>
        <v>0</v>
      </c>
      <c r="L124" s="817">
        <f t="shared" si="44"/>
        <v>0</v>
      </c>
      <c r="M124" s="817">
        <f t="shared" si="44"/>
        <v>0</v>
      </c>
      <c r="N124" s="817">
        <f t="shared" si="44"/>
        <v>0</v>
      </c>
      <c r="O124" s="817">
        <f t="shared" si="44"/>
        <v>0</v>
      </c>
      <c r="P124" s="817">
        <f t="shared" si="44"/>
        <v>0</v>
      </c>
      <c r="Q124" s="817">
        <f t="shared" si="44"/>
        <v>0</v>
      </c>
      <c r="R124" s="817">
        <f t="shared" si="44"/>
        <v>0</v>
      </c>
      <c r="S124" s="817">
        <f t="shared" si="44"/>
        <v>0</v>
      </c>
      <c r="T124" s="817">
        <f t="shared" si="44"/>
        <v>0</v>
      </c>
      <c r="U124" s="817">
        <f t="shared" si="44"/>
        <v>0</v>
      </c>
      <c r="V124" s="817">
        <f t="shared" si="44"/>
        <v>0</v>
      </c>
      <c r="W124" s="817">
        <f t="shared" si="44"/>
        <v>0</v>
      </c>
      <c r="AA124"/>
      <c r="AB124"/>
      <c r="AC124"/>
      <c r="AD124"/>
      <c r="AE124"/>
      <c r="AF124"/>
      <c r="AJ124" s="1958"/>
    </row>
    <row r="125" spans="1:36" s="812" customFormat="1" outlineLevel="1">
      <c r="A125" s="811"/>
      <c r="B125" s="1879">
        <v>14</v>
      </c>
      <c r="C125" s="763" t="str">
        <f t="shared" si="45"/>
        <v>PV of Increase in forecast year 13 lease commitments</v>
      </c>
      <c r="D125" s="763"/>
      <c r="E125" s="763"/>
      <c r="F125" s="763"/>
      <c r="G125" s="763"/>
      <c r="H125" s="817">
        <f t="shared" si="43"/>
        <v>0</v>
      </c>
      <c r="I125" s="817">
        <f t="shared" si="44"/>
        <v>0</v>
      </c>
      <c r="J125" s="817">
        <f t="shared" si="44"/>
        <v>0</v>
      </c>
      <c r="K125" s="817">
        <f t="shared" si="44"/>
        <v>0</v>
      </c>
      <c r="L125" s="817">
        <f t="shared" si="44"/>
        <v>0</v>
      </c>
      <c r="M125" s="817">
        <f t="shared" si="44"/>
        <v>0</v>
      </c>
      <c r="N125" s="817">
        <f t="shared" si="44"/>
        <v>0</v>
      </c>
      <c r="O125" s="817">
        <f t="shared" si="44"/>
        <v>0</v>
      </c>
      <c r="P125" s="817">
        <f t="shared" si="44"/>
        <v>0</v>
      </c>
      <c r="Q125" s="817">
        <f t="shared" si="44"/>
        <v>0</v>
      </c>
      <c r="R125" s="817">
        <f t="shared" si="44"/>
        <v>0</v>
      </c>
      <c r="S125" s="817">
        <f t="shared" si="44"/>
        <v>0</v>
      </c>
      <c r="T125" s="817">
        <f t="shared" si="44"/>
        <v>0</v>
      </c>
      <c r="U125" s="817">
        <f t="shared" si="44"/>
        <v>0</v>
      </c>
      <c r="V125" s="817">
        <f t="shared" si="44"/>
        <v>0</v>
      </c>
      <c r="W125" s="817">
        <f t="shared" si="44"/>
        <v>0</v>
      </c>
      <c r="AA125"/>
      <c r="AB125"/>
      <c r="AC125"/>
      <c r="AD125"/>
      <c r="AE125"/>
      <c r="AF125"/>
      <c r="AJ125" s="1958"/>
    </row>
    <row r="126" spans="1:36" s="812" customFormat="1" outlineLevel="1">
      <c r="A126" s="811"/>
      <c r="B126" s="1879">
        <v>15</v>
      </c>
      <c r="C126" s="763" t="str">
        <f t="shared" si="45"/>
        <v>PV of Increase in forecast year 14 lease commitments</v>
      </c>
      <c r="D126" s="763"/>
      <c r="E126" s="763"/>
      <c r="F126" s="763"/>
      <c r="G126" s="763"/>
      <c r="H126" s="817">
        <f t="shared" si="43"/>
        <v>0</v>
      </c>
      <c r="I126" s="817">
        <f t="shared" si="44"/>
        <v>0</v>
      </c>
      <c r="J126" s="817">
        <f t="shared" si="44"/>
        <v>0</v>
      </c>
      <c r="K126" s="817">
        <f t="shared" si="44"/>
        <v>0</v>
      </c>
      <c r="L126" s="817">
        <f t="shared" si="44"/>
        <v>0</v>
      </c>
      <c r="M126" s="817">
        <f t="shared" si="44"/>
        <v>0</v>
      </c>
      <c r="N126" s="817">
        <f t="shared" si="44"/>
        <v>0</v>
      </c>
      <c r="O126" s="817">
        <f t="shared" si="44"/>
        <v>0</v>
      </c>
      <c r="P126" s="817">
        <f t="shared" si="44"/>
        <v>0</v>
      </c>
      <c r="Q126" s="817">
        <f t="shared" si="44"/>
        <v>0</v>
      </c>
      <c r="R126" s="817">
        <f t="shared" si="44"/>
        <v>0</v>
      </c>
      <c r="S126" s="817">
        <f t="shared" si="44"/>
        <v>0</v>
      </c>
      <c r="T126" s="817">
        <f t="shared" si="44"/>
        <v>0</v>
      </c>
      <c r="U126" s="817">
        <f t="shared" si="44"/>
        <v>0</v>
      </c>
      <c r="V126" s="817">
        <f t="shared" si="44"/>
        <v>0</v>
      </c>
      <c r="W126" s="817">
        <f t="shared" si="44"/>
        <v>0</v>
      </c>
      <c r="AA126"/>
      <c r="AB126"/>
      <c r="AC126"/>
      <c r="AD126"/>
      <c r="AE126"/>
      <c r="AF126"/>
      <c r="AJ126" s="1958"/>
    </row>
    <row r="127" spans="1:36" s="812" customFormat="1" outlineLevel="1">
      <c r="A127" s="811"/>
      <c r="B127" s="1879">
        <v>16</v>
      </c>
      <c r="C127" s="763" t="str">
        <f t="shared" si="45"/>
        <v>PV of Increase in forecast year 15 lease commitments</v>
      </c>
      <c r="D127" s="763"/>
      <c r="E127" s="763"/>
      <c r="F127" s="763"/>
      <c r="G127" s="763"/>
      <c r="H127" s="817">
        <f t="shared" si="43"/>
        <v>0</v>
      </c>
      <c r="I127" s="817">
        <f t="shared" si="44"/>
        <v>0</v>
      </c>
      <c r="J127" s="817">
        <f t="shared" si="44"/>
        <v>0</v>
      </c>
      <c r="K127" s="817">
        <f t="shared" si="44"/>
        <v>0</v>
      </c>
      <c r="L127" s="817">
        <f t="shared" si="44"/>
        <v>0</v>
      </c>
      <c r="M127" s="817">
        <f t="shared" si="44"/>
        <v>0</v>
      </c>
      <c r="N127" s="817">
        <f t="shared" si="44"/>
        <v>0</v>
      </c>
      <c r="O127" s="817">
        <f t="shared" si="44"/>
        <v>0</v>
      </c>
      <c r="P127" s="817">
        <f t="shared" si="44"/>
        <v>0</v>
      </c>
      <c r="Q127" s="817">
        <f t="shared" si="44"/>
        <v>0</v>
      </c>
      <c r="R127" s="817">
        <f t="shared" si="44"/>
        <v>0</v>
      </c>
      <c r="S127" s="817">
        <f t="shared" si="44"/>
        <v>0</v>
      </c>
      <c r="T127" s="817">
        <f t="shared" si="44"/>
        <v>0</v>
      </c>
      <c r="U127" s="817">
        <f t="shared" si="44"/>
        <v>0</v>
      </c>
      <c r="V127" s="817">
        <f t="shared" si="44"/>
        <v>0</v>
      </c>
      <c r="W127" s="817">
        <f t="shared" si="44"/>
        <v>0</v>
      </c>
      <c r="AA127"/>
      <c r="AB127"/>
      <c r="AC127"/>
      <c r="AD127"/>
      <c r="AE127"/>
      <c r="AF127"/>
      <c r="AJ127" s="1958"/>
    </row>
    <row r="128" spans="1:36" s="812" customFormat="1" outlineLevel="1">
      <c r="A128" s="811"/>
      <c r="B128" s="1879">
        <v>17</v>
      </c>
      <c r="C128" s="763" t="str">
        <f t="shared" si="45"/>
        <v>PV of Increase in forecast year 16 lease commitments</v>
      </c>
      <c r="D128" s="763"/>
      <c r="E128" s="763"/>
      <c r="F128" s="763"/>
      <c r="G128" s="763"/>
      <c r="H128" s="817">
        <f t="shared" si="43"/>
        <v>0</v>
      </c>
      <c r="I128" s="817">
        <f t="shared" ref="I128:W141" si="46">IF(ISERROR((I92-H93)/(POWER((1+I$45),$B128))),"NA",(I92-H93)/(POWER((1+I$45),$B128)))</f>
        <v>0</v>
      </c>
      <c r="J128" s="817">
        <f t="shared" si="46"/>
        <v>0</v>
      </c>
      <c r="K128" s="817">
        <f t="shared" si="46"/>
        <v>0</v>
      </c>
      <c r="L128" s="817">
        <f t="shared" si="46"/>
        <v>0</v>
      </c>
      <c r="M128" s="817">
        <f t="shared" si="46"/>
        <v>0</v>
      </c>
      <c r="N128" s="817">
        <f t="shared" si="46"/>
        <v>0</v>
      </c>
      <c r="O128" s="817">
        <f t="shared" si="46"/>
        <v>0</v>
      </c>
      <c r="P128" s="817">
        <f t="shared" si="46"/>
        <v>0</v>
      </c>
      <c r="Q128" s="817">
        <f t="shared" si="46"/>
        <v>0</v>
      </c>
      <c r="R128" s="817">
        <f t="shared" si="46"/>
        <v>0</v>
      </c>
      <c r="S128" s="817">
        <f t="shared" si="46"/>
        <v>0</v>
      </c>
      <c r="T128" s="817">
        <f t="shared" si="46"/>
        <v>0</v>
      </c>
      <c r="U128" s="817">
        <f t="shared" si="46"/>
        <v>0</v>
      </c>
      <c r="V128" s="817">
        <f t="shared" si="46"/>
        <v>0</v>
      </c>
      <c r="W128" s="817">
        <f t="shared" si="46"/>
        <v>0</v>
      </c>
      <c r="AA128"/>
      <c r="AB128"/>
      <c r="AC128"/>
      <c r="AD128"/>
      <c r="AE128"/>
      <c r="AF128"/>
      <c r="AJ128" s="1958"/>
    </row>
    <row r="129" spans="1:36" s="812" customFormat="1" outlineLevel="1">
      <c r="A129" s="811"/>
      <c r="B129" s="1879">
        <v>18</v>
      </c>
      <c r="C129" s="763" t="str">
        <f t="shared" si="45"/>
        <v>PV of Increase in forecast year 17 lease commitments</v>
      </c>
      <c r="D129" s="763"/>
      <c r="E129" s="763"/>
      <c r="F129" s="763"/>
      <c r="G129" s="763"/>
      <c r="H129" s="817">
        <f t="shared" si="43"/>
        <v>0</v>
      </c>
      <c r="I129" s="817">
        <f t="shared" si="46"/>
        <v>0</v>
      </c>
      <c r="J129" s="817">
        <f t="shared" si="46"/>
        <v>0</v>
      </c>
      <c r="K129" s="817">
        <f t="shared" si="46"/>
        <v>0</v>
      </c>
      <c r="L129" s="817">
        <f t="shared" si="46"/>
        <v>0</v>
      </c>
      <c r="M129" s="817">
        <f t="shared" si="46"/>
        <v>0</v>
      </c>
      <c r="N129" s="817">
        <f t="shared" si="46"/>
        <v>0</v>
      </c>
      <c r="O129" s="817">
        <f t="shared" si="46"/>
        <v>0</v>
      </c>
      <c r="P129" s="817">
        <f t="shared" si="46"/>
        <v>0</v>
      </c>
      <c r="Q129" s="817">
        <f t="shared" si="46"/>
        <v>0</v>
      </c>
      <c r="R129" s="817">
        <f t="shared" si="46"/>
        <v>0</v>
      </c>
      <c r="S129" s="817">
        <f t="shared" si="46"/>
        <v>0</v>
      </c>
      <c r="T129" s="817">
        <f t="shared" si="46"/>
        <v>0</v>
      </c>
      <c r="U129" s="817">
        <f t="shared" si="46"/>
        <v>0</v>
      </c>
      <c r="V129" s="817">
        <f t="shared" si="46"/>
        <v>0</v>
      </c>
      <c r="W129" s="817">
        <f t="shared" si="46"/>
        <v>0</v>
      </c>
      <c r="AA129"/>
      <c r="AB129"/>
      <c r="AC129"/>
      <c r="AD129"/>
      <c r="AE129"/>
      <c r="AF129"/>
      <c r="AJ129" s="1958"/>
    </row>
    <row r="130" spans="1:36" s="812" customFormat="1" outlineLevel="1">
      <c r="A130" s="811"/>
      <c r="B130" s="1879">
        <v>19</v>
      </c>
      <c r="C130" s="763" t="str">
        <f t="shared" si="45"/>
        <v>PV of Increase in forecast year 18 lease commitments</v>
      </c>
      <c r="D130" s="763"/>
      <c r="E130" s="763"/>
      <c r="F130" s="763"/>
      <c r="G130" s="763"/>
      <c r="H130" s="817">
        <f t="shared" si="43"/>
        <v>0</v>
      </c>
      <c r="I130" s="817">
        <f t="shared" si="46"/>
        <v>0</v>
      </c>
      <c r="J130" s="817">
        <f t="shared" si="46"/>
        <v>0</v>
      </c>
      <c r="K130" s="817">
        <f t="shared" si="46"/>
        <v>0</v>
      </c>
      <c r="L130" s="817">
        <f t="shared" si="46"/>
        <v>0</v>
      </c>
      <c r="M130" s="817">
        <f t="shared" si="46"/>
        <v>0</v>
      </c>
      <c r="N130" s="817">
        <f t="shared" si="46"/>
        <v>0</v>
      </c>
      <c r="O130" s="817">
        <f t="shared" si="46"/>
        <v>0</v>
      </c>
      <c r="P130" s="817">
        <f t="shared" si="46"/>
        <v>0</v>
      </c>
      <c r="Q130" s="817">
        <f t="shared" si="46"/>
        <v>0</v>
      </c>
      <c r="R130" s="817">
        <f t="shared" si="46"/>
        <v>0</v>
      </c>
      <c r="S130" s="817">
        <f t="shared" si="46"/>
        <v>0</v>
      </c>
      <c r="T130" s="817">
        <f t="shared" si="46"/>
        <v>0</v>
      </c>
      <c r="U130" s="817">
        <f t="shared" si="46"/>
        <v>0</v>
      </c>
      <c r="V130" s="817">
        <f t="shared" si="46"/>
        <v>0</v>
      </c>
      <c r="W130" s="817">
        <f t="shared" si="46"/>
        <v>0</v>
      </c>
      <c r="AA130"/>
      <c r="AB130"/>
      <c r="AC130"/>
      <c r="AD130"/>
      <c r="AE130"/>
      <c r="AF130"/>
      <c r="AJ130" s="1958"/>
    </row>
    <row r="131" spans="1:36" s="812" customFormat="1" outlineLevel="1">
      <c r="A131" s="811"/>
      <c r="B131" s="1879">
        <f t="shared" ref="B131:B141" si="47">B130+1</f>
        <v>20</v>
      </c>
      <c r="C131" s="763" t="str">
        <f t="shared" si="45"/>
        <v>PV of Increase in forecast year 19 lease commitments</v>
      </c>
      <c r="D131" s="763"/>
      <c r="E131" s="763"/>
      <c r="F131" s="763"/>
      <c r="G131" s="763"/>
      <c r="H131" s="817">
        <f t="shared" si="43"/>
        <v>0</v>
      </c>
      <c r="I131" s="817">
        <f t="shared" si="46"/>
        <v>0</v>
      </c>
      <c r="J131" s="817">
        <f t="shared" si="46"/>
        <v>0</v>
      </c>
      <c r="K131" s="817">
        <f t="shared" si="46"/>
        <v>0</v>
      </c>
      <c r="L131" s="817">
        <f t="shared" si="46"/>
        <v>0</v>
      </c>
      <c r="M131" s="817">
        <f t="shared" si="46"/>
        <v>0</v>
      </c>
      <c r="N131" s="817">
        <f t="shared" si="46"/>
        <v>0</v>
      </c>
      <c r="O131" s="817">
        <f t="shared" si="46"/>
        <v>0</v>
      </c>
      <c r="P131" s="817">
        <f t="shared" si="46"/>
        <v>0</v>
      </c>
      <c r="Q131" s="817">
        <f t="shared" si="46"/>
        <v>0</v>
      </c>
      <c r="R131" s="817">
        <f t="shared" si="46"/>
        <v>0</v>
      </c>
      <c r="S131" s="817">
        <f t="shared" si="46"/>
        <v>0</v>
      </c>
      <c r="T131" s="817">
        <f t="shared" si="46"/>
        <v>0</v>
      </c>
      <c r="U131" s="817">
        <f t="shared" si="46"/>
        <v>0</v>
      </c>
      <c r="V131" s="817">
        <f t="shared" si="46"/>
        <v>0</v>
      </c>
      <c r="W131" s="817">
        <f t="shared" si="46"/>
        <v>0</v>
      </c>
      <c r="AA131"/>
      <c r="AB131"/>
      <c r="AC131"/>
      <c r="AD131"/>
      <c r="AE131"/>
      <c r="AF131"/>
      <c r="AJ131" s="1958"/>
    </row>
    <row r="132" spans="1:36" s="812" customFormat="1" outlineLevel="1">
      <c r="A132" s="811"/>
      <c r="B132" s="1879">
        <f t="shared" si="47"/>
        <v>21</v>
      </c>
      <c r="C132" s="763" t="str">
        <f t="shared" si="45"/>
        <v>PV of Increase in forecast year 20 lease commitments</v>
      </c>
      <c r="D132" s="763"/>
      <c r="E132" s="763"/>
      <c r="F132" s="763"/>
      <c r="G132" s="763"/>
      <c r="H132" s="817">
        <f t="shared" si="43"/>
        <v>0</v>
      </c>
      <c r="I132" s="817">
        <f t="shared" si="46"/>
        <v>0</v>
      </c>
      <c r="J132" s="817">
        <f t="shared" si="46"/>
        <v>0</v>
      </c>
      <c r="K132" s="817">
        <f t="shared" si="46"/>
        <v>0</v>
      </c>
      <c r="L132" s="817">
        <f t="shared" si="46"/>
        <v>0</v>
      </c>
      <c r="M132" s="817">
        <f t="shared" si="46"/>
        <v>0</v>
      </c>
      <c r="N132" s="817">
        <f t="shared" si="46"/>
        <v>0</v>
      </c>
      <c r="O132" s="817">
        <f t="shared" si="46"/>
        <v>0</v>
      </c>
      <c r="P132" s="817">
        <f t="shared" si="46"/>
        <v>0</v>
      </c>
      <c r="Q132" s="817">
        <f t="shared" si="46"/>
        <v>0</v>
      </c>
      <c r="R132" s="817">
        <f t="shared" si="46"/>
        <v>0</v>
      </c>
      <c r="S132" s="817">
        <f t="shared" si="46"/>
        <v>0</v>
      </c>
      <c r="T132" s="817">
        <f t="shared" si="46"/>
        <v>0</v>
      </c>
      <c r="U132" s="817">
        <f t="shared" si="46"/>
        <v>0</v>
      </c>
      <c r="V132" s="817">
        <f t="shared" si="46"/>
        <v>0</v>
      </c>
      <c r="W132" s="817">
        <f t="shared" si="46"/>
        <v>0</v>
      </c>
      <c r="AA132"/>
      <c r="AB132"/>
      <c r="AC132"/>
      <c r="AD132"/>
      <c r="AE132"/>
      <c r="AF132"/>
      <c r="AJ132" s="1958"/>
    </row>
    <row r="133" spans="1:36" s="812" customFormat="1" outlineLevel="1">
      <c r="A133" s="811"/>
      <c r="B133" s="1879">
        <f t="shared" si="47"/>
        <v>22</v>
      </c>
      <c r="C133" s="763" t="str">
        <f t="shared" si="45"/>
        <v>PV of Increase in forecast year 21 lease commitments</v>
      </c>
      <c r="D133" s="763"/>
      <c r="E133" s="763"/>
      <c r="F133" s="763"/>
      <c r="G133" s="763"/>
      <c r="H133" s="817">
        <f t="shared" si="43"/>
        <v>0</v>
      </c>
      <c r="I133" s="817">
        <f t="shared" si="46"/>
        <v>0</v>
      </c>
      <c r="J133" s="817">
        <f t="shared" si="46"/>
        <v>0</v>
      </c>
      <c r="K133" s="817">
        <f t="shared" si="46"/>
        <v>0</v>
      </c>
      <c r="L133" s="817">
        <f t="shared" si="46"/>
        <v>0</v>
      </c>
      <c r="M133" s="817">
        <f t="shared" si="46"/>
        <v>0</v>
      </c>
      <c r="N133" s="817">
        <f t="shared" si="46"/>
        <v>0</v>
      </c>
      <c r="O133" s="817">
        <f t="shared" si="46"/>
        <v>0</v>
      </c>
      <c r="P133" s="817">
        <f t="shared" si="46"/>
        <v>0</v>
      </c>
      <c r="Q133" s="817">
        <f t="shared" si="46"/>
        <v>0</v>
      </c>
      <c r="R133" s="817">
        <f t="shared" si="46"/>
        <v>0</v>
      </c>
      <c r="S133" s="817">
        <f t="shared" si="46"/>
        <v>0</v>
      </c>
      <c r="T133" s="817">
        <f t="shared" si="46"/>
        <v>0</v>
      </c>
      <c r="U133" s="817">
        <f t="shared" si="46"/>
        <v>0</v>
      </c>
      <c r="V133" s="817">
        <f t="shared" si="46"/>
        <v>0</v>
      </c>
      <c r="W133" s="817">
        <f t="shared" si="46"/>
        <v>0</v>
      </c>
      <c r="AA133"/>
      <c r="AB133"/>
      <c r="AC133"/>
      <c r="AD133"/>
      <c r="AE133"/>
      <c r="AF133"/>
      <c r="AJ133" s="1958"/>
    </row>
    <row r="134" spans="1:36" s="812" customFormat="1" outlineLevel="1">
      <c r="A134" s="811"/>
      <c r="B134" s="1879">
        <f t="shared" si="47"/>
        <v>23</v>
      </c>
      <c r="C134" s="763" t="str">
        <f t="shared" si="45"/>
        <v>PV of Increase in forecast year 22 lease commitments</v>
      </c>
      <c r="D134" s="763"/>
      <c r="E134" s="763"/>
      <c r="F134" s="763"/>
      <c r="G134" s="763"/>
      <c r="H134" s="817">
        <f t="shared" si="43"/>
        <v>0</v>
      </c>
      <c r="I134" s="817">
        <f t="shared" si="46"/>
        <v>0</v>
      </c>
      <c r="J134" s="817">
        <f t="shared" si="46"/>
        <v>0</v>
      </c>
      <c r="K134" s="817">
        <f t="shared" si="46"/>
        <v>0</v>
      </c>
      <c r="L134" s="817">
        <f t="shared" si="46"/>
        <v>0</v>
      </c>
      <c r="M134" s="817">
        <f t="shared" si="46"/>
        <v>0</v>
      </c>
      <c r="N134" s="817">
        <f t="shared" si="46"/>
        <v>0</v>
      </c>
      <c r="O134" s="817">
        <f t="shared" si="46"/>
        <v>0</v>
      </c>
      <c r="P134" s="817">
        <f t="shared" si="46"/>
        <v>0</v>
      </c>
      <c r="Q134" s="817">
        <f t="shared" si="46"/>
        <v>0</v>
      </c>
      <c r="R134" s="817">
        <f t="shared" si="46"/>
        <v>0</v>
      </c>
      <c r="S134" s="817">
        <f t="shared" si="46"/>
        <v>0</v>
      </c>
      <c r="T134" s="817">
        <f t="shared" si="46"/>
        <v>0</v>
      </c>
      <c r="U134" s="817">
        <f t="shared" si="46"/>
        <v>0</v>
      </c>
      <c r="V134" s="817">
        <f t="shared" si="46"/>
        <v>0</v>
      </c>
      <c r="W134" s="817">
        <f t="shared" si="46"/>
        <v>0</v>
      </c>
      <c r="AA134"/>
      <c r="AB134"/>
      <c r="AC134"/>
      <c r="AD134"/>
      <c r="AE134"/>
      <c r="AF134"/>
      <c r="AJ134" s="1958"/>
    </row>
    <row r="135" spans="1:36" s="812" customFormat="1" outlineLevel="1">
      <c r="A135" s="811"/>
      <c r="B135" s="1879">
        <f t="shared" si="47"/>
        <v>24</v>
      </c>
      <c r="C135" s="763" t="str">
        <f t="shared" si="45"/>
        <v>PV of Increase in forecast year 23 lease commitments</v>
      </c>
      <c r="D135" s="763"/>
      <c r="E135" s="763"/>
      <c r="F135" s="763"/>
      <c r="G135" s="763"/>
      <c r="H135" s="817">
        <f t="shared" si="43"/>
        <v>0</v>
      </c>
      <c r="I135" s="817">
        <f t="shared" si="46"/>
        <v>0</v>
      </c>
      <c r="J135" s="817">
        <f t="shared" si="46"/>
        <v>0</v>
      </c>
      <c r="K135" s="817">
        <f t="shared" si="46"/>
        <v>0</v>
      </c>
      <c r="L135" s="817">
        <f t="shared" si="46"/>
        <v>0</v>
      </c>
      <c r="M135" s="817">
        <f t="shared" si="46"/>
        <v>0</v>
      </c>
      <c r="N135" s="817">
        <f t="shared" si="46"/>
        <v>0</v>
      </c>
      <c r="O135" s="817">
        <f t="shared" si="46"/>
        <v>0</v>
      </c>
      <c r="P135" s="817">
        <f t="shared" si="46"/>
        <v>0</v>
      </c>
      <c r="Q135" s="817">
        <f t="shared" si="46"/>
        <v>0</v>
      </c>
      <c r="R135" s="817">
        <f t="shared" si="46"/>
        <v>0</v>
      </c>
      <c r="S135" s="817">
        <f t="shared" si="46"/>
        <v>0</v>
      </c>
      <c r="T135" s="817">
        <f t="shared" si="46"/>
        <v>0</v>
      </c>
      <c r="U135" s="817">
        <f t="shared" si="46"/>
        <v>0</v>
      </c>
      <c r="V135" s="817">
        <f t="shared" si="46"/>
        <v>0</v>
      </c>
      <c r="W135" s="817">
        <f t="shared" si="46"/>
        <v>0</v>
      </c>
      <c r="AA135"/>
      <c r="AB135"/>
      <c r="AC135"/>
      <c r="AD135"/>
      <c r="AE135"/>
      <c r="AF135"/>
      <c r="AJ135" s="1958"/>
    </row>
    <row r="136" spans="1:36" s="812" customFormat="1" outlineLevel="1">
      <c r="A136" s="811"/>
      <c r="B136" s="1879">
        <f t="shared" si="47"/>
        <v>25</v>
      </c>
      <c r="C136" s="763" t="str">
        <f t="shared" si="45"/>
        <v>PV of Increase in forecast year 24 lease commitments</v>
      </c>
      <c r="D136" s="763"/>
      <c r="E136" s="763"/>
      <c r="F136" s="763"/>
      <c r="G136" s="763"/>
      <c r="H136" s="817">
        <f t="shared" si="43"/>
        <v>0</v>
      </c>
      <c r="I136" s="817">
        <f t="shared" si="46"/>
        <v>0</v>
      </c>
      <c r="J136" s="817">
        <f t="shared" si="46"/>
        <v>0</v>
      </c>
      <c r="K136" s="817">
        <f t="shared" si="46"/>
        <v>0</v>
      </c>
      <c r="L136" s="817">
        <f t="shared" si="46"/>
        <v>0</v>
      </c>
      <c r="M136" s="817">
        <f t="shared" si="46"/>
        <v>0</v>
      </c>
      <c r="N136" s="817">
        <f t="shared" si="46"/>
        <v>0</v>
      </c>
      <c r="O136" s="817">
        <f t="shared" si="46"/>
        <v>0</v>
      </c>
      <c r="P136" s="817">
        <f t="shared" si="46"/>
        <v>0</v>
      </c>
      <c r="Q136" s="817">
        <f t="shared" si="46"/>
        <v>0</v>
      </c>
      <c r="R136" s="817">
        <f t="shared" si="46"/>
        <v>0</v>
      </c>
      <c r="S136" s="817">
        <f t="shared" si="46"/>
        <v>0</v>
      </c>
      <c r="T136" s="817">
        <f t="shared" si="46"/>
        <v>0</v>
      </c>
      <c r="U136" s="817">
        <f t="shared" si="46"/>
        <v>0</v>
      </c>
      <c r="V136" s="817">
        <f t="shared" si="46"/>
        <v>0</v>
      </c>
      <c r="W136" s="817">
        <f t="shared" si="46"/>
        <v>0</v>
      </c>
      <c r="AA136"/>
      <c r="AB136"/>
      <c r="AC136"/>
      <c r="AD136"/>
      <c r="AE136"/>
      <c r="AF136"/>
      <c r="AJ136" s="1958"/>
    </row>
    <row r="137" spans="1:36" s="812" customFormat="1" outlineLevel="1">
      <c r="A137" s="811"/>
      <c r="B137" s="1879">
        <f t="shared" si="47"/>
        <v>26</v>
      </c>
      <c r="C137" s="763" t="str">
        <f t="shared" si="45"/>
        <v>PV of Increase in forecast year 25 lease commitments</v>
      </c>
      <c r="D137" s="763"/>
      <c r="E137" s="763"/>
      <c r="F137" s="763"/>
      <c r="G137" s="763"/>
      <c r="H137" s="817">
        <f t="shared" si="43"/>
        <v>0</v>
      </c>
      <c r="I137" s="817">
        <f t="shared" si="46"/>
        <v>0</v>
      </c>
      <c r="J137" s="817">
        <f t="shared" si="46"/>
        <v>0</v>
      </c>
      <c r="K137" s="817">
        <f t="shared" si="46"/>
        <v>0</v>
      </c>
      <c r="L137" s="817">
        <f t="shared" si="46"/>
        <v>0</v>
      </c>
      <c r="M137" s="817">
        <f t="shared" si="46"/>
        <v>0</v>
      </c>
      <c r="N137" s="817">
        <f t="shared" si="46"/>
        <v>0</v>
      </c>
      <c r="O137" s="817">
        <f t="shared" si="46"/>
        <v>0</v>
      </c>
      <c r="P137" s="817">
        <f t="shared" si="46"/>
        <v>0</v>
      </c>
      <c r="Q137" s="817">
        <f t="shared" si="46"/>
        <v>0</v>
      </c>
      <c r="R137" s="817">
        <f t="shared" si="46"/>
        <v>0</v>
      </c>
      <c r="S137" s="817">
        <f t="shared" si="46"/>
        <v>0</v>
      </c>
      <c r="T137" s="817">
        <f t="shared" si="46"/>
        <v>0</v>
      </c>
      <c r="U137" s="817">
        <f t="shared" si="46"/>
        <v>0</v>
      </c>
      <c r="V137" s="817">
        <f t="shared" si="46"/>
        <v>0</v>
      </c>
      <c r="W137" s="817">
        <f t="shared" si="46"/>
        <v>0</v>
      </c>
      <c r="AA137"/>
      <c r="AB137"/>
      <c r="AC137"/>
      <c r="AD137"/>
      <c r="AE137"/>
      <c r="AF137"/>
      <c r="AJ137" s="1958"/>
    </row>
    <row r="138" spans="1:36" s="812" customFormat="1" outlineLevel="1">
      <c r="A138" s="811"/>
      <c r="B138" s="1879">
        <f t="shared" si="47"/>
        <v>27</v>
      </c>
      <c r="C138" s="763" t="str">
        <f t="shared" si="45"/>
        <v>PV of Increase in forecast year 26 lease commitments</v>
      </c>
      <c r="D138" s="763"/>
      <c r="E138" s="763"/>
      <c r="F138" s="763"/>
      <c r="G138" s="763"/>
      <c r="H138" s="817">
        <f t="shared" si="43"/>
        <v>0</v>
      </c>
      <c r="I138" s="817">
        <f t="shared" si="46"/>
        <v>0</v>
      </c>
      <c r="J138" s="817">
        <f t="shared" si="46"/>
        <v>0</v>
      </c>
      <c r="K138" s="817">
        <f t="shared" si="46"/>
        <v>0</v>
      </c>
      <c r="L138" s="817">
        <f t="shared" si="46"/>
        <v>0</v>
      </c>
      <c r="M138" s="817">
        <f t="shared" si="46"/>
        <v>0</v>
      </c>
      <c r="N138" s="817">
        <f t="shared" si="46"/>
        <v>0</v>
      </c>
      <c r="O138" s="817">
        <f t="shared" si="46"/>
        <v>0</v>
      </c>
      <c r="P138" s="817">
        <f t="shared" si="46"/>
        <v>0</v>
      </c>
      <c r="Q138" s="817">
        <f t="shared" si="46"/>
        <v>0</v>
      </c>
      <c r="R138" s="817">
        <f t="shared" si="46"/>
        <v>0</v>
      </c>
      <c r="S138" s="817">
        <f t="shared" si="46"/>
        <v>0</v>
      </c>
      <c r="T138" s="817">
        <f t="shared" si="46"/>
        <v>0</v>
      </c>
      <c r="U138" s="817">
        <f t="shared" si="46"/>
        <v>0</v>
      </c>
      <c r="V138" s="817">
        <f t="shared" si="46"/>
        <v>0</v>
      </c>
      <c r="W138" s="817">
        <f t="shared" si="46"/>
        <v>0</v>
      </c>
      <c r="AA138"/>
      <c r="AB138"/>
      <c r="AC138"/>
      <c r="AD138"/>
      <c r="AE138"/>
      <c r="AF138"/>
      <c r="AJ138" s="1958"/>
    </row>
    <row r="139" spans="1:36" s="812" customFormat="1" outlineLevel="1">
      <c r="A139" s="811"/>
      <c r="B139" s="1879">
        <f t="shared" si="47"/>
        <v>28</v>
      </c>
      <c r="C139" s="763" t="str">
        <f t="shared" si="45"/>
        <v>PV of Increase in forecast year 27 lease commitments</v>
      </c>
      <c r="D139" s="763"/>
      <c r="E139" s="763"/>
      <c r="F139" s="763"/>
      <c r="G139" s="763"/>
      <c r="H139" s="817">
        <f t="shared" si="43"/>
        <v>0</v>
      </c>
      <c r="I139" s="817">
        <f t="shared" si="46"/>
        <v>0</v>
      </c>
      <c r="J139" s="817">
        <f t="shared" si="46"/>
        <v>0</v>
      </c>
      <c r="K139" s="817">
        <f t="shared" si="46"/>
        <v>0</v>
      </c>
      <c r="L139" s="817">
        <f t="shared" si="46"/>
        <v>0</v>
      </c>
      <c r="M139" s="817">
        <f t="shared" si="46"/>
        <v>0</v>
      </c>
      <c r="N139" s="817">
        <f t="shared" si="46"/>
        <v>0</v>
      </c>
      <c r="O139" s="817">
        <f t="shared" si="46"/>
        <v>0</v>
      </c>
      <c r="P139" s="817">
        <f t="shared" si="46"/>
        <v>0</v>
      </c>
      <c r="Q139" s="817">
        <f t="shared" si="46"/>
        <v>0</v>
      </c>
      <c r="R139" s="817">
        <f t="shared" si="46"/>
        <v>0</v>
      </c>
      <c r="S139" s="817">
        <f t="shared" si="46"/>
        <v>0</v>
      </c>
      <c r="T139" s="817">
        <f t="shared" si="46"/>
        <v>0</v>
      </c>
      <c r="U139" s="817">
        <f t="shared" si="46"/>
        <v>0</v>
      </c>
      <c r="V139" s="817">
        <f t="shared" si="46"/>
        <v>0</v>
      </c>
      <c r="W139" s="817">
        <f t="shared" si="46"/>
        <v>0</v>
      </c>
      <c r="AA139"/>
      <c r="AB139"/>
      <c r="AC139"/>
      <c r="AD139"/>
      <c r="AE139"/>
      <c r="AF139"/>
      <c r="AJ139" s="1958"/>
    </row>
    <row r="140" spans="1:36" s="812" customFormat="1" outlineLevel="1">
      <c r="A140" s="811"/>
      <c r="B140" s="1879">
        <f t="shared" si="47"/>
        <v>29</v>
      </c>
      <c r="C140" s="763" t="str">
        <f t="shared" si="45"/>
        <v>PV of Increase in forecast year 28 lease commitments</v>
      </c>
      <c r="D140" s="763"/>
      <c r="E140" s="763"/>
      <c r="F140" s="763"/>
      <c r="G140" s="763"/>
      <c r="H140" s="817">
        <f t="shared" si="43"/>
        <v>0</v>
      </c>
      <c r="I140" s="817">
        <f t="shared" si="46"/>
        <v>0</v>
      </c>
      <c r="J140" s="817">
        <f t="shared" si="46"/>
        <v>0</v>
      </c>
      <c r="K140" s="817">
        <f t="shared" si="46"/>
        <v>0</v>
      </c>
      <c r="L140" s="817">
        <f t="shared" si="46"/>
        <v>0</v>
      </c>
      <c r="M140" s="817">
        <f t="shared" si="46"/>
        <v>0</v>
      </c>
      <c r="N140" s="817">
        <f t="shared" si="46"/>
        <v>0</v>
      </c>
      <c r="O140" s="817">
        <f t="shared" si="46"/>
        <v>0</v>
      </c>
      <c r="P140" s="817">
        <f t="shared" si="46"/>
        <v>0</v>
      </c>
      <c r="Q140" s="817">
        <f t="shared" si="46"/>
        <v>0</v>
      </c>
      <c r="R140" s="817">
        <f t="shared" si="46"/>
        <v>0</v>
      </c>
      <c r="S140" s="817">
        <f t="shared" si="46"/>
        <v>0</v>
      </c>
      <c r="T140" s="817">
        <f t="shared" si="46"/>
        <v>0</v>
      </c>
      <c r="U140" s="817">
        <f t="shared" si="46"/>
        <v>0</v>
      </c>
      <c r="V140" s="817">
        <f t="shared" si="46"/>
        <v>0</v>
      </c>
      <c r="W140" s="817">
        <f t="shared" si="46"/>
        <v>0</v>
      </c>
      <c r="AA140"/>
      <c r="AB140"/>
      <c r="AC140"/>
      <c r="AD140"/>
      <c r="AE140"/>
      <c r="AF140"/>
      <c r="AJ140" s="1958"/>
    </row>
    <row r="141" spans="1:36" s="812" customFormat="1" outlineLevel="1">
      <c r="A141" s="811"/>
      <c r="B141" s="1879">
        <f t="shared" si="47"/>
        <v>30</v>
      </c>
      <c r="C141" s="763" t="str">
        <f t="shared" si="45"/>
        <v>PV of Increase in forecast year 29 lease commitments</v>
      </c>
      <c r="D141" s="763"/>
      <c r="E141" s="763"/>
      <c r="F141" s="763"/>
      <c r="G141" s="763"/>
      <c r="H141" s="817">
        <f t="shared" si="43"/>
        <v>0</v>
      </c>
      <c r="I141" s="817">
        <f t="shared" si="46"/>
        <v>0</v>
      </c>
      <c r="J141" s="817">
        <f t="shared" si="46"/>
        <v>0</v>
      </c>
      <c r="K141" s="817">
        <f t="shared" si="46"/>
        <v>0</v>
      </c>
      <c r="L141" s="817">
        <f t="shared" si="46"/>
        <v>0</v>
      </c>
      <c r="M141" s="817">
        <f t="shared" si="46"/>
        <v>0</v>
      </c>
      <c r="N141" s="817">
        <f t="shared" si="46"/>
        <v>0</v>
      </c>
      <c r="O141" s="817">
        <f t="shared" si="46"/>
        <v>0</v>
      </c>
      <c r="P141" s="817">
        <f t="shared" si="46"/>
        <v>0</v>
      </c>
      <c r="Q141" s="817">
        <f t="shared" si="46"/>
        <v>0</v>
      </c>
      <c r="R141" s="817">
        <f t="shared" si="46"/>
        <v>0</v>
      </c>
      <c r="S141" s="817">
        <f t="shared" si="46"/>
        <v>0</v>
      </c>
      <c r="T141" s="817">
        <f t="shared" si="46"/>
        <v>0</v>
      </c>
      <c r="U141" s="817">
        <f t="shared" si="46"/>
        <v>0</v>
      </c>
      <c r="V141" s="817">
        <f t="shared" si="46"/>
        <v>0</v>
      </c>
      <c r="W141" s="817">
        <f t="shared" si="46"/>
        <v>0</v>
      </c>
      <c r="AA141"/>
      <c r="AB141"/>
      <c r="AC141"/>
      <c r="AD141"/>
      <c r="AE141"/>
      <c r="AF141"/>
      <c r="AJ141" s="1958"/>
    </row>
    <row r="142" spans="1:36" s="812" customFormat="1" outlineLevel="1">
      <c r="A142" s="811"/>
      <c r="B142" s="1973"/>
      <c r="C142" s="763"/>
      <c r="D142" s="763"/>
      <c r="E142" s="763"/>
      <c r="F142" s="763"/>
      <c r="G142" s="763"/>
      <c r="H142" s="769"/>
      <c r="I142" s="769"/>
      <c r="J142" s="820"/>
      <c r="K142" s="820"/>
      <c r="L142" s="820"/>
      <c r="M142" s="820"/>
      <c r="N142" s="820"/>
      <c r="O142" s="820"/>
      <c r="P142" s="820"/>
      <c r="Q142" s="820"/>
      <c r="R142" s="820"/>
      <c r="S142" s="820"/>
      <c r="T142" s="820"/>
      <c r="U142" s="820"/>
      <c r="V142" s="820"/>
      <c r="W142" s="820"/>
      <c r="AA142"/>
      <c r="AB142"/>
      <c r="AC142"/>
      <c r="AD142"/>
      <c r="AE142"/>
      <c r="AF142"/>
      <c r="AJ142" s="1958"/>
    </row>
    <row r="143" spans="1:36" s="815" customFormat="1" outlineLevel="1">
      <c r="A143" s="814"/>
      <c r="B143" s="1904"/>
      <c r="C143" s="763" t="s">
        <v>356</v>
      </c>
      <c r="D143" s="763"/>
      <c r="E143" s="763"/>
      <c r="F143" s="763"/>
      <c r="G143" s="763"/>
      <c r="H143" s="769">
        <f t="shared" ref="H143:W143" si="48">SUM(H112:H142)</f>
        <v>1894.6661135795896</v>
      </c>
      <c r="I143" s="769">
        <f t="shared" si="48"/>
        <v>213.6671610506275</v>
      </c>
      <c r="J143" s="820">
        <f t="shared" si="48"/>
        <v>263.89752620154479</v>
      </c>
      <c r="K143" s="820">
        <f t="shared" si="48"/>
        <v>213.59394660202582</v>
      </c>
      <c r="L143" s="820">
        <f t="shared" si="48"/>
        <v>201.9805452708666</v>
      </c>
      <c r="M143" s="820">
        <f t="shared" si="48"/>
        <v>351.80792827489694</v>
      </c>
      <c r="N143" s="820">
        <f t="shared" si="48"/>
        <v>229.0949447160134</v>
      </c>
      <c r="O143" s="820">
        <f t="shared" si="48"/>
        <v>232.7619825364182</v>
      </c>
      <c r="P143" s="820">
        <f t="shared" si="48"/>
        <v>313.00191123329489</v>
      </c>
      <c r="Q143" s="820">
        <f t="shared" si="48"/>
        <v>332.3551987144009</v>
      </c>
      <c r="R143" s="820">
        <f t="shared" si="48"/>
        <v>339.00230268868893</v>
      </c>
      <c r="S143" s="820">
        <f t="shared" si="48"/>
        <v>345.78234874246266</v>
      </c>
      <c r="T143" s="820">
        <f t="shared" si="48"/>
        <v>352.69799571731198</v>
      </c>
      <c r="U143" s="820">
        <f t="shared" si="48"/>
        <v>359.75195563165823</v>
      </c>
      <c r="V143" s="820">
        <f t="shared" si="48"/>
        <v>366.94699474429132</v>
      </c>
      <c r="W143" s="820">
        <f t="shared" si="48"/>
        <v>374.28593463917719</v>
      </c>
      <c r="AA143"/>
      <c r="AB143"/>
      <c r="AC143"/>
      <c r="AD143"/>
      <c r="AE143"/>
      <c r="AF143"/>
      <c r="AJ143" s="1958"/>
    </row>
    <row r="144" spans="1:36">
      <c r="C144" s="821"/>
      <c r="D144" s="821"/>
      <c r="E144" s="821"/>
      <c r="F144" s="821"/>
      <c r="G144" s="821"/>
      <c r="H144" s="790"/>
      <c r="I144" s="790"/>
      <c r="J144" s="790"/>
      <c r="K144" s="790"/>
      <c r="L144" s="790"/>
      <c r="M144" s="790"/>
      <c r="N144" s="790"/>
      <c r="O144" s="790"/>
      <c r="P144" s="790"/>
      <c r="Q144" s="790"/>
      <c r="R144" s="790"/>
      <c r="S144" s="790"/>
      <c r="T144" s="790"/>
      <c r="U144" s="790"/>
      <c r="V144" s="790"/>
      <c r="W144" s="790"/>
    </row>
    <row r="145" spans="1:36">
      <c r="H145" s="790"/>
      <c r="I145" s="790"/>
      <c r="J145" s="822"/>
      <c r="K145" s="790"/>
      <c r="L145" s="790"/>
      <c r="M145" s="790"/>
      <c r="N145" s="790"/>
      <c r="O145" s="790"/>
      <c r="P145" s="790"/>
      <c r="Q145" s="790"/>
      <c r="R145" s="790"/>
      <c r="S145" s="790"/>
      <c r="T145" s="790"/>
      <c r="U145" s="790"/>
      <c r="V145" s="790"/>
      <c r="W145" s="790"/>
    </row>
    <row r="146" spans="1:36">
      <c r="H146" s="790"/>
      <c r="I146" s="790"/>
      <c r="J146" s="790"/>
      <c r="K146" s="790"/>
      <c r="L146" s="790"/>
      <c r="M146" s="790"/>
      <c r="N146" s="790"/>
      <c r="O146" s="790"/>
      <c r="P146" s="790"/>
      <c r="Q146" s="790"/>
      <c r="R146" s="790"/>
      <c r="T146" s="762"/>
      <c r="U146" s="762"/>
      <c r="V146" s="762"/>
      <c r="W146" s="762"/>
    </row>
    <row r="147" spans="1:36" ht="12.75" customHeight="1" outlineLevel="1">
      <c r="C147" s="806" t="s">
        <v>357</v>
      </c>
      <c r="D147" s="806"/>
      <c r="E147" s="806"/>
      <c r="F147" s="806"/>
      <c r="G147" s="806"/>
      <c r="H147" s="1952">
        <f t="shared" ref="H147:W147" si="49">H110</f>
        <v>39841</v>
      </c>
      <c r="I147" s="1952">
        <f t="shared" si="49"/>
        <v>40206</v>
      </c>
      <c r="J147" s="1952">
        <f t="shared" si="49"/>
        <v>40571</v>
      </c>
      <c r="K147" s="1952">
        <f t="shared" si="49"/>
        <v>40936</v>
      </c>
      <c r="L147" s="1952">
        <f t="shared" si="49"/>
        <v>41302</v>
      </c>
      <c r="M147" s="1952">
        <f t="shared" si="49"/>
        <v>41667</v>
      </c>
      <c r="N147" s="1952">
        <f t="shared" si="49"/>
        <v>42032</v>
      </c>
      <c r="O147" s="1952">
        <f t="shared" si="49"/>
        <v>42397</v>
      </c>
      <c r="P147" s="1952">
        <f t="shared" si="49"/>
        <v>42763</v>
      </c>
      <c r="Q147" s="1952">
        <f t="shared" si="49"/>
        <v>43128</v>
      </c>
      <c r="R147" s="1952">
        <f t="shared" si="49"/>
        <v>43493</v>
      </c>
      <c r="S147" s="1952">
        <f t="shared" si="49"/>
        <v>43858</v>
      </c>
      <c r="T147" s="1952">
        <f t="shared" si="49"/>
        <v>44224</v>
      </c>
      <c r="U147" s="1952">
        <f t="shared" si="49"/>
        <v>44589</v>
      </c>
      <c r="V147" s="1952">
        <f t="shared" si="49"/>
        <v>44954</v>
      </c>
      <c r="W147" s="1952">
        <f t="shared" si="49"/>
        <v>45319</v>
      </c>
    </row>
    <row r="148" spans="1:36" ht="11.25" customHeight="1" outlineLevel="1">
      <c r="H148" s="1907"/>
      <c r="I148" s="1907"/>
      <c r="J148" s="1907"/>
      <c r="K148" s="1907"/>
      <c r="L148" s="1907"/>
      <c r="M148" s="1907"/>
      <c r="N148" s="1907"/>
      <c r="O148" s="1908"/>
      <c r="P148" s="1908"/>
      <c r="Q148" s="1908"/>
      <c r="R148" s="1908"/>
      <c r="S148" s="1908"/>
      <c r="T148" s="1908"/>
      <c r="U148" s="1908"/>
      <c r="V148" s="1908"/>
      <c r="W148" s="1908"/>
    </row>
    <row r="149" spans="1:36" s="758" customFormat="1" ht="11.25" customHeight="1" outlineLevel="1">
      <c r="A149" s="755"/>
      <c r="C149" s="756" t="s">
        <v>358</v>
      </c>
      <c r="D149" s="756"/>
      <c r="E149" s="756"/>
      <c r="F149" s="756"/>
      <c r="G149" s="756"/>
      <c r="H149" s="1860">
        <f t="shared" ref="H149:N149" si="50">H70</f>
        <v>10</v>
      </c>
      <c r="I149" s="823">
        <f t="shared" si="50"/>
        <v>10</v>
      </c>
      <c r="J149" s="823">
        <f t="shared" si="50"/>
        <v>10</v>
      </c>
      <c r="K149" s="823">
        <f t="shared" si="50"/>
        <v>10</v>
      </c>
      <c r="L149" s="823">
        <f t="shared" si="50"/>
        <v>10</v>
      </c>
      <c r="M149" s="823">
        <f t="shared" si="50"/>
        <v>10</v>
      </c>
      <c r="N149" s="823">
        <f t="shared" si="50"/>
        <v>10</v>
      </c>
      <c r="O149" s="823">
        <f t="shared" ref="O149:W149" si="51">N149</f>
        <v>10</v>
      </c>
      <c r="P149" s="823">
        <f t="shared" si="51"/>
        <v>10</v>
      </c>
      <c r="Q149" s="823">
        <f t="shared" si="51"/>
        <v>10</v>
      </c>
      <c r="R149" s="823">
        <f t="shared" si="51"/>
        <v>10</v>
      </c>
      <c r="S149" s="823">
        <f t="shared" si="51"/>
        <v>10</v>
      </c>
      <c r="T149" s="823">
        <f t="shared" si="51"/>
        <v>10</v>
      </c>
      <c r="U149" s="823">
        <f t="shared" si="51"/>
        <v>10</v>
      </c>
      <c r="V149" s="823">
        <f t="shared" si="51"/>
        <v>10</v>
      </c>
      <c r="W149" s="823">
        <f t="shared" si="51"/>
        <v>10</v>
      </c>
      <c r="AA149"/>
      <c r="AB149"/>
      <c r="AC149"/>
      <c r="AD149"/>
      <c r="AE149"/>
      <c r="AF149"/>
      <c r="AJ149" s="1878"/>
    </row>
    <row r="150" spans="1:36" s="758" customFormat="1" ht="11.25" customHeight="1" outlineLevel="1">
      <c r="A150" s="755"/>
      <c r="C150" s="756" t="s">
        <v>359</v>
      </c>
      <c r="D150" s="779"/>
      <c r="E150" s="779"/>
      <c r="F150" s="779"/>
      <c r="G150" s="779"/>
      <c r="H150" s="1914">
        <v>0</v>
      </c>
      <c r="I150" s="1974"/>
      <c r="J150" s="1974"/>
      <c r="K150" s="823"/>
      <c r="L150" s="823"/>
      <c r="M150" s="823"/>
      <c r="N150" s="823"/>
      <c r="O150" s="823"/>
      <c r="P150" s="823"/>
      <c r="Q150" s="823"/>
      <c r="R150" s="823"/>
      <c r="S150" s="823"/>
      <c r="T150" s="823"/>
      <c r="U150" s="823"/>
      <c r="V150" s="823"/>
      <c r="W150" s="823"/>
      <c r="AA150"/>
      <c r="AB150"/>
      <c r="AC150"/>
      <c r="AD150"/>
      <c r="AE150"/>
      <c r="AF150"/>
      <c r="AJ150" s="1878"/>
    </row>
    <row r="151" spans="1:36" s="758" customFormat="1" ht="11.25" customHeight="1" outlineLevel="1">
      <c r="A151" s="755"/>
      <c r="C151" s="756" t="s">
        <v>360</v>
      </c>
      <c r="D151" s="779"/>
      <c r="E151" s="779"/>
      <c r="F151" s="779"/>
      <c r="G151" s="779"/>
      <c r="H151" s="1975">
        <v>0.98</v>
      </c>
      <c r="AA151"/>
      <c r="AB151"/>
      <c r="AC151"/>
      <c r="AD151"/>
      <c r="AE151"/>
      <c r="AF151"/>
      <c r="AJ151" s="1878"/>
    </row>
    <row r="152" spans="1:36" s="756" customFormat="1" ht="11.25" customHeight="1" outlineLevel="1">
      <c r="A152" s="826"/>
      <c r="C152" s="756" t="s">
        <v>361</v>
      </c>
      <c r="H152" s="1976">
        <v>2</v>
      </c>
      <c r="AA152"/>
      <c r="AB152"/>
      <c r="AC152"/>
      <c r="AD152"/>
      <c r="AE152"/>
      <c r="AF152"/>
      <c r="AJ152" s="1878"/>
    </row>
    <row r="153" spans="1:36" s="756" customFormat="1" ht="11.25" customHeight="1" outlineLevel="1">
      <c r="A153" s="826"/>
      <c r="C153" s="756" t="s">
        <v>362</v>
      </c>
      <c r="H153" s="1977">
        <f>H24*(1-H150)</f>
        <v>1500.195369496693</v>
      </c>
      <c r="I153" s="1977">
        <f t="shared" ref="I153:W153" si="52">I143*(1-$H$150)</f>
        <v>213.6671610506275</v>
      </c>
      <c r="J153" s="1977">
        <f t="shared" si="52"/>
        <v>263.89752620154479</v>
      </c>
      <c r="K153" s="1977">
        <f t="shared" si="52"/>
        <v>213.59394660202582</v>
      </c>
      <c r="L153" s="1977">
        <f t="shared" si="52"/>
        <v>201.9805452708666</v>
      </c>
      <c r="M153" s="1977">
        <f t="shared" si="52"/>
        <v>351.80792827489694</v>
      </c>
      <c r="N153" s="1977">
        <f t="shared" si="52"/>
        <v>229.0949447160134</v>
      </c>
      <c r="O153" s="1977">
        <f t="shared" si="52"/>
        <v>232.7619825364182</v>
      </c>
      <c r="P153" s="1977">
        <f t="shared" si="52"/>
        <v>313.00191123329489</v>
      </c>
      <c r="Q153" s="1977">
        <f t="shared" si="52"/>
        <v>332.3551987144009</v>
      </c>
      <c r="R153" s="1977">
        <f t="shared" si="52"/>
        <v>339.00230268868893</v>
      </c>
      <c r="S153" s="1977">
        <f t="shared" si="52"/>
        <v>345.78234874246266</v>
      </c>
      <c r="T153" s="1977">
        <f t="shared" si="52"/>
        <v>352.69799571731198</v>
      </c>
      <c r="U153" s="1977">
        <f t="shared" si="52"/>
        <v>359.75195563165823</v>
      </c>
      <c r="V153" s="1977">
        <f t="shared" si="52"/>
        <v>366.94699474429132</v>
      </c>
      <c r="W153" s="1977">
        <f t="shared" si="52"/>
        <v>374.28593463917719</v>
      </c>
      <c r="AA153"/>
      <c r="AB153"/>
      <c r="AC153"/>
      <c r="AD153"/>
      <c r="AE153"/>
      <c r="AF153"/>
      <c r="AJ153" s="1878"/>
    </row>
    <row r="154" spans="1:36" s="756" customFormat="1" ht="11.25" customHeight="1" outlineLevel="1">
      <c r="A154" s="826"/>
      <c r="B154" s="1977"/>
      <c r="C154" s="756" t="s">
        <v>363</v>
      </c>
      <c r="H154" s="827">
        <f>$H$24/$H$149*H152*(1-H150)</f>
        <v>300.03907389933863</v>
      </c>
      <c r="I154" s="825">
        <f>IF(SUM($H154:H154)+H154*$H$151&lt;$H$153,H154*$H$151,$H$153-SUM($H154:H154))</f>
        <v>294.03829242135185</v>
      </c>
      <c r="J154" s="825">
        <f>IF(SUM($H154:I154)+I154*$H$151&lt;$H$153,I154*$H$151,$H$153-SUM($H154:I154))</f>
        <v>288.15752657292484</v>
      </c>
      <c r="K154" s="825">
        <f>IF(SUM($H154:J154)+J154*$H$151&lt;$H$153,J154*$H$151,$H$153-SUM($H154:J154))</f>
        <v>282.39437604146633</v>
      </c>
      <c r="L154" s="825">
        <f>IF(SUM($H154:K154)+K154*$H$151&lt;$H$153,K154*$H$151,$H$153-SUM($H154:K154))</f>
        <v>276.746488520637</v>
      </c>
      <c r="M154" s="825">
        <f>IF(SUM($H154:L154)+L154*$H$151&lt;$H$153,L154*$H$151,$H$153-SUM($H154:L154))</f>
        <v>58.819612040974334</v>
      </c>
      <c r="N154" s="825">
        <f>IF(SUM($H154:M154)+M154*$H$151&lt;$H$153,M154*$H$151,$H$153-SUM($H154:M154))</f>
        <v>0</v>
      </c>
      <c r="O154" s="825">
        <f>IF(SUM($H154:N154)+N154*$H$151&lt;$H$153,N154*$H$151,$H$153-SUM($H154:N154))</f>
        <v>0</v>
      </c>
      <c r="P154" s="825">
        <f>IF(SUM($H154:O154)+O154*$H$151&lt;$H$153,O154*$H$151,$H$153-SUM($H154:O154))</f>
        <v>0</v>
      </c>
      <c r="Q154" s="825">
        <f>IF(SUM($H154:P154)+P154*$H$151&lt;$H$153,P154*$H$151,$H$153-SUM($H154:P154))</f>
        <v>0</v>
      </c>
      <c r="R154" s="825">
        <f>IF(SUM($H154:Q154)+Q154*$H$151&lt;$H$153,Q154*$H$151,$H$153-SUM($H154:Q154))</f>
        <v>0</v>
      </c>
      <c r="S154" s="825">
        <f>IF(SUM($H154:R154)+R154*$H$151&lt;$H$153,R154*$H$151,$H$153-SUM($H154:R154))</f>
        <v>0</v>
      </c>
      <c r="T154" s="825">
        <f>IF(SUM($H154:S154)+S154*$H$151&lt;$H$153,S154*$H$151,$H$153-SUM($H154:S154))</f>
        <v>0</v>
      </c>
      <c r="U154" s="825">
        <f>IF(SUM($H154:T154)+T154*$H$151&lt;$H$153,T154*$H$151,$H$153-SUM($H154:T154))</f>
        <v>0</v>
      </c>
      <c r="V154" s="825">
        <f>IF(SUM($H154:U154)+U154*$H$151&lt;$H$153,U154*$H$151,$H$153-SUM($H154:U154))</f>
        <v>0</v>
      </c>
      <c r="W154" s="825">
        <f>IF(SUM($H154:V154)+V154*$H$151&lt;$H$153,V154*$H$151,$H$153-SUM($H154:V154))</f>
        <v>0</v>
      </c>
      <c r="AA154"/>
      <c r="AB154"/>
      <c r="AC154"/>
      <c r="AD154"/>
      <c r="AE154"/>
      <c r="AF154"/>
      <c r="AJ154" s="1878"/>
    </row>
    <row r="155" spans="1:36" s="758" customFormat="1" ht="11.25" customHeight="1" outlineLevel="1">
      <c r="A155" s="755"/>
      <c r="B155" s="823"/>
      <c r="C155" s="1978">
        <f t="array" ref="C155:C169">TRANSPOSE(H147:W147)</f>
        <v>39841</v>
      </c>
      <c r="D155" s="1900"/>
      <c r="E155" s="1900"/>
      <c r="F155" s="1900"/>
      <c r="G155" s="1900"/>
      <c r="H155" s="824"/>
      <c r="I155" s="824">
        <f>I$22/I$149*(1-$H$150)</f>
        <v>21.36671610506275</v>
      </c>
      <c r="J155" s="824">
        <f>(IF(COUNT($I155:I155)&lt;$I$149,I155,0))</f>
        <v>21.36671610506275</v>
      </c>
      <c r="K155" s="824">
        <f>(IF(COUNT($I155:J155)&lt;$I$149,J155,0))</f>
        <v>21.36671610506275</v>
      </c>
      <c r="L155" s="824">
        <f>(IF(COUNT($I155:K155)&lt;$I$149,K155,0))</f>
        <v>21.36671610506275</v>
      </c>
      <c r="M155" s="824">
        <f>(IF(COUNT($I155:L155)&lt;$I$149,L155,0))</f>
        <v>21.36671610506275</v>
      </c>
      <c r="N155" s="824">
        <f>(IF(COUNT($I155:M155)&lt;$I$149,M155,0))</f>
        <v>21.36671610506275</v>
      </c>
      <c r="O155" s="824">
        <f>(IF(COUNT($I155:N155)&lt;$I$149,N155,0))</f>
        <v>21.36671610506275</v>
      </c>
      <c r="P155" s="824">
        <f>(IF(COUNT($I155:O155)&lt;$I$149,O155,0))</f>
        <v>21.36671610506275</v>
      </c>
      <c r="Q155" s="824">
        <f>(IF(COUNT($I155:P155)&lt;$I$149,P155,0))</f>
        <v>21.36671610506275</v>
      </c>
      <c r="R155" s="824">
        <f>(IF(COUNT($I155:Q155)&lt;$I$149,Q155,0))</f>
        <v>21.36671610506275</v>
      </c>
      <c r="S155" s="824">
        <f>(IF(COUNT($I155:R155)&lt;$I$149,R155,0))</f>
        <v>0</v>
      </c>
      <c r="T155" s="824">
        <f>(IF(COUNT($I155:S155)&lt;$I$149,S155,0))</f>
        <v>0</v>
      </c>
      <c r="U155" s="824">
        <f>(IF(COUNT($I155:T155)&lt;$I$149,T155,0))</f>
        <v>0</v>
      </c>
      <c r="V155" s="824">
        <f>(IF(COUNT($I155:U155)&lt;$I$149,U155,0))</f>
        <v>0</v>
      </c>
      <c r="W155" s="824">
        <f>(IF(COUNT($I155:V155)&lt;$I$149,V155,0))</f>
        <v>0</v>
      </c>
      <c r="X155" s="824"/>
      <c r="Y155" s="824"/>
      <c r="Z155" s="824"/>
      <c r="AA155"/>
      <c r="AB155"/>
      <c r="AC155"/>
      <c r="AD155"/>
      <c r="AE155"/>
      <c r="AF155"/>
      <c r="AJ155" s="1878"/>
    </row>
    <row r="156" spans="1:36" s="758" customFormat="1" ht="11.25" customHeight="1" outlineLevel="1">
      <c r="A156" s="755"/>
      <c r="B156" s="823"/>
      <c r="C156" s="1978">
        <v>40206</v>
      </c>
      <c r="D156" s="1900"/>
      <c r="E156" s="1900"/>
      <c r="F156" s="1900"/>
      <c r="G156" s="1900"/>
      <c r="H156" s="824"/>
      <c r="I156" s="824"/>
      <c r="J156" s="824">
        <f>J$22/J$149*(1-$H$150)</f>
        <v>26.389752620154479</v>
      </c>
      <c r="K156" s="824">
        <f>(IF(COUNT($J156:J156)&lt;$J$149,J156,0))</f>
        <v>26.389752620154479</v>
      </c>
      <c r="L156" s="824">
        <f>(IF(COUNT($J156:K156)&lt;$J$149,K156,0))</f>
        <v>26.389752620154479</v>
      </c>
      <c r="M156" s="824">
        <f>(IF(COUNT($J156:L156)&lt;$J$149,L156,0))</f>
        <v>26.389752620154479</v>
      </c>
      <c r="N156" s="824">
        <f>(IF(COUNT($J156:M156)&lt;$J$149,M156,0))</f>
        <v>26.389752620154479</v>
      </c>
      <c r="O156" s="824">
        <f>(IF(COUNT($J156:N156)&lt;$J$149,N156,0))</f>
        <v>26.389752620154479</v>
      </c>
      <c r="P156" s="824">
        <f>(IF(COUNT($J156:O156)&lt;$J$149,O156,0))</f>
        <v>26.389752620154479</v>
      </c>
      <c r="Q156" s="824">
        <f>(IF(COUNT($J156:P156)&lt;$J$149,P156,0))</f>
        <v>26.389752620154479</v>
      </c>
      <c r="R156" s="824">
        <f>(IF(COUNT($J156:Q156)&lt;$J$149,Q156,0))</f>
        <v>26.389752620154479</v>
      </c>
      <c r="S156" s="824">
        <f>(IF(COUNT($J156:R156)&lt;$J$149,R156,0))</f>
        <v>26.389752620154479</v>
      </c>
      <c r="T156" s="824">
        <f>(IF(COUNT($J156:S156)&lt;$J$149,S156,0))</f>
        <v>0</v>
      </c>
      <c r="U156" s="824">
        <f>(IF(COUNT($J156:T156)&lt;$J$149,T156,0))</f>
        <v>0</v>
      </c>
      <c r="V156" s="824">
        <f>(IF(COUNT($J156:U156)&lt;$J$149,U156,0))</f>
        <v>0</v>
      </c>
      <c r="W156" s="824">
        <f>(IF(COUNT($J156:V156)&lt;$J$149,V156,0))</f>
        <v>0</v>
      </c>
      <c r="X156" s="824"/>
      <c r="Y156" s="824"/>
      <c r="Z156" s="824"/>
      <c r="AA156"/>
      <c r="AB156"/>
      <c r="AC156"/>
      <c r="AD156"/>
      <c r="AE156"/>
      <c r="AF156"/>
      <c r="AJ156" s="1878"/>
    </row>
    <row r="157" spans="1:36" s="758" customFormat="1" ht="11.25" customHeight="1" outlineLevel="1">
      <c r="A157" s="755"/>
      <c r="B157" s="823"/>
      <c r="C157" s="1978">
        <v>40571</v>
      </c>
      <c r="D157" s="1900"/>
      <c r="E157" s="1900"/>
      <c r="F157" s="1900"/>
      <c r="G157" s="1900"/>
      <c r="H157" s="824"/>
      <c r="I157" s="824"/>
      <c r="J157" s="824"/>
      <c r="K157" s="824">
        <f>K$22/K$149*(1-$H$150)</f>
        <v>21.359394660202582</v>
      </c>
      <c r="L157" s="824">
        <f>(IF(COUNT($J157:K157)&lt;$K$149,K157,0))</f>
        <v>21.359394660202582</v>
      </c>
      <c r="M157" s="824">
        <f>(IF(COUNT($J157:L157)&lt;$K$149,L157,0))</f>
        <v>21.359394660202582</v>
      </c>
      <c r="N157" s="824">
        <f>(IF(COUNT($J157:M157)&lt;$K$149,M157,0))</f>
        <v>21.359394660202582</v>
      </c>
      <c r="O157" s="824">
        <f>(IF(COUNT($J157:N157)&lt;$K$149,N157,0))</f>
        <v>21.359394660202582</v>
      </c>
      <c r="P157" s="824">
        <f>(IF(COUNT($J157:O157)&lt;$K$149,O157,0))</f>
        <v>21.359394660202582</v>
      </c>
      <c r="Q157" s="824">
        <f>(IF(COUNT($J157:P157)&lt;$K$149,P157,0))</f>
        <v>21.359394660202582</v>
      </c>
      <c r="R157" s="824">
        <f>(IF(COUNT($J157:Q157)&lt;$K$149,Q157,0))</f>
        <v>21.359394660202582</v>
      </c>
      <c r="S157" s="824">
        <f>(IF(COUNT($J157:R157)&lt;$K$149,R157,0))</f>
        <v>21.359394660202582</v>
      </c>
      <c r="T157" s="824">
        <f>(IF(COUNT($J157:S157)&lt;$K$149,S157,0))</f>
        <v>21.359394660202582</v>
      </c>
      <c r="U157" s="824">
        <f>(IF(COUNT($J157:T157)&lt;$K$149,T157,0))</f>
        <v>0</v>
      </c>
      <c r="V157" s="824">
        <f>(IF(COUNT($J157:U157)&lt;$K$149,U157,0))</f>
        <v>0</v>
      </c>
      <c r="W157" s="824">
        <f>(IF(COUNT($J157:V157)&lt;$K$149,V157,0))</f>
        <v>0</v>
      </c>
      <c r="AA157"/>
      <c r="AB157"/>
      <c r="AC157"/>
      <c r="AD157"/>
      <c r="AE157"/>
      <c r="AF157"/>
      <c r="AJ157" s="1878"/>
    </row>
    <row r="158" spans="1:36" s="758" customFormat="1" ht="11.25" customHeight="1" outlineLevel="1">
      <c r="A158" s="755"/>
      <c r="B158" s="823"/>
      <c r="C158" s="1978">
        <v>40936</v>
      </c>
      <c r="D158" s="1900"/>
      <c r="E158" s="1900"/>
      <c r="F158" s="1900"/>
      <c r="G158" s="1900"/>
      <c r="H158" s="824"/>
      <c r="I158" s="824"/>
      <c r="J158" s="824"/>
      <c r="K158" s="824"/>
      <c r="L158" s="824">
        <f>L$22/L$149*(1-$H$150)</f>
        <v>20.198054527086661</v>
      </c>
      <c r="M158" s="824">
        <f>(IF(COUNT($L158:L158)&lt;$L$149,L158,0))</f>
        <v>20.198054527086661</v>
      </c>
      <c r="N158" s="824">
        <f>(IF(COUNT($L158:M158)&lt;$L$149,M158,0))</f>
        <v>20.198054527086661</v>
      </c>
      <c r="O158" s="824">
        <f>(IF(COUNT($L158:N158)&lt;$L$149,N158,0))</f>
        <v>20.198054527086661</v>
      </c>
      <c r="P158" s="824">
        <f>(IF(COUNT($L158:O158)&lt;$L$149,O158,0))</f>
        <v>20.198054527086661</v>
      </c>
      <c r="Q158" s="824">
        <f>(IF(COUNT($L158:P158)&lt;$L$149,P158,0))</f>
        <v>20.198054527086661</v>
      </c>
      <c r="R158" s="824">
        <f>(IF(COUNT($L158:Q158)&lt;$L$149,Q158,0))</f>
        <v>20.198054527086661</v>
      </c>
      <c r="S158" s="824">
        <f>(IF(COUNT($L158:R158)&lt;$L$149,R158,0))</f>
        <v>20.198054527086661</v>
      </c>
      <c r="T158" s="824">
        <f>(IF(COUNT($L158:S158)&lt;$L$149,S158,0))</f>
        <v>20.198054527086661</v>
      </c>
      <c r="U158" s="824">
        <f>(IF(COUNT($L158:T158)&lt;$L$149,T158,0))</f>
        <v>20.198054527086661</v>
      </c>
      <c r="V158" s="824">
        <f>(IF(COUNT($L158:U158)&lt;$L$149,U158,0))</f>
        <v>0</v>
      </c>
      <c r="W158" s="824">
        <f>(IF(COUNT($L158:V158)&lt;$L$149,V158,0))</f>
        <v>0</v>
      </c>
      <c r="X158" s="824"/>
      <c r="Y158" s="824"/>
      <c r="Z158" s="824"/>
      <c r="AA158"/>
      <c r="AB158"/>
      <c r="AC158"/>
      <c r="AD158"/>
      <c r="AE158"/>
      <c r="AF158"/>
      <c r="AJ158" s="1878"/>
    </row>
    <row r="159" spans="1:36" s="758" customFormat="1" ht="11.25" customHeight="1" outlineLevel="1">
      <c r="A159" s="755"/>
      <c r="B159" s="823"/>
      <c r="C159" s="1978">
        <v>41302</v>
      </c>
      <c r="D159" s="1900"/>
      <c r="E159" s="1900"/>
      <c r="F159" s="1900"/>
      <c r="G159" s="1900"/>
      <c r="H159" s="824"/>
      <c r="I159" s="824"/>
      <c r="J159" s="824"/>
      <c r="K159" s="824"/>
      <c r="L159" s="824"/>
      <c r="M159" s="824">
        <f>M$22/M$149*(1-$H$150)</f>
        <v>35.180792827489697</v>
      </c>
      <c r="N159" s="824">
        <f>(IF(COUNT($M159:M159)&lt;$M$149,M159,0))</f>
        <v>35.180792827489697</v>
      </c>
      <c r="O159" s="824">
        <f>(IF(COUNT($M159:N159)&lt;$M$149,N159,0))</f>
        <v>35.180792827489697</v>
      </c>
      <c r="P159" s="824">
        <f>(IF(COUNT($M159:O159)&lt;$M$149,O159,0))</f>
        <v>35.180792827489697</v>
      </c>
      <c r="Q159" s="824">
        <f>(IF(COUNT($M159:P159)&lt;$M$149,P159,0))</f>
        <v>35.180792827489697</v>
      </c>
      <c r="R159" s="824">
        <f>(IF(COUNT($M159:Q159)&lt;$M$149,Q159,0))</f>
        <v>35.180792827489697</v>
      </c>
      <c r="S159" s="824">
        <f>(IF(COUNT($M159:R159)&lt;$M$149,R159,0))</f>
        <v>35.180792827489697</v>
      </c>
      <c r="T159" s="824">
        <f>(IF(COUNT($M159:S159)&lt;$M$149,S159,0))</f>
        <v>35.180792827489697</v>
      </c>
      <c r="U159" s="824">
        <f>(IF(COUNT($M159:T159)&lt;$M$149,T159,0))</f>
        <v>35.180792827489697</v>
      </c>
      <c r="V159" s="824">
        <f>(IF(COUNT($M159:U159)&lt;$M$149,U159,0))</f>
        <v>35.180792827489697</v>
      </c>
      <c r="W159" s="824">
        <f>(IF(COUNT($M159:V159)&lt;$M$149,V159,0))</f>
        <v>0</v>
      </c>
      <c r="AA159"/>
      <c r="AB159"/>
      <c r="AC159"/>
      <c r="AD159"/>
      <c r="AE159"/>
      <c r="AF159"/>
      <c r="AJ159" s="1878"/>
    </row>
    <row r="160" spans="1:36" s="758" customFormat="1" ht="11.25" customHeight="1" outlineLevel="1">
      <c r="A160" s="755"/>
      <c r="B160" s="823"/>
      <c r="C160" s="1978">
        <v>41667</v>
      </c>
      <c r="D160" s="1900"/>
      <c r="E160" s="1900"/>
      <c r="F160" s="1900"/>
      <c r="G160" s="1900"/>
      <c r="H160" s="824"/>
      <c r="I160" s="824"/>
      <c r="J160" s="824"/>
      <c r="K160" s="824"/>
      <c r="L160" s="824"/>
      <c r="M160" s="824"/>
      <c r="N160" s="824">
        <f>N$22/N$149*(1-$H$150)</f>
        <v>22.909494471601342</v>
      </c>
      <c r="O160" s="824">
        <f>(IF(COUNT($N160:N160)&lt;$N$149,N160,0))</f>
        <v>22.909494471601342</v>
      </c>
      <c r="P160" s="824">
        <f>(IF(COUNT($N160:O160)&lt;$N$149,O160,0))</f>
        <v>22.909494471601342</v>
      </c>
      <c r="Q160" s="824">
        <f>(IF(COUNT($N160:P160)&lt;$N$149,P160,0))</f>
        <v>22.909494471601342</v>
      </c>
      <c r="R160" s="824">
        <f>(IF(COUNT($N160:Q160)&lt;$N$149,Q160,0))</f>
        <v>22.909494471601342</v>
      </c>
      <c r="S160" s="824">
        <f>(IF(COUNT($N160:R160)&lt;$N$149,R160,0))</f>
        <v>22.909494471601342</v>
      </c>
      <c r="T160" s="824">
        <f>(IF(COUNT($N160:S160)&lt;$N$149,S160,0))</f>
        <v>22.909494471601342</v>
      </c>
      <c r="U160" s="824">
        <f>(IF(COUNT($N160:T160)&lt;$N$149,T160,0))</f>
        <v>22.909494471601342</v>
      </c>
      <c r="V160" s="824">
        <f>(IF(COUNT($N160:U160)&lt;$N$149,U160,0))</f>
        <v>22.909494471601342</v>
      </c>
      <c r="W160" s="824">
        <f>(IF(COUNT($N160:V160)&lt;$N$149,V160,0))</f>
        <v>22.909494471601342</v>
      </c>
      <c r="X160" s="824"/>
      <c r="Y160" s="824"/>
      <c r="Z160" s="824"/>
      <c r="AA160"/>
      <c r="AB160"/>
      <c r="AC160"/>
      <c r="AD160"/>
      <c r="AE160"/>
      <c r="AF160"/>
      <c r="AJ160" s="1878"/>
    </row>
    <row r="161" spans="1:36" s="758" customFormat="1" ht="11.25" customHeight="1" outlineLevel="1">
      <c r="A161" s="755"/>
      <c r="B161" s="823"/>
      <c r="C161" s="1978">
        <v>42032</v>
      </c>
      <c r="D161" s="1900"/>
      <c r="E161" s="1900"/>
      <c r="F161" s="1900"/>
      <c r="G161" s="1900"/>
      <c r="H161" s="824"/>
      <c r="I161" s="824"/>
      <c r="J161" s="824"/>
      <c r="K161" s="824"/>
      <c r="L161" s="824"/>
      <c r="M161" s="824"/>
      <c r="N161" s="824"/>
      <c r="O161" s="824">
        <f>O$22/O$149*(1-$H$150)</f>
        <v>23.276198253641819</v>
      </c>
      <c r="P161" s="824">
        <f>(IF(COUNT($O161:O161)&lt;$O$149,O161,0))</f>
        <v>23.276198253641819</v>
      </c>
      <c r="Q161" s="824">
        <f>(IF(COUNT($O161:P161)&lt;$O$149,P161,0))</f>
        <v>23.276198253641819</v>
      </c>
      <c r="R161" s="824">
        <f>(IF(COUNT($O161:Q161)&lt;$O$149,Q161,0))</f>
        <v>23.276198253641819</v>
      </c>
      <c r="S161" s="824">
        <f>(IF(COUNT($O161:R161)&lt;$O$149,R161,0))</f>
        <v>23.276198253641819</v>
      </c>
      <c r="T161" s="824">
        <f>(IF(COUNT($O161:S161)&lt;$O$149,S161,0))</f>
        <v>23.276198253641819</v>
      </c>
      <c r="U161" s="824">
        <f>(IF(COUNT($O161:T161)&lt;$O$149,T161,0))</f>
        <v>23.276198253641819</v>
      </c>
      <c r="V161" s="824">
        <f>(IF(COUNT($O161:U161)&lt;$O$149,U161,0))</f>
        <v>23.276198253641819</v>
      </c>
      <c r="W161" s="824">
        <f>(IF(COUNT($O161:V161)&lt;$O$149,V161,0))</f>
        <v>23.276198253641819</v>
      </c>
      <c r="AA161"/>
      <c r="AB161"/>
      <c r="AC161"/>
      <c r="AD161"/>
      <c r="AE161"/>
      <c r="AF161"/>
      <c r="AJ161" s="1878"/>
    </row>
    <row r="162" spans="1:36" s="758" customFormat="1" ht="11.25" customHeight="1" outlineLevel="1">
      <c r="A162" s="755"/>
      <c r="B162" s="823"/>
      <c r="C162" s="1978">
        <v>42397</v>
      </c>
      <c r="D162" s="1900"/>
      <c r="E162" s="1900"/>
      <c r="F162" s="1900"/>
      <c r="G162" s="1900"/>
      <c r="H162" s="824"/>
      <c r="I162" s="824"/>
      <c r="J162" s="824"/>
      <c r="K162" s="824"/>
      <c r="L162" s="824"/>
      <c r="M162" s="824"/>
      <c r="N162" s="824"/>
      <c r="O162" s="824"/>
      <c r="P162" s="824">
        <f>P$22/P$149*(1-$H$150)</f>
        <v>31.30019112332949</v>
      </c>
      <c r="Q162" s="824">
        <f>(IF(COUNT($P162:P162)&lt;$P$149,P162,0))</f>
        <v>31.30019112332949</v>
      </c>
      <c r="R162" s="824">
        <f>(IF(COUNT($P162:Q162)&lt;$P$149,Q162,0))</f>
        <v>31.30019112332949</v>
      </c>
      <c r="S162" s="824">
        <f>(IF(COUNT($P162:R162)&lt;$P$149,R162,0))</f>
        <v>31.30019112332949</v>
      </c>
      <c r="T162" s="824">
        <f>(IF(COUNT($P162:S162)&lt;$P$149,S162,0))</f>
        <v>31.30019112332949</v>
      </c>
      <c r="U162" s="824">
        <f>(IF(COUNT($P162:T162)&lt;$P$149,T162,0))</f>
        <v>31.30019112332949</v>
      </c>
      <c r="V162" s="824">
        <f>(IF(COUNT($P162:U162)&lt;$P$149,U162,0))</f>
        <v>31.30019112332949</v>
      </c>
      <c r="W162" s="824">
        <f>(IF(COUNT($P162:V162)&lt;$P$149,V162,0))</f>
        <v>31.30019112332949</v>
      </c>
      <c r="AA162"/>
      <c r="AB162"/>
      <c r="AC162"/>
      <c r="AD162"/>
      <c r="AE162"/>
      <c r="AF162"/>
      <c r="AJ162" s="1878"/>
    </row>
    <row r="163" spans="1:36" s="758" customFormat="1" ht="11.25" customHeight="1" outlineLevel="1">
      <c r="A163" s="755"/>
      <c r="B163" s="823"/>
      <c r="C163" s="1978">
        <v>42763</v>
      </c>
      <c r="D163" s="1900"/>
      <c r="E163" s="1900"/>
      <c r="F163" s="1900"/>
      <c r="G163" s="1900"/>
      <c r="H163" s="824"/>
      <c r="I163" s="824"/>
      <c r="J163" s="824"/>
      <c r="K163" s="824"/>
      <c r="L163" s="824"/>
      <c r="M163" s="824"/>
      <c r="N163" s="824"/>
      <c r="O163" s="824"/>
      <c r="P163" s="824"/>
      <c r="Q163" s="824">
        <f>Q$22/Q$149*(1-$H$150)</f>
        <v>33.23551987144009</v>
      </c>
      <c r="R163" s="824">
        <f>(IF(COUNT($Q163:Q163)&lt;$Q$149,Q163,0))</f>
        <v>33.23551987144009</v>
      </c>
      <c r="S163" s="824">
        <f>(IF(COUNT($Q163:R163)&lt;$Q$149,R163,0))</f>
        <v>33.23551987144009</v>
      </c>
      <c r="T163" s="824">
        <f>(IF(COUNT($Q163:S163)&lt;$Q$149,S163,0))</f>
        <v>33.23551987144009</v>
      </c>
      <c r="U163" s="824">
        <f>(IF(COUNT($Q163:T163)&lt;$Q$149,T163,0))</f>
        <v>33.23551987144009</v>
      </c>
      <c r="V163" s="824">
        <f>(IF(COUNT($Q163:U163)&lt;$Q$149,U163,0))</f>
        <v>33.23551987144009</v>
      </c>
      <c r="W163" s="824">
        <f>(IF(COUNT($Q163:V163)&lt;$Q$149,V163,0))</f>
        <v>33.23551987144009</v>
      </c>
      <c r="AA163"/>
      <c r="AB163"/>
      <c r="AC163"/>
      <c r="AD163"/>
      <c r="AE163"/>
      <c r="AF163"/>
      <c r="AJ163" s="1878"/>
    </row>
    <row r="164" spans="1:36" s="758" customFormat="1" ht="11.25" customHeight="1" outlineLevel="1">
      <c r="A164" s="755"/>
      <c r="B164" s="823"/>
      <c r="C164" s="1978">
        <v>43128</v>
      </c>
      <c r="D164" s="1900"/>
      <c r="E164" s="1900"/>
      <c r="F164" s="1900"/>
      <c r="G164" s="1900"/>
      <c r="H164" s="824"/>
      <c r="I164" s="824"/>
      <c r="J164" s="824"/>
      <c r="K164" s="824"/>
      <c r="L164" s="824"/>
      <c r="M164" s="824"/>
      <c r="N164" s="824"/>
      <c r="O164" s="824"/>
      <c r="P164" s="824"/>
      <c r="Q164" s="824"/>
      <c r="R164" s="824">
        <f>R$22/R$149*(1-$H$150)</f>
        <v>33.900230268868896</v>
      </c>
      <c r="S164" s="824">
        <f>(IF(COUNT($R164:R164)&lt;$R$149,R164,0))</f>
        <v>33.900230268868896</v>
      </c>
      <c r="T164" s="824">
        <f>(IF(COUNT($R164:S164)&lt;$R$149,S164,0))</f>
        <v>33.900230268868896</v>
      </c>
      <c r="U164" s="824">
        <f>(IF(COUNT($R164:T164)&lt;$R$149,T164,0))</f>
        <v>33.900230268868896</v>
      </c>
      <c r="V164" s="824">
        <f>(IF(COUNT($R164:U164)&lt;$R$149,U164,0))</f>
        <v>33.900230268868896</v>
      </c>
      <c r="W164" s="824">
        <f>(IF(COUNT($R164:V164)&lt;$R$149,V164,0))</f>
        <v>33.900230268868896</v>
      </c>
      <c r="AA164"/>
      <c r="AB164"/>
      <c r="AC164"/>
      <c r="AD164"/>
      <c r="AE164"/>
      <c r="AF164"/>
      <c r="AJ164" s="1878"/>
    </row>
    <row r="165" spans="1:36" s="758" customFormat="1" ht="11.25" customHeight="1" outlineLevel="1">
      <c r="A165" s="755"/>
      <c r="B165" s="823"/>
      <c r="C165" s="1978">
        <v>43493</v>
      </c>
      <c r="D165" s="1900"/>
      <c r="E165" s="1900"/>
      <c r="F165" s="1900"/>
      <c r="G165" s="1900"/>
      <c r="H165" s="824"/>
      <c r="I165" s="824"/>
      <c r="J165" s="824"/>
      <c r="K165" s="824"/>
      <c r="L165" s="824"/>
      <c r="M165" s="824"/>
      <c r="N165" s="824"/>
      <c r="O165" s="824"/>
      <c r="P165" s="824"/>
      <c r="Q165" s="824"/>
      <c r="R165" s="824"/>
      <c r="S165" s="824">
        <f>S$22/S$149*(1-$H$150)</f>
        <v>34.578234874246263</v>
      </c>
      <c r="T165" s="824">
        <f>(IF(COUNT($R165:S165)&lt;$R$149,S165,0))</f>
        <v>34.578234874246263</v>
      </c>
      <c r="U165" s="824">
        <f>(IF(COUNT($R165:T165)&lt;$R$149,T165,0))</f>
        <v>34.578234874246263</v>
      </c>
      <c r="V165" s="824">
        <f>(IF(COUNT($R165:U165)&lt;$R$149,U165,0))</f>
        <v>34.578234874246263</v>
      </c>
      <c r="W165" s="824">
        <f>(IF(COUNT($R165:V165)&lt;$R$149,V165,0))</f>
        <v>34.578234874246263</v>
      </c>
      <c r="AA165"/>
      <c r="AB165"/>
      <c r="AC165"/>
      <c r="AD165"/>
      <c r="AE165"/>
      <c r="AF165"/>
      <c r="AJ165" s="1878"/>
    </row>
    <row r="166" spans="1:36" s="758" customFormat="1" ht="11.25" customHeight="1" outlineLevel="1">
      <c r="A166" s="755"/>
      <c r="B166" s="823"/>
      <c r="C166" s="1978">
        <v>43858</v>
      </c>
      <c r="D166" s="1900"/>
      <c r="E166" s="1900"/>
      <c r="F166" s="1900"/>
      <c r="G166" s="1900"/>
      <c r="H166" s="824"/>
      <c r="I166" s="824"/>
      <c r="J166" s="824"/>
      <c r="K166" s="824"/>
      <c r="L166" s="824"/>
      <c r="M166" s="824"/>
      <c r="N166" s="824"/>
      <c r="O166" s="824"/>
      <c r="P166" s="824"/>
      <c r="Q166" s="824"/>
      <c r="R166" s="824"/>
      <c r="S166" s="824"/>
      <c r="T166" s="824">
        <f>T$22/T$149*(1-$H$150)</f>
        <v>35.269799571731198</v>
      </c>
      <c r="U166" s="824">
        <f>(IF(COUNT($R166:T166)&lt;$R$149,T166,0))</f>
        <v>35.269799571731198</v>
      </c>
      <c r="V166" s="824">
        <f>(IF(COUNT($R166:U166)&lt;$R$149,U166,0))</f>
        <v>35.269799571731198</v>
      </c>
      <c r="W166" s="824">
        <f>(IF(COUNT($R166:V166)&lt;$R$149,V166,0))</f>
        <v>35.269799571731198</v>
      </c>
      <c r="AA166"/>
      <c r="AB166"/>
      <c r="AC166"/>
      <c r="AD166"/>
      <c r="AE166"/>
      <c r="AF166"/>
      <c r="AJ166" s="1878"/>
    </row>
    <row r="167" spans="1:36" s="758" customFormat="1" ht="11.25" customHeight="1" outlineLevel="1">
      <c r="A167" s="755"/>
      <c r="B167" s="823"/>
      <c r="C167" s="1978">
        <v>44224</v>
      </c>
      <c r="D167" s="1900"/>
      <c r="E167" s="1900"/>
      <c r="F167" s="1900"/>
      <c r="G167" s="1900"/>
      <c r="H167" s="824"/>
      <c r="I167" s="824"/>
      <c r="J167" s="824"/>
      <c r="K167" s="824"/>
      <c r="L167" s="824"/>
      <c r="M167" s="824"/>
      <c r="N167" s="824"/>
      <c r="O167" s="824"/>
      <c r="P167" s="824"/>
      <c r="Q167" s="824"/>
      <c r="R167" s="824"/>
      <c r="S167" s="824"/>
      <c r="T167" s="825"/>
      <c r="U167" s="824">
        <f>U$22/U$149*(1-$H$150)</f>
        <v>35.975195563165826</v>
      </c>
      <c r="V167" s="824">
        <f>(IF(COUNT($R167:U167)&lt;$R$149,U167,0))</f>
        <v>35.975195563165826</v>
      </c>
      <c r="W167" s="824">
        <f>(IF(COUNT($R167:V167)&lt;$R$149,V167,0))</f>
        <v>35.975195563165826</v>
      </c>
      <c r="AA167"/>
      <c r="AB167"/>
      <c r="AC167"/>
      <c r="AD167"/>
      <c r="AE167"/>
      <c r="AF167"/>
      <c r="AJ167" s="1878"/>
    </row>
    <row r="168" spans="1:36" s="758" customFormat="1" ht="11.25" customHeight="1" outlineLevel="1">
      <c r="A168" s="755"/>
      <c r="B168" s="823"/>
      <c r="C168" s="1978">
        <v>44589</v>
      </c>
      <c r="D168" s="1900"/>
      <c r="E168" s="1900"/>
      <c r="F168" s="1900"/>
      <c r="G168" s="1900"/>
      <c r="H168" s="824"/>
      <c r="I168" s="824"/>
      <c r="J168" s="824"/>
      <c r="K168" s="824"/>
      <c r="L168" s="824"/>
      <c r="M168" s="824"/>
      <c r="N168" s="824"/>
      <c r="O168" s="824"/>
      <c r="P168" s="824"/>
      <c r="Q168" s="824"/>
      <c r="R168" s="824"/>
      <c r="S168" s="824"/>
      <c r="T168" s="825"/>
      <c r="V168" s="824">
        <f>V$22/V$149*(1-$H$150)</f>
        <v>36.694699474429129</v>
      </c>
      <c r="W168" s="824">
        <f>(IF(COUNT($R168:V168)&lt;$R$149,V168,0))</f>
        <v>36.694699474429129</v>
      </c>
      <c r="AA168"/>
      <c r="AB168"/>
      <c r="AC168"/>
      <c r="AD168"/>
      <c r="AE168"/>
      <c r="AF168"/>
      <c r="AJ168" s="1878"/>
    </row>
    <row r="169" spans="1:36" s="758" customFormat="1" ht="11.25" customHeight="1" outlineLevel="1">
      <c r="A169" s="755"/>
      <c r="B169" s="823"/>
      <c r="C169" s="1978">
        <v>44954</v>
      </c>
      <c r="D169" s="1900"/>
      <c r="E169" s="1900"/>
      <c r="F169" s="1900"/>
      <c r="G169" s="1900"/>
      <c r="H169" s="824"/>
      <c r="I169" s="824"/>
      <c r="J169" s="824"/>
      <c r="K169" s="824"/>
      <c r="L169" s="824"/>
      <c r="M169" s="824"/>
      <c r="N169" s="824"/>
      <c r="O169" s="824"/>
      <c r="P169" s="824"/>
      <c r="Q169" s="824"/>
      <c r="R169" s="824"/>
      <c r="S169" s="824"/>
      <c r="T169" s="825"/>
      <c r="W169" s="824">
        <f>W$22/W$149*(1-$H$150)</f>
        <v>37.428593463917721</v>
      </c>
      <c r="AA169"/>
      <c r="AB169"/>
      <c r="AC169"/>
      <c r="AD169"/>
      <c r="AE169"/>
      <c r="AF169"/>
      <c r="AJ169" s="1878"/>
    </row>
    <row r="170" spans="1:36" s="758" customFormat="1" ht="11.25" customHeight="1" outlineLevel="1">
      <c r="A170" s="755"/>
      <c r="B170" s="1979"/>
      <c r="C170" s="1900"/>
      <c r="D170" s="1900"/>
      <c r="E170" s="1900"/>
      <c r="F170" s="1900"/>
      <c r="G170" s="1900"/>
      <c r="H170" s="825"/>
      <c r="I170" s="825"/>
      <c r="J170" s="825"/>
      <c r="K170" s="825"/>
      <c r="L170" s="825"/>
      <c r="M170" s="825"/>
      <c r="N170" s="825"/>
      <c r="O170" s="825"/>
      <c r="P170" s="825"/>
      <c r="Q170" s="825"/>
      <c r="R170" s="825"/>
      <c r="S170" s="756"/>
      <c r="T170" s="756"/>
      <c r="U170" s="756"/>
      <c r="V170" s="756"/>
      <c r="W170" s="756"/>
      <c r="AA170"/>
      <c r="AB170"/>
      <c r="AC170"/>
      <c r="AD170"/>
      <c r="AE170"/>
      <c r="AF170"/>
      <c r="AJ170" s="1878"/>
    </row>
    <row r="171" spans="1:36" s="756" customFormat="1" ht="11.25" customHeight="1" outlineLevel="1">
      <c r="A171" s="826"/>
      <c r="B171" s="1980"/>
      <c r="C171" s="1900"/>
      <c r="D171" s="1900"/>
      <c r="E171" s="1900"/>
      <c r="F171" s="1900"/>
      <c r="G171" s="1900"/>
      <c r="H171" s="827">
        <f t="shared" ref="H171:W171" si="53">SUM(H154:H169)</f>
        <v>300.03907389933863</v>
      </c>
      <c r="I171" s="827">
        <f t="shared" si="53"/>
        <v>315.40500852641458</v>
      </c>
      <c r="J171" s="827">
        <f t="shared" si="53"/>
        <v>335.91399529814203</v>
      </c>
      <c r="K171" s="827">
        <f t="shared" si="53"/>
        <v>351.51023942688619</v>
      </c>
      <c r="L171" s="827">
        <f t="shared" si="53"/>
        <v>366.06040643314344</v>
      </c>
      <c r="M171" s="827">
        <f t="shared" si="53"/>
        <v>183.31432278097049</v>
      </c>
      <c r="N171" s="827">
        <f t="shared" si="53"/>
        <v>147.40420521159751</v>
      </c>
      <c r="O171" s="827">
        <f t="shared" si="53"/>
        <v>170.68040346523932</v>
      </c>
      <c r="P171" s="827">
        <f t="shared" si="53"/>
        <v>201.98059458856881</v>
      </c>
      <c r="Q171" s="827">
        <f t="shared" si="53"/>
        <v>235.2161144600089</v>
      </c>
      <c r="R171" s="827">
        <f t="shared" si="53"/>
        <v>269.11634472887778</v>
      </c>
      <c r="S171" s="827">
        <f t="shared" si="53"/>
        <v>282.32786349806133</v>
      </c>
      <c r="T171" s="827">
        <f t="shared" si="53"/>
        <v>291.20791044963806</v>
      </c>
      <c r="U171" s="827">
        <f t="shared" si="53"/>
        <v>305.82371135260126</v>
      </c>
      <c r="V171" s="827">
        <f t="shared" si="53"/>
        <v>322.32035629994374</v>
      </c>
      <c r="W171" s="827">
        <f t="shared" si="53"/>
        <v>324.56815693637174</v>
      </c>
      <c r="AA171"/>
      <c r="AB171"/>
      <c r="AC171"/>
      <c r="AD171"/>
      <c r="AE171"/>
      <c r="AF171"/>
      <c r="AJ171" s="1878"/>
    </row>
    <row r="172" spans="1:36" s="758" customFormat="1">
      <c r="A172" s="755"/>
      <c r="B172" s="1872"/>
      <c r="C172" s="1981"/>
      <c r="D172" s="1981"/>
      <c r="E172" s="1981"/>
      <c r="F172" s="1981"/>
      <c r="G172" s="1981"/>
      <c r="H172" s="757"/>
      <c r="I172" s="757"/>
      <c r="J172" s="757"/>
      <c r="K172" s="757"/>
      <c r="L172" s="757"/>
      <c r="M172" s="757"/>
      <c r="N172" s="757"/>
      <c r="O172" s="757"/>
      <c r="P172" s="757"/>
      <c r="Q172" s="757"/>
      <c r="R172" s="757"/>
      <c r="S172" s="757"/>
      <c r="T172" s="1982"/>
      <c r="AA172"/>
      <c r="AB172"/>
      <c r="AC172"/>
      <c r="AD172"/>
      <c r="AE172"/>
      <c r="AF172"/>
      <c r="AJ172" s="1878"/>
    </row>
    <row r="173" spans="1:36" s="758" customFormat="1">
      <c r="A173" s="755"/>
      <c r="B173" s="1872"/>
      <c r="C173" s="1983"/>
      <c r="D173" s="1983"/>
      <c r="E173" s="1983"/>
      <c r="F173" s="1983"/>
      <c r="G173" s="1983"/>
      <c r="H173" s="757"/>
      <c r="I173" s="757"/>
      <c r="J173" s="757"/>
      <c r="K173" s="757"/>
      <c r="L173" s="757"/>
      <c r="M173" s="757"/>
      <c r="N173" s="757"/>
      <c r="O173" s="757"/>
      <c r="P173" s="757"/>
      <c r="Q173" s="757"/>
      <c r="R173" s="757"/>
      <c r="S173" s="757"/>
      <c r="T173" s="1984"/>
      <c r="AA173"/>
      <c r="AB173"/>
      <c r="AC173"/>
      <c r="AD173"/>
      <c r="AE173"/>
      <c r="AF173"/>
      <c r="AJ173" s="1878"/>
    </row>
    <row r="174" spans="1:36" s="758" customFormat="1">
      <c r="A174" s="755"/>
      <c r="B174" s="1872"/>
      <c r="C174" s="1900"/>
      <c r="D174" s="1900"/>
      <c r="E174" s="1900"/>
      <c r="F174" s="1900"/>
      <c r="G174" s="1900"/>
      <c r="H174" s="757"/>
      <c r="I174" s="757"/>
      <c r="J174" s="757"/>
      <c r="K174" s="757"/>
      <c r="L174" s="757"/>
      <c r="M174" s="757"/>
      <c r="N174" s="757"/>
      <c r="O174" s="757"/>
      <c r="P174" s="757"/>
      <c r="Q174" s="757"/>
      <c r="R174" s="757"/>
      <c r="S174" s="757"/>
      <c r="T174" s="756"/>
      <c r="AA174"/>
      <c r="AB174"/>
      <c r="AC174"/>
      <c r="AD174"/>
      <c r="AE174"/>
      <c r="AF174"/>
      <c r="AJ174" s="1878"/>
    </row>
    <row r="175" spans="1:36" s="758" customFormat="1" hidden="1" outlineLevel="1">
      <c r="A175" s="755"/>
      <c r="B175" s="1872"/>
      <c r="C175" s="1900"/>
      <c r="D175" s="1900"/>
      <c r="E175" s="1900"/>
      <c r="F175" s="1900"/>
      <c r="G175" s="1900"/>
      <c r="H175" s="757"/>
      <c r="I175" s="757"/>
      <c r="J175" s="757"/>
      <c r="K175" s="757"/>
      <c r="L175" s="757"/>
      <c r="M175" s="757"/>
      <c r="N175" s="757"/>
      <c r="O175" s="757"/>
      <c r="P175" s="757"/>
      <c r="Q175" s="757"/>
      <c r="R175" s="757"/>
      <c r="S175" s="757"/>
      <c r="T175" s="756"/>
      <c r="AA175"/>
      <c r="AB175"/>
      <c r="AC175"/>
      <c r="AD175"/>
      <c r="AE175"/>
      <c r="AF175"/>
      <c r="AJ175" s="1878"/>
    </row>
    <row r="176" spans="1:36" s="758" customFormat="1" hidden="1" outlineLevel="1">
      <c r="A176" s="755"/>
      <c r="B176" s="1872"/>
      <c r="C176" s="1900"/>
      <c r="D176" s="1900"/>
      <c r="E176" s="1900"/>
      <c r="F176" s="1900"/>
      <c r="G176" s="1900"/>
      <c r="H176" s="757"/>
      <c r="I176" s="757"/>
      <c r="J176" s="757"/>
      <c r="K176" s="757"/>
      <c r="L176" s="757"/>
      <c r="M176" s="757"/>
      <c r="N176" s="757"/>
      <c r="O176" s="757"/>
      <c r="P176" s="757"/>
      <c r="Q176" s="757"/>
      <c r="R176" s="757"/>
      <c r="S176" s="757"/>
      <c r="T176" s="756"/>
      <c r="AA176"/>
      <c r="AB176"/>
      <c r="AC176"/>
      <c r="AD176"/>
      <c r="AE176"/>
      <c r="AF176"/>
      <c r="AJ176" s="1878"/>
    </row>
    <row r="177" spans="1:36" s="758" customFormat="1" hidden="1" outlineLevel="1">
      <c r="A177" s="755"/>
      <c r="B177" s="1872"/>
      <c r="C177" s="756"/>
      <c r="D177" s="756"/>
      <c r="E177" s="756"/>
      <c r="F177" s="756"/>
      <c r="G177" s="756"/>
      <c r="H177" s="757"/>
      <c r="I177" s="757"/>
      <c r="J177" s="757"/>
      <c r="K177" s="757"/>
      <c r="L177" s="757"/>
      <c r="M177" s="757"/>
      <c r="N177" s="757"/>
      <c r="O177" s="757"/>
      <c r="P177" s="757"/>
      <c r="Q177" s="757"/>
      <c r="R177" s="757"/>
      <c r="S177" s="757"/>
      <c r="AA177"/>
      <c r="AB177"/>
      <c r="AC177"/>
      <c r="AD177"/>
      <c r="AE177"/>
      <c r="AF177"/>
      <c r="AJ177" s="1878"/>
    </row>
    <row r="178" spans="1:36" hidden="1" outlineLevel="1"/>
    <row r="179" spans="1:36" s="758" customFormat="1" hidden="1" outlineLevel="1">
      <c r="A179" s="755"/>
      <c r="B179" s="1872"/>
      <c r="C179" s="756"/>
      <c r="D179" s="756"/>
      <c r="E179" s="756"/>
      <c r="F179" s="756"/>
      <c r="G179" s="756"/>
      <c r="H179" s="757"/>
      <c r="I179" s="757"/>
      <c r="J179" s="757"/>
      <c r="K179" s="757"/>
      <c r="L179" s="757"/>
      <c r="M179" s="757"/>
      <c r="N179" s="757"/>
      <c r="O179" s="757"/>
      <c r="P179" s="757"/>
      <c r="Q179" s="757"/>
      <c r="R179" s="757"/>
      <c r="S179" s="757"/>
      <c r="AA179"/>
      <c r="AB179"/>
      <c r="AC179"/>
      <c r="AD179"/>
      <c r="AE179"/>
      <c r="AF179"/>
      <c r="AJ179" s="1878"/>
    </row>
    <row r="180" spans="1:36" s="758" customFormat="1" hidden="1" outlineLevel="1">
      <c r="A180" s="755"/>
      <c r="B180" s="1872"/>
      <c r="C180" s="756"/>
      <c r="D180" s="756"/>
      <c r="E180" s="756"/>
      <c r="F180" s="756"/>
      <c r="G180" s="756"/>
      <c r="H180" s="757"/>
      <c r="I180" s="757"/>
      <c r="J180" s="757"/>
      <c r="K180" s="757"/>
      <c r="L180" s="757"/>
      <c r="M180" s="757"/>
      <c r="N180" s="757"/>
      <c r="O180" s="757"/>
      <c r="P180" s="757"/>
      <c r="Q180" s="757"/>
      <c r="R180" s="757"/>
      <c r="S180" s="757"/>
      <c r="AA180"/>
      <c r="AB180"/>
      <c r="AC180"/>
      <c r="AD180"/>
      <c r="AE180"/>
      <c r="AF180"/>
      <c r="AJ180" s="1878"/>
    </row>
    <row r="181" spans="1:36" s="758" customFormat="1" hidden="1" outlineLevel="1">
      <c r="A181" s="755"/>
      <c r="B181" s="1872"/>
      <c r="C181" s="756"/>
      <c r="D181" s="756"/>
      <c r="E181" s="756"/>
      <c r="F181" s="756"/>
      <c r="G181" s="756"/>
      <c r="H181" s="757"/>
      <c r="I181" s="757"/>
      <c r="J181" s="757"/>
      <c r="K181" s="757"/>
      <c r="L181" s="757"/>
      <c r="M181" s="757"/>
      <c r="N181" s="757"/>
      <c r="O181" s="757"/>
      <c r="P181" s="757"/>
      <c r="Q181" s="757"/>
      <c r="R181" s="757"/>
      <c r="S181" s="757"/>
      <c r="AA181"/>
      <c r="AB181"/>
      <c r="AC181"/>
      <c r="AD181"/>
      <c r="AE181"/>
      <c r="AF181"/>
      <c r="AJ181" s="1878"/>
    </row>
    <row r="182" spans="1:36" s="758" customFormat="1" hidden="1" outlineLevel="1">
      <c r="A182" s="755"/>
      <c r="B182" s="1872"/>
      <c r="C182" s="756"/>
      <c r="D182" s="756"/>
      <c r="E182" s="756"/>
      <c r="F182" s="756"/>
      <c r="G182" s="756"/>
      <c r="H182" s="757"/>
      <c r="I182" s="757"/>
      <c r="J182" s="757"/>
      <c r="K182" s="757"/>
      <c r="L182" s="757"/>
      <c r="M182" s="757"/>
      <c r="N182" s="757"/>
      <c r="O182" s="757"/>
      <c r="P182" s="757"/>
      <c r="Q182" s="757"/>
      <c r="R182" s="757"/>
      <c r="S182" s="757"/>
      <c r="AA182"/>
      <c r="AB182"/>
      <c r="AC182"/>
      <c r="AD182"/>
      <c r="AE182"/>
      <c r="AF182"/>
      <c r="AJ182" s="1878"/>
    </row>
    <row r="183" spans="1:36" s="758" customFormat="1" hidden="1" outlineLevel="1">
      <c r="A183" s="755"/>
      <c r="B183" s="1872"/>
      <c r="C183" s="756"/>
      <c r="D183" s="756"/>
      <c r="E183" s="756"/>
      <c r="F183" s="756"/>
      <c r="G183" s="756"/>
      <c r="H183" s="757"/>
      <c r="I183" s="757"/>
      <c r="J183" s="757"/>
      <c r="K183" s="757"/>
      <c r="L183" s="757"/>
      <c r="M183" s="757"/>
      <c r="N183" s="757"/>
      <c r="O183" s="757"/>
      <c r="P183" s="757"/>
      <c r="Q183" s="757"/>
      <c r="R183" s="757"/>
      <c r="S183" s="757"/>
      <c r="AA183"/>
      <c r="AB183"/>
      <c r="AC183"/>
      <c r="AD183"/>
      <c r="AE183"/>
      <c r="AF183"/>
      <c r="AJ183" s="1878"/>
    </row>
    <row r="184" spans="1:36" s="830" customFormat="1" hidden="1" outlineLevel="1">
      <c r="A184" s="828">
        <v>1</v>
      </c>
      <c r="B184" s="1985"/>
      <c r="C184" s="829"/>
      <c r="D184" s="829"/>
      <c r="E184" s="829"/>
      <c r="F184" s="829"/>
      <c r="G184" s="829"/>
      <c r="H184" s="829"/>
      <c r="I184" s="829"/>
      <c r="J184" s="829"/>
      <c r="K184" s="829"/>
      <c r="L184" s="829"/>
      <c r="M184" s="829"/>
      <c r="N184" s="829"/>
      <c r="O184" s="829"/>
      <c r="P184" s="829"/>
      <c r="AA184"/>
      <c r="AB184"/>
      <c r="AC184"/>
      <c r="AD184"/>
      <c r="AE184"/>
      <c r="AF184"/>
      <c r="AJ184" s="1986"/>
    </row>
    <row r="185" spans="1:36" s="758" customFormat="1" collapsed="1">
      <c r="A185" s="755"/>
      <c r="B185" s="1872"/>
      <c r="C185" s="756"/>
      <c r="D185" s="756"/>
      <c r="E185" s="756"/>
      <c r="F185" s="756"/>
      <c r="G185" s="756"/>
      <c r="H185" s="757"/>
      <c r="I185" s="757"/>
      <c r="J185" s="757"/>
      <c r="K185" s="757"/>
      <c r="L185" s="757"/>
      <c r="M185" s="757"/>
      <c r="N185" s="757"/>
      <c r="O185" s="757"/>
      <c r="P185" s="757"/>
      <c r="Q185" s="757"/>
      <c r="R185" s="757"/>
      <c r="S185" s="757"/>
      <c r="AA185"/>
      <c r="AB185"/>
      <c r="AC185"/>
      <c r="AD185"/>
      <c r="AE185"/>
      <c r="AF185"/>
      <c r="AJ185" s="1878"/>
    </row>
    <row r="186" spans="1:36" s="758" customFormat="1">
      <c r="A186" s="755"/>
      <c r="B186" s="1872"/>
      <c r="C186" s="756"/>
      <c r="D186" s="756"/>
      <c r="E186" s="756"/>
      <c r="F186" s="756"/>
      <c r="G186" s="756"/>
      <c r="H186" s="757"/>
      <c r="I186" s="757"/>
      <c r="J186" s="757"/>
      <c r="K186" s="757"/>
      <c r="L186" s="757"/>
      <c r="M186" s="757"/>
      <c r="N186" s="757"/>
      <c r="O186" s="757"/>
      <c r="P186" s="757"/>
      <c r="Q186" s="757"/>
      <c r="R186" s="757"/>
      <c r="S186" s="757"/>
      <c r="AA186"/>
      <c r="AB186"/>
      <c r="AC186"/>
      <c r="AD186"/>
      <c r="AE186"/>
      <c r="AF186"/>
      <c r="AJ186" s="1878"/>
    </row>
    <row r="187" spans="1:36" s="758" customFormat="1" outlineLevel="1">
      <c r="A187" s="755"/>
      <c r="B187" s="1872"/>
      <c r="C187" s="831" t="s">
        <v>364</v>
      </c>
      <c r="D187" s="756"/>
      <c r="E187" s="756"/>
      <c r="F187" s="756"/>
      <c r="G187" s="756"/>
      <c r="H187" s="1987">
        <f t="shared" ref="H187:P187" si="54">H9</f>
        <v>39841</v>
      </c>
      <c r="I187" s="1987">
        <f t="shared" si="54"/>
        <v>40206</v>
      </c>
      <c r="J187" s="1987">
        <f t="shared" si="54"/>
        <v>40571</v>
      </c>
      <c r="K187" s="1987">
        <f t="shared" si="54"/>
        <v>40936</v>
      </c>
      <c r="L187" s="1987">
        <f t="shared" si="54"/>
        <v>41302</v>
      </c>
      <c r="M187" s="1987">
        <f t="shared" si="54"/>
        <v>41667</v>
      </c>
      <c r="N187" s="1987">
        <f t="shared" si="54"/>
        <v>42032</v>
      </c>
      <c r="O187" s="1987">
        <f t="shared" si="54"/>
        <v>42397</v>
      </c>
      <c r="P187" s="1987">
        <f t="shared" si="54"/>
        <v>42763</v>
      </c>
      <c r="Q187" s="1988"/>
      <c r="R187" s="1988"/>
      <c r="S187" s="1988"/>
      <c r="T187" s="1989"/>
      <c r="U187" s="1989"/>
      <c r="V187" s="1989"/>
      <c r="W187" s="1989"/>
      <c r="X187" s="1989"/>
      <c r="AA187"/>
      <c r="AB187"/>
      <c r="AC187"/>
      <c r="AD187"/>
      <c r="AE187"/>
      <c r="AF187"/>
      <c r="AJ187" s="1878"/>
    </row>
    <row r="188" spans="1:36" s="758" customFormat="1" outlineLevel="1">
      <c r="A188" s="755"/>
      <c r="B188" s="1872"/>
      <c r="C188" s="832" t="s">
        <v>365</v>
      </c>
      <c r="D188" s="756"/>
      <c r="E188" s="756"/>
      <c r="F188" s="756"/>
      <c r="G188" s="756"/>
      <c r="H188" s="757"/>
      <c r="I188" s="757"/>
      <c r="J188" s="757"/>
      <c r="K188" s="757"/>
      <c r="L188" s="757"/>
      <c r="M188" s="757"/>
      <c r="N188" s="757"/>
      <c r="O188" s="757"/>
      <c r="P188" s="757"/>
      <c r="Q188" s="757"/>
      <c r="R188" s="757"/>
      <c r="S188" s="757"/>
      <c r="AA188"/>
      <c r="AB188"/>
      <c r="AC188"/>
      <c r="AD188"/>
      <c r="AE188"/>
      <c r="AF188"/>
      <c r="AJ188" s="1878"/>
    </row>
    <row r="189" spans="1:36" s="758" customFormat="1" outlineLevel="1">
      <c r="A189" s="755"/>
      <c r="B189" s="1872"/>
      <c r="C189" s="756"/>
      <c r="D189" s="756"/>
      <c r="E189" s="756"/>
      <c r="F189" s="756"/>
      <c r="G189" s="756"/>
      <c r="H189" s="833"/>
      <c r="I189" s="833"/>
      <c r="J189" s="833"/>
      <c r="K189" s="833"/>
      <c r="L189" s="833"/>
      <c r="M189" s="833"/>
      <c r="N189" s="833"/>
      <c r="O189" s="833"/>
      <c r="P189" s="833"/>
      <c r="AA189"/>
      <c r="AB189"/>
      <c r="AC189"/>
      <c r="AD189"/>
      <c r="AE189"/>
      <c r="AF189"/>
    </row>
    <row r="190" spans="1:36" s="758" customFormat="1" outlineLevel="1">
      <c r="A190" s="755"/>
      <c r="B190" s="1872"/>
      <c r="C190" s="1990" t="s">
        <v>366</v>
      </c>
      <c r="D190" s="1990"/>
      <c r="E190" s="1991"/>
      <c r="F190" s="756"/>
      <c r="G190" s="756"/>
      <c r="H190" s="1992">
        <f>_xll.ThomsonONEAddinShim.SpreadsheetFormulas.TF(SedolTicker,$AJ$190,,H$5,$J$3)</f>
        <v>0</v>
      </c>
      <c r="I190" s="1992">
        <f>_xll.ThomsonONEAddinShim.SpreadsheetFormulas.TF(SedolTicker,$AJ$190,,I$5,$J$3)</f>
        <v>0</v>
      </c>
      <c r="J190" s="1992">
        <f>_xll.ThomsonONEAddinShim.SpreadsheetFormulas.TF(SedolTicker,$AJ$190,,J$5,$J$3)</f>
        <v>0</v>
      </c>
      <c r="K190" s="1992">
        <f>_xll.ThomsonONEAddinShim.SpreadsheetFormulas.TF(SedolTicker,$AJ$190,,K$5,$J$3)</f>
        <v>0</v>
      </c>
      <c r="L190" s="1992">
        <f>_xll.ThomsonONEAddinShim.SpreadsheetFormulas.TF(SedolTicker,$AJ$190,,L$5,$J$3)</f>
        <v>0</v>
      </c>
      <c r="M190" s="1992">
        <f>_xll.ThomsonONEAddinShim.SpreadsheetFormulas.TF(SedolTicker,$AJ$190,,M$5,$J$3)</f>
        <v>0</v>
      </c>
      <c r="N190" s="1992">
        <f>_xll.ThomsonONEAddinShim.SpreadsheetFormulas.TF(SedolTicker,$AJ$190,,N$5,$J$3)</f>
        <v>0</v>
      </c>
      <c r="O190" s="1992">
        <f>_xll.ThomsonONEAddinShim.SpreadsheetFormulas.TF(SedolTicker,$AJ$190,,O$5,$J$3)</f>
        <v>0</v>
      </c>
      <c r="P190" s="1992">
        <f>_xll.ThomsonONEAddinShim.SpreadsheetFormulas.TF(SedolTicker,$AJ$190,,P$5,$J$3)</f>
        <v>0</v>
      </c>
      <c r="Q190" s="1993"/>
      <c r="R190" s="1993"/>
      <c r="S190" s="1993"/>
      <c r="T190" s="1993"/>
      <c r="U190" s="1993"/>
      <c r="W190" s="1993"/>
      <c r="X190" s="1993"/>
      <c r="Y190" s="1993"/>
      <c r="Z190" s="1993"/>
      <c r="AA190"/>
      <c r="AB190"/>
      <c r="AC190"/>
      <c r="AD190"/>
      <c r="AE190"/>
      <c r="AF190"/>
      <c r="AJ190" s="1994" t="s">
        <v>284</v>
      </c>
    </row>
    <row r="191" spans="1:36" s="758" customFormat="1" outlineLevel="1">
      <c r="A191" s="755"/>
      <c r="B191" s="1872"/>
      <c r="C191" s="1990" t="s">
        <v>367</v>
      </c>
      <c r="D191" s="1990"/>
      <c r="E191" s="1991"/>
      <c r="F191" s="756"/>
      <c r="G191" s="756"/>
      <c r="H191" s="757"/>
      <c r="I191" s="1992">
        <f>_xll.ThomsonONEAddinShim.SpreadsheetFormulas.TF(SedolTicker,$AJ$191,"dataDir=across",$I$5,$P$5,$J$3)</f>
        <v>0</v>
      </c>
      <c r="J191" s="1992">
        <v>0</v>
      </c>
      <c r="K191" s="1992">
        <v>0</v>
      </c>
      <c r="L191" s="1992">
        <v>0</v>
      </c>
      <c r="M191" s="1992">
        <v>0</v>
      </c>
      <c r="N191" s="1992">
        <v>0</v>
      </c>
      <c r="O191" s="1992">
        <v>0</v>
      </c>
      <c r="P191" s="1992">
        <v>0</v>
      </c>
      <c r="Q191" s="1993"/>
      <c r="R191" s="1993"/>
      <c r="S191" s="1993"/>
      <c r="T191" s="1993"/>
      <c r="U191" s="1993"/>
      <c r="W191" s="1993"/>
      <c r="X191" s="1993"/>
      <c r="Y191" s="1993"/>
      <c r="Z191" s="1993"/>
      <c r="AA191"/>
      <c r="AB191"/>
      <c r="AC191"/>
      <c r="AD191"/>
      <c r="AE191"/>
      <c r="AF191"/>
      <c r="AJ191" s="1994" t="s">
        <v>286</v>
      </c>
    </row>
    <row r="192" spans="1:36" s="758" customFormat="1" outlineLevel="1">
      <c r="A192" s="755"/>
      <c r="B192" s="1872"/>
      <c r="C192" s="1995"/>
      <c r="D192" s="1995"/>
      <c r="E192" s="1996"/>
      <c r="F192" s="756"/>
      <c r="G192" s="756"/>
      <c r="H192" s="1997"/>
      <c r="I192" s="1997"/>
      <c r="J192" s="1997"/>
      <c r="K192" s="1997"/>
      <c r="L192" s="1997"/>
      <c r="M192" s="1997"/>
      <c r="N192" s="1997"/>
      <c r="O192" s="1997"/>
      <c r="P192" s="1997"/>
      <c r="Q192" s="1998"/>
      <c r="R192" s="1998"/>
      <c r="S192" s="1998"/>
      <c r="T192" s="1998"/>
      <c r="U192" s="1998"/>
      <c r="W192" s="1998"/>
      <c r="X192" s="1998"/>
      <c r="Y192" s="1998"/>
      <c r="Z192" s="1998"/>
      <c r="AA192"/>
      <c r="AB192"/>
      <c r="AC192"/>
      <c r="AD192"/>
      <c r="AE192"/>
      <c r="AF192"/>
      <c r="AJ192" s="1998"/>
    </row>
    <row r="193" spans="1:39" s="758" customFormat="1" outlineLevel="1">
      <c r="A193" s="755"/>
      <c r="B193" s="1872"/>
      <c r="C193" s="1995"/>
      <c r="D193" s="1995"/>
      <c r="E193" s="1996"/>
      <c r="F193" s="756"/>
      <c r="G193" s="756"/>
      <c r="H193" s="1997"/>
      <c r="I193" s="1997"/>
      <c r="J193" s="1997"/>
      <c r="K193" s="1997"/>
      <c r="L193" s="1997"/>
      <c r="M193" s="1997"/>
      <c r="N193" s="1997"/>
      <c r="O193" s="1997"/>
      <c r="P193" s="1997"/>
      <c r="Q193" s="1998"/>
      <c r="R193" s="1998"/>
      <c r="S193" s="1998"/>
      <c r="T193" s="1998"/>
      <c r="U193" s="1998"/>
      <c r="W193" s="1998"/>
      <c r="X193" s="1998"/>
      <c r="Y193" s="1998"/>
      <c r="Z193" s="1998"/>
      <c r="AA193"/>
      <c r="AB193"/>
      <c r="AC193"/>
      <c r="AD193"/>
      <c r="AE193"/>
      <c r="AF193"/>
      <c r="AJ193" s="1998"/>
    </row>
    <row r="194" spans="1:39" s="758" customFormat="1" outlineLevel="1">
      <c r="A194" s="755"/>
      <c r="B194" s="1872"/>
      <c r="C194" s="1990" t="s">
        <v>400</v>
      </c>
      <c r="D194" s="1990"/>
      <c r="E194" s="1991"/>
      <c r="F194" s="756"/>
      <c r="G194" s="756"/>
      <c r="H194" s="1999" t="str">
        <f>_xll.ThomsonONEAddinShim.SpreadsheetFormulas.TF(SedolTicker,$AJ194,"dataDir=across",$J$3)</f>
        <v xml:space="preserve">                           -                 </v>
      </c>
      <c r="I194" s="1999">
        <v>0</v>
      </c>
      <c r="J194" s="1999">
        <v>0</v>
      </c>
      <c r="K194" s="1999">
        <v>0</v>
      </c>
      <c r="L194" s="1999">
        <v>0</v>
      </c>
      <c r="M194" s="1999">
        <v>0</v>
      </c>
      <c r="N194" s="1999">
        <v>0</v>
      </c>
      <c r="O194" s="1999">
        <v>0</v>
      </c>
      <c r="P194" s="1999">
        <v>0</v>
      </c>
      <c r="Q194" s="1998"/>
      <c r="R194" s="1998"/>
      <c r="S194" s="1998"/>
      <c r="T194" s="1998"/>
      <c r="U194" s="1998"/>
      <c r="W194" s="1998"/>
      <c r="X194" s="1998"/>
      <c r="Y194" s="1998"/>
      <c r="Z194" s="1998"/>
      <c r="AA194"/>
      <c r="AB194"/>
      <c r="AC194"/>
      <c r="AD194"/>
      <c r="AE194"/>
      <c r="AF194"/>
      <c r="AJ194" s="2000" t="s">
        <v>368</v>
      </c>
    </row>
    <row r="195" spans="1:39" outlineLevel="1">
      <c r="C195" s="1990" t="s">
        <v>369</v>
      </c>
      <c r="D195" s="1990"/>
      <c r="E195" s="1991"/>
      <c r="F195" s="756"/>
      <c r="G195" s="756"/>
      <c r="H195" s="1999">
        <f>_xll.ThomsonONEAddinShim.SpreadsheetFormulas.TF(SedolTicker,$AJ195,"dataDir=across",$J$3)</f>
        <v>75</v>
      </c>
      <c r="I195" s="1999">
        <v>30</v>
      </c>
      <c r="J195" s="1999">
        <v>0</v>
      </c>
      <c r="K195" s="1999">
        <v>0</v>
      </c>
      <c r="L195" s="1999">
        <v>0</v>
      </c>
      <c r="M195" s="1999">
        <v>0</v>
      </c>
      <c r="N195" s="1999">
        <v>0</v>
      </c>
      <c r="O195" s="1999">
        <v>0</v>
      </c>
      <c r="P195" s="1999">
        <v>0</v>
      </c>
      <c r="Q195" s="1998"/>
      <c r="R195" s="1998"/>
      <c r="S195" s="1998"/>
      <c r="T195" s="1998"/>
      <c r="U195" s="1998"/>
      <c r="V195" s="758"/>
      <c r="W195" s="1998"/>
      <c r="X195" s="1998"/>
      <c r="Y195" s="1998"/>
      <c r="Z195" s="1998"/>
      <c r="AG195" s="758"/>
      <c r="AH195" s="758"/>
      <c r="AI195" s="758"/>
      <c r="AJ195" s="2000" t="s">
        <v>370</v>
      </c>
      <c r="AK195" s="758"/>
      <c r="AL195" s="758"/>
      <c r="AM195" s="758"/>
    </row>
    <row r="196" spans="1:39" outlineLevel="1">
      <c r="C196" s="1990" t="s">
        <v>371</v>
      </c>
      <c r="D196" s="1990"/>
      <c r="E196" s="1991"/>
      <c r="H196" s="1999" t="str">
        <f>_xll.ThomsonONEAddinShim.SpreadsheetFormulas.TF(SedolTicker,$AJ196,"dataDir=across",$J$3)</f>
        <v xml:space="preserve">                           -                 </v>
      </c>
      <c r="I196" s="1999">
        <v>0</v>
      </c>
      <c r="J196" s="1999">
        <v>0</v>
      </c>
      <c r="K196" s="1999">
        <v>0</v>
      </c>
      <c r="L196" s="1999">
        <v>0</v>
      </c>
      <c r="M196" s="1999">
        <v>0</v>
      </c>
      <c r="N196" s="1999">
        <v>0</v>
      </c>
      <c r="O196" s="1999">
        <v>0</v>
      </c>
      <c r="P196" s="1999">
        <v>0</v>
      </c>
      <c r="Q196" s="1998"/>
      <c r="R196" s="1998"/>
      <c r="S196" s="1998"/>
      <c r="T196" s="1998"/>
      <c r="U196" s="1998"/>
      <c r="W196" s="1998"/>
      <c r="X196" s="1998"/>
      <c r="Y196" s="1998"/>
      <c r="Z196" s="1998"/>
      <c r="AJ196" s="2000" t="s">
        <v>372</v>
      </c>
    </row>
    <row r="197" spans="1:39" outlineLevel="1">
      <c r="C197" s="1990"/>
      <c r="D197" s="1990"/>
      <c r="E197" s="1991"/>
      <c r="H197" s="1992"/>
      <c r="I197" s="2001"/>
      <c r="J197" s="2001"/>
      <c r="K197" s="2001"/>
      <c r="L197" s="2001"/>
      <c r="M197" s="2001"/>
      <c r="N197" s="2001"/>
      <c r="O197" s="2001"/>
      <c r="P197" s="2001"/>
      <c r="Q197" s="1998"/>
      <c r="R197" s="1998"/>
      <c r="S197" s="1998"/>
      <c r="T197" s="1998"/>
      <c r="U197" s="1998"/>
      <c r="W197" s="1998"/>
      <c r="X197" s="1998"/>
      <c r="Y197" s="1998"/>
      <c r="Z197" s="1998"/>
      <c r="AJ197" s="2000"/>
    </row>
    <row r="198" spans="1:39" s="788" customFormat="1">
      <c r="A198" s="786"/>
      <c r="B198" s="1912"/>
      <c r="C198" s="1990"/>
      <c r="D198" s="1990"/>
      <c r="E198" s="1991"/>
      <c r="F198" s="787"/>
      <c r="G198" s="787"/>
      <c r="H198" s="2002"/>
      <c r="I198" s="2003"/>
      <c r="J198" s="2003"/>
      <c r="K198" s="2003"/>
      <c r="L198" s="2004"/>
      <c r="M198" s="2004"/>
      <c r="N198" s="2004"/>
      <c r="O198" s="2004"/>
      <c r="P198" s="2004"/>
      <c r="Q198" s="1998"/>
      <c r="R198" s="1998"/>
      <c r="S198" s="1998"/>
      <c r="T198" s="1998"/>
      <c r="U198" s="1998"/>
      <c r="W198" s="1998"/>
      <c r="X198" s="1998"/>
      <c r="Y198" s="1998"/>
      <c r="Z198" s="1998"/>
      <c r="AA198"/>
      <c r="AB198"/>
      <c r="AC198"/>
      <c r="AD198"/>
      <c r="AE198"/>
      <c r="AF198"/>
      <c r="AJ198" s="1998"/>
    </row>
    <row r="199" spans="1:39">
      <c r="C199" s="1990"/>
      <c r="D199" s="1990"/>
      <c r="E199" s="1991"/>
      <c r="H199" s="2005"/>
      <c r="I199" s="2005"/>
      <c r="J199" s="2005"/>
      <c r="K199" s="2005"/>
      <c r="L199" s="2005"/>
      <c r="M199" s="2005"/>
      <c r="N199" s="2005"/>
      <c r="O199" s="2005"/>
      <c r="P199" s="2005"/>
      <c r="Q199" s="1998"/>
      <c r="R199" s="1998"/>
      <c r="S199" s="1998"/>
      <c r="T199" s="1998"/>
      <c r="U199" s="1998"/>
      <c r="W199" s="1998"/>
      <c r="X199" s="1998"/>
      <c r="Y199" s="1998"/>
      <c r="Z199" s="1998"/>
      <c r="AJ199" s="1998"/>
    </row>
    <row r="200" spans="1:39">
      <c r="C200" s="1990"/>
      <c r="D200" s="1990"/>
      <c r="E200" s="1991"/>
      <c r="H200" s="2005"/>
      <c r="I200" s="2005"/>
      <c r="J200" s="2005"/>
      <c r="K200" s="2005"/>
      <c r="L200" s="2005"/>
      <c r="M200" s="2005"/>
      <c r="N200" s="2005"/>
      <c r="O200" s="2005"/>
      <c r="P200" s="2005"/>
      <c r="Q200" s="1998"/>
      <c r="R200" s="1998"/>
      <c r="S200" s="1998"/>
      <c r="T200" s="1998"/>
      <c r="U200" s="1998"/>
      <c r="W200" s="1998"/>
      <c r="X200" s="1998"/>
      <c r="Y200" s="1998"/>
      <c r="Z200" s="1998"/>
      <c r="AJ200" s="1998"/>
    </row>
    <row r="201" spans="1:39">
      <c r="C201" s="1990"/>
      <c r="D201" s="1990"/>
      <c r="E201" s="1991"/>
      <c r="H201" s="2005"/>
      <c r="I201" s="2005"/>
      <c r="J201" s="2005"/>
      <c r="K201" s="2005"/>
      <c r="L201" s="2005"/>
      <c r="M201" s="2005"/>
      <c r="N201" s="2005"/>
      <c r="O201" s="2005"/>
      <c r="P201" s="2005"/>
      <c r="Q201" s="1998"/>
      <c r="R201" s="1998"/>
      <c r="S201" s="1998"/>
      <c r="T201" s="1998"/>
      <c r="U201" s="1998"/>
      <c r="W201" s="1998"/>
      <c r="X201" s="1998"/>
      <c r="Y201" s="1998"/>
      <c r="Z201" s="1998"/>
      <c r="AJ201" s="1998"/>
    </row>
    <row r="202" spans="1:39" s="788" customFormat="1">
      <c r="A202" s="786"/>
      <c r="B202" s="1912"/>
      <c r="C202" s="1990"/>
      <c r="D202" s="1990"/>
      <c r="E202" s="1991"/>
      <c r="F202" s="787"/>
      <c r="G202" s="787"/>
      <c r="H202" s="2002"/>
      <c r="I202" s="2002"/>
      <c r="J202" s="2002"/>
      <c r="K202" s="2002"/>
      <c r="L202" s="2002"/>
      <c r="M202" s="2002"/>
      <c r="N202" s="2002"/>
      <c r="O202" s="2002"/>
      <c r="P202" s="2002"/>
      <c r="Q202" s="1998"/>
      <c r="R202" s="1998"/>
      <c r="S202" s="1998"/>
      <c r="T202" s="1998"/>
      <c r="U202" s="1998"/>
      <c r="V202" s="1998"/>
      <c r="W202" s="1998"/>
      <c r="X202" s="1998"/>
      <c r="Y202" s="1998"/>
      <c r="Z202" s="1998"/>
      <c r="AA202"/>
      <c r="AB202"/>
      <c r="AC202"/>
      <c r="AD202"/>
      <c r="AE202"/>
      <c r="AF202"/>
      <c r="AJ202" s="1917"/>
    </row>
    <row r="203" spans="1:39" s="788" customFormat="1">
      <c r="A203" s="786"/>
      <c r="B203" s="1912"/>
      <c r="C203" s="1990"/>
      <c r="D203" s="1990"/>
      <c r="E203" s="1991"/>
      <c r="F203" s="787"/>
      <c r="G203" s="787"/>
      <c r="H203" s="2002"/>
      <c r="I203" s="2002"/>
      <c r="J203" s="2002"/>
      <c r="K203" s="2002"/>
      <c r="L203" s="2002"/>
      <c r="M203" s="2002"/>
      <c r="N203" s="2002"/>
      <c r="O203" s="2002"/>
      <c r="P203" s="2002"/>
      <c r="Q203" s="1998"/>
      <c r="R203" s="1998"/>
      <c r="S203" s="1998"/>
      <c r="T203" s="1998"/>
      <c r="U203" s="1998"/>
      <c r="V203" s="1998"/>
      <c r="W203" s="1998"/>
      <c r="X203" s="1998"/>
      <c r="Y203" s="1998"/>
      <c r="Z203" s="1998"/>
      <c r="AA203"/>
      <c r="AB203"/>
      <c r="AC203"/>
      <c r="AD203"/>
      <c r="AE203"/>
      <c r="AF203"/>
      <c r="AJ203" s="1917"/>
    </row>
  </sheetData>
  <conditionalFormatting sqref="A44 C46">
    <cfRule type="cellIs" dxfId="0" priority="1" stopIfTrue="1" operator="equal">
      <formula>"A44=0"</formula>
    </cfRule>
  </conditionalFormatting>
  <pageMargins left="0.25" right="0.25" top="0.25" bottom="0.5" header="0.25" footer="0.25"/>
  <pageSetup paperSize="5" scale="80" orientation="landscape" horizontalDpi="300" verticalDpi="300" r:id="rId1"/>
  <headerFooter alignWithMargins="0">
    <oddFooter>&amp;L&amp;"Arial,Bold"&amp;8Morgan Stanley: Confidential - FOR DISCUSSION PURPOSES ONLY
&amp;R&amp;8Printed on &amp;D - Page &amp;P of &amp;N</oddFooter>
  </headerFooter>
  <rowBreaks count="2" manualBreakCount="2">
    <brk id="41" max="16383" man="1"/>
    <brk id="109" max="16383" man="1"/>
  </rowBreaks>
  <drawing r:id="rId2"/>
  <legacyDrawing r:id="rId3"/>
  <controls>
    <mc:AlternateContent xmlns:mc="http://schemas.openxmlformats.org/markup-compatibility/2006">
      <mc:Choice Requires="x14">
        <control shapeId="6660097" r:id="rId4" name="CommandButton2">
          <controlPr defaultSize="0" autoLine="0" r:id="rId5">
            <anchor moveWithCells="1">
              <from>
                <xdr:col>14</xdr:col>
                <xdr:colOff>485775</xdr:colOff>
                <xdr:row>1</xdr:row>
                <xdr:rowOff>57150</xdr:rowOff>
              </from>
              <to>
                <xdr:col>17</xdr:col>
                <xdr:colOff>95250</xdr:colOff>
                <xdr:row>2</xdr:row>
                <xdr:rowOff>76200</xdr:rowOff>
              </to>
            </anchor>
          </controlPr>
        </control>
      </mc:Choice>
      <mc:Fallback>
        <control shapeId="6660097" r:id="rId4" name="CommandButton2"/>
      </mc:Fallback>
    </mc:AlternateContent>
  </control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D43"/>
  <sheetViews>
    <sheetView workbookViewId="0">
      <selection activeCell="B42" sqref="B42"/>
    </sheetView>
  </sheetViews>
  <sheetFormatPr defaultRowHeight="12.75"/>
  <cols>
    <col min="1" max="1" width="25.875" style="901" bestFit="1" customWidth="1"/>
    <col min="2" max="2" width="17.375" style="2216" customWidth="1"/>
    <col min="3" max="3" width="10.5" style="901" bestFit="1" customWidth="1"/>
    <col min="4" max="256" width="9" style="901"/>
    <col min="257" max="257" width="25.875" style="901" bestFit="1" customWidth="1"/>
    <col min="258" max="258" width="17.375" style="901" customWidth="1"/>
    <col min="259" max="259" width="10.5" style="901" bestFit="1" customWidth="1"/>
    <col min="260" max="512" width="9" style="901"/>
    <col min="513" max="513" width="25.875" style="901" bestFit="1" customWidth="1"/>
    <col min="514" max="514" width="17.375" style="901" customWidth="1"/>
    <col min="515" max="515" width="10.5" style="901" bestFit="1" customWidth="1"/>
    <col min="516" max="768" width="9" style="901"/>
    <col min="769" max="769" width="25.875" style="901" bestFit="1" customWidth="1"/>
    <col min="770" max="770" width="17.375" style="901" customWidth="1"/>
    <col min="771" max="771" width="10.5" style="901" bestFit="1" customWidth="1"/>
    <col min="772" max="1024" width="9" style="901"/>
    <col min="1025" max="1025" width="25.875" style="901" bestFit="1" customWidth="1"/>
    <col min="1026" max="1026" width="17.375" style="901" customWidth="1"/>
    <col min="1027" max="1027" width="10.5" style="901" bestFit="1" customWidth="1"/>
    <col min="1028" max="1280" width="9" style="901"/>
    <col min="1281" max="1281" width="25.875" style="901" bestFit="1" customWidth="1"/>
    <col min="1282" max="1282" width="17.375" style="901" customWidth="1"/>
    <col min="1283" max="1283" width="10.5" style="901" bestFit="1" customWidth="1"/>
    <col min="1284" max="1536" width="9" style="901"/>
    <col min="1537" max="1537" width="25.875" style="901" bestFit="1" customWidth="1"/>
    <col min="1538" max="1538" width="17.375" style="901" customWidth="1"/>
    <col min="1539" max="1539" width="10.5" style="901" bestFit="1" customWidth="1"/>
    <col min="1540" max="1792" width="9" style="901"/>
    <col min="1793" max="1793" width="25.875" style="901" bestFit="1" customWidth="1"/>
    <col min="1794" max="1794" width="17.375" style="901" customWidth="1"/>
    <col min="1795" max="1795" width="10.5" style="901" bestFit="1" customWidth="1"/>
    <col min="1796" max="2048" width="9" style="901"/>
    <col min="2049" max="2049" width="25.875" style="901" bestFit="1" customWidth="1"/>
    <col min="2050" max="2050" width="17.375" style="901" customWidth="1"/>
    <col min="2051" max="2051" width="10.5" style="901" bestFit="1" customWidth="1"/>
    <col min="2052" max="2304" width="9" style="901"/>
    <col min="2305" max="2305" width="25.875" style="901" bestFit="1" customWidth="1"/>
    <col min="2306" max="2306" width="17.375" style="901" customWidth="1"/>
    <col min="2307" max="2307" width="10.5" style="901" bestFit="1" customWidth="1"/>
    <col min="2308" max="2560" width="9" style="901"/>
    <col min="2561" max="2561" width="25.875" style="901" bestFit="1" customWidth="1"/>
    <col min="2562" max="2562" width="17.375" style="901" customWidth="1"/>
    <col min="2563" max="2563" width="10.5" style="901" bestFit="1" customWidth="1"/>
    <col min="2564" max="2816" width="9" style="901"/>
    <col min="2817" max="2817" width="25.875" style="901" bestFit="1" customWidth="1"/>
    <col min="2818" max="2818" width="17.375" style="901" customWidth="1"/>
    <col min="2819" max="2819" width="10.5" style="901" bestFit="1" customWidth="1"/>
    <col min="2820" max="3072" width="9" style="901"/>
    <col min="3073" max="3073" width="25.875" style="901" bestFit="1" customWidth="1"/>
    <col min="3074" max="3074" width="17.375" style="901" customWidth="1"/>
    <col min="3075" max="3075" width="10.5" style="901" bestFit="1" customWidth="1"/>
    <col min="3076" max="3328" width="9" style="901"/>
    <col min="3329" max="3329" width="25.875" style="901" bestFit="1" customWidth="1"/>
    <col min="3330" max="3330" width="17.375" style="901" customWidth="1"/>
    <col min="3331" max="3331" width="10.5" style="901" bestFit="1" customWidth="1"/>
    <col min="3332" max="3584" width="9" style="901"/>
    <col min="3585" max="3585" width="25.875" style="901" bestFit="1" customWidth="1"/>
    <col min="3586" max="3586" width="17.375" style="901" customWidth="1"/>
    <col min="3587" max="3587" width="10.5" style="901" bestFit="1" customWidth="1"/>
    <col min="3588" max="3840" width="9" style="901"/>
    <col min="3841" max="3841" width="25.875" style="901" bestFit="1" customWidth="1"/>
    <col min="3842" max="3842" width="17.375" style="901" customWidth="1"/>
    <col min="3843" max="3843" width="10.5" style="901" bestFit="1" customWidth="1"/>
    <col min="3844" max="4096" width="9" style="901"/>
    <col min="4097" max="4097" width="25.875" style="901" bestFit="1" customWidth="1"/>
    <col min="4098" max="4098" width="17.375" style="901" customWidth="1"/>
    <col min="4099" max="4099" width="10.5" style="901" bestFit="1" customWidth="1"/>
    <col min="4100" max="4352" width="9" style="901"/>
    <col min="4353" max="4353" width="25.875" style="901" bestFit="1" customWidth="1"/>
    <col min="4354" max="4354" width="17.375" style="901" customWidth="1"/>
    <col min="4355" max="4355" width="10.5" style="901" bestFit="1" customWidth="1"/>
    <col min="4356" max="4608" width="9" style="901"/>
    <col min="4609" max="4609" width="25.875" style="901" bestFit="1" customWidth="1"/>
    <col min="4610" max="4610" width="17.375" style="901" customWidth="1"/>
    <col min="4611" max="4611" width="10.5" style="901" bestFit="1" customWidth="1"/>
    <col min="4612" max="4864" width="9" style="901"/>
    <col min="4865" max="4865" width="25.875" style="901" bestFit="1" customWidth="1"/>
    <col min="4866" max="4866" width="17.375" style="901" customWidth="1"/>
    <col min="4867" max="4867" width="10.5" style="901" bestFit="1" customWidth="1"/>
    <col min="4868" max="5120" width="9" style="901"/>
    <col min="5121" max="5121" width="25.875" style="901" bestFit="1" customWidth="1"/>
    <col min="5122" max="5122" width="17.375" style="901" customWidth="1"/>
    <col min="5123" max="5123" width="10.5" style="901" bestFit="1" customWidth="1"/>
    <col min="5124" max="5376" width="9" style="901"/>
    <col min="5377" max="5377" width="25.875" style="901" bestFit="1" customWidth="1"/>
    <col min="5378" max="5378" width="17.375" style="901" customWidth="1"/>
    <col min="5379" max="5379" width="10.5" style="901" bestFit="1" customWidth="1"/>
    <col min="5380" max="5632" width="9" style="901"/>
    <col min="5633" max="5633" width="25.875" style="901" bestFit="1" customWidth="1"/>
    <col min="5634" max="5634" width="17.375" style="901" customWidth="1"/>
    <col min="5635" max="5635" width="10.5" style="901" bestFit="1" customWidth="1"/>
    <col min="5636" max="5888" width="9" style="901"/>
    <col min="5889" max="5889" width="25.875" style="901" bestFit="1" customWidth="1"/>
    <col min="5890" max="5890" width="17.375" style="901" customWidth="1"/>
    <col min="5891" max="5891" width="10.5" style="901" bestFit="1" customWidth="1"/>
    <col min="5892" max="6144" width="9" style="901"/>
    <col min="6145" max="6145" width="25.875" style="901" bestFit="1" customWidth="1"/>
    <col min="6146" max="6146" width="17.375" style="901" customWidth="1"/>
    <col min="6147" max="6147" width="10.5" style="901" bestFit="1" customWidth="1"/>
    <col min="6148" max="6400" width="9" style="901"/>
    <col min="6401" max="6401" width="25.875" style="901" bestFit="1" customWidth="1"/>
    <col min="6402" max="6402" width="17.375" style="901" customWidth="1"/>
    <col min="6403" max="6403" width="10.5" style="901" bestFit="1" customWidth="1"/>
    <col min="6404" max="6656" width="9" style="901"/>
    <col min="6657" max="6657" width="25.875" style="901" bestFit="1" customWidth="1"/>
    <col min="6658" max="6658" width="17.375" style="901" customWidth="1"/>
    <col min="6659" max="6659" width="10.5" style="901" bestFit="1" customWidth="1"/>
    <col min="6660" max="6912" width="9" style="901"/>
    <col min="6913" max="6913" width="25.875" style="901" bestFit="1" customWidth="1"/>
    <col min="6914" max="6914" width="17.375" style="901" customWidth="1"/>
    <col min="6915" max="6915" width="10.5" style="901" bestFit="1" customWidth="1"/>
    <col min="6916" max="7168" width="9" style="901"/>
    <col min="7169" max="7169" width="25.875" style="901" bestFit="1" customWidth="1"/>
    <col min="7170" max="7170" width="17.375" style="901" customWidth="1"/>
    <col min="7171" max="7171" width="10.5" style="901" bestFit="1" customWidth="1"/>
    <col min="7172" max="7424" width="9" style="901"/>
    <col min="7425" max="7425" width="25.875" style="901" bestFit="1" customWidth="1"/>
    <col min="7426" max="7426" width="17.375" style="901" customWidth="1"/>
    <col min="7427" max="7427" width="10.5" style="901" bestFit="1" customWidth="1"/>
    <col min="7428" max="7680" width="9" style="901"/>
    <col min="7681" max="7681" width="25.875" style="901" bestFit="1" customWidth="1"/>
    <col min="7682" max="7682" width="17.375" style="901" customWidth="1"/>
    <col min="7683" max="7683" width="10.5" style="901" bestFit="1" customWidth="1"/>
    <col min="7684" max="7936" width="9" style="901"/>
    <col min="7937" max="7937" width="25.875" style="901" bestFit="1" customWidth="1"/>
    <col min="7938" max="7938" width="17.375" style="901" customWidth="1"/>
    <col min="7939" max="7939" width="10.5" style="901" bestFit="1" customWidth="1"/>
    <col min="7940" max="8192" width="9" style="901"/>
    <col min="8193" max="8193" width="25.875" style="901" bestFit="1" customWidth="1"/>
    <col min="8194" max="8194" width="17.375" style="901" customWidth="1"/>
    <col min="8195" max="8195" width="10.5" style="901" bestFit="1" customWidth="1"/>
    <col min="8196" max="8448" width="9" style="901"/>
    <col min="8449" max="8449" width="25.875" style="901" bestFit="1" customWidth="1"/>
    <col min="8450" max="8450" width="17.375" style="901" customWidth="1"/>
    <col min="8451" max="8451" width="10.5" style="901" bestFit="1" customWidth="1"/>
    <col min="8452" max="8704" width="9" style="901"/>
    <col min="8705" max="8705" width="25.875" style="901" bestFit="1" customWidth="1"/>
    <col min="8706" max="8706" width="17.375" style="901" customWidth="1"/>
    <col min="8707" max="8707" width="10.5" style="901" bestFit="1" customWidth="1"/>
    <col min="8708" max="8960" width="9" style="901"/>
    <col min="8961" max="8961" width="25.875" style="901" bestFit="1" customWidth="1"/>
    <col min="8962" max="8962" width="17.375" style="901" customWidth="1"/>
    <col min="8963" max="8963" width="10.5" style="901" bestFit="1" customWidth="1"/>
    <col min="8964" max="9216" width="9" style="901"/>
    <col min="9217" max="9217" width="25.875" style="901" bestFit="1" customWidth="1"/>
    <col min="9218" max="9218" width="17.375" style="901" customWidth="1"/>
    <col min="9219" max="9219" width="10.5" style="901" bestFit="1" customWidth="1"/>
    <col min="9220" max="9472" width="9" style="901"/>
    <col min="9473" max="9473" width="25.875" style="901" bestFit="1" customWidth="1"/>
    <col min="9474" max="9474" width="17.375" style="901" customWidth="1"/>
    <col min="9475" max="9475" width="10.5" style="901" bestFit="1" customWidth="1"/>
    <col min="9476" max="9728" width="9" style="901"/>
    <col min="9729" max="9729" width="25.875" style="901" bestFit="1" customWidth="1"/>
    <col min="9730" max="9730" width="17.375" style="901" customWidth="1"/>
    <col min="9731" max="9731" width="10.5" style="901" bestFit="1" customWidth="1"/>
    <col min="9732" max="9984" width="9" style="901"/>
    <col min="9985" max="9985" width="25.875" style="901" bestFit="1" customWidth="1"/>
    <col min="9986" max="9986" width="17.375" style="901" customWidth="1"/>
    <col min="9987" max="9987" width="10.5" style="901" bestFit="1" customWidth="1"/>
    <col min="9988" max="10240" width="9" style="901"/>
    <col min="10241" max="10241" width="25.875" style="901" bestFit="1" customWidth="1"/>
    <col min="10242" max="10242" width="17.375" style="901" customWidth="1"/>
    <col min="10243" max="10243" width="10.5" style="901" bestFit="1" customWidth="1"/>
    <col min="10244" max="10496" width="9" style="901"/>
    <col min="10497" max="10497" width="25.875" style="901" bestFit="1" customWidth="1"/>
    <col min="10498" max="10498" width="17.375" style="901" customWidth="1"/>
    <col min="10499" max="10499" width="10.5" style="901" bestFit="1" customWidth="1"/>
    <col min="10500" max="10752" width="9" style="901"/>
    <col min="10753" max="10753" width="25.875" style="901" bestFit="1" customWidth="1"/>
    <col min="10754" max="10754" width="17.375" style="901" customWidth="1"/>
    <col min="10755" max="10755" width="10.5" style="901" bestFit="1" customWidth="1"/>
    <col min="10756" max="11008" width="9" style="901"/>
    <col min="11009" max="11009" width="25.875" style="901" bestFit="1" customWidth="1"/>
    <col min="11010" max="11010" width="17.375" style="901" customWidth="1"/>
    <col min="11011" max="11011" width="10.5" style="901" bestFit="1" customWidth="1"/>
    <col min="11012" max="11264" width="9" style="901"/>
    <col min="11265" max="11265" width="25.875" style="901" bestFit="1" customWidth="1"/>
    <col min="11266" max="11266" width="17.375" style="901" customWidth="1"/>
    <col min="11267" max="11267" width="10.5" style="901" bestFit="1" customWidth="1"/>
    <col min="11268" max="11520" width="9" style="901"/>
    <col min="11521" max="11521" width="25.875" style="901" bestFit="1" customWidth="1"/>
    <col min="11522" max="11522" width="17.375" style="901" customWidth="1"/>
    <col min="11523" max="11523" width="10.5" style="901" bestFit="1" customWidth="1"/>
    <col min="11524" max="11776" width="9" style="901"/>
    <col min="11777" max="11777" width="25.875" style="901" bestFit="1" customWidth="1"/>
    <col min="11778" max="11778" width="17.375" style="901" customWidth="1"/>
    <col min="11779" max="11779" width="10.5" style="901" bestFit="1" customWidth="1"/>
    <col min="11780" max="12032" width="9" style="901"/>
    <col min="12033" max="12033" width="25.875" style="901" bestFit="1" customWidth="1"/>
    <col min="12034" max="12034" width="17.375" style="901" customWidth="1"/>
    <col min="12035" max="12035" width="10.5" style="901" bestFit="1" customWidth="1"/>
    <col min="12036" max="12288" width="9" style="901"/>
    <col min="12289" max="12289" width="25.875" style="901" bestFit="1" customWidth="1"/>
    <col min="12290" max="12290" width="17.375" style="901" customWidth="1"/>
    <col min="12291" max="12291" width="10.5" style="901" bestFit="1" customWidth="1"/>
    <col min="12292" max="12544" width="9" style="901"/>
    <col min="12545" max="12545" width="25.875" style="901" bestFit="1" customWidth="1"/>
    <col min="12546" max="12546" width="17.375" style="901" customWidth="1"/>
    <col min="12547" max="12547" width="10.5" style="901" bestFit="1" customWidth="1"/>
    <col min="12548" max="12800" width="9" style="901"/>
    <col min="12801" max="12801" width="25.875" style="901" bestFit="1" customWidth="1"/>
    <col min="12802" max="12802" width="17.375" style="901" customWidth="1"/>
    <col min="12803" max="12803" width="10.5" style="901" bestFit="1" customWidth="1"/>
    <col min="12804" max="13056" width="9" style="901"/>
    <col min="13057" max="13057" width="25.875" style="901" bestFit="1" customWidth="1"/>
    <col min="13058" max="13058" width="17.375" style="901" customWidth="1"/>
    <col min="13059" max="13059" width="10.5" style="901" bestFit="1" customWidth="1"/>
    <col min="13060" max="13312" width="9" style="901"/>
    <col min="13313" max="13313" width="25.875" style="901" bestFit="1" customWidth="1"/>
    <col min="13314" max="13314" width="17.375" style="901" customWidth="1"/>
    <col min="13315" max="13315" width="10.5" style="901" bestFit="1" customWidth="1"/>
    <col min="13316" max="13568" width="9" style="901"/>
    <col min="13569" max="13569" width="25.875" style="901" bestFit="1" customWidth="1"/>
    <col min="13570" max="13570" width="17.375" style="901" customWidth="1"/>
    <col min="13571" max="13571" width="10.5" style="901" bestFit="1" customWidth="1"/>
    <col min="13572" max="13824" width="9" style="901"/>
    <col min="13825" max="13825" width="25.875" style="901" bestFit="1" customWidth="1"/>
    <col min="13826" max="13826" width="17.375" style="901" customWidth="1"/>
    <col min="13827" max="13827" width="10.5" style="901" bestFit="1" customWidth="1"/>
    <col min="13828" max="14080" width="9" style="901"/>
    <col min="14081" max="14081" width="25.875" style="901" bestFit="1" customWidth="1"/>
    <col min="14082" max="14082" width="17.375" style="901" customWidth="1"/>
    <col min="14083" max="14083" width="10.5" style="901" bestFit="1" customWidth="1"/>
    <col min="14084" max="14336" width="9" style="901"/>
    <col min="14337" max="14337" width="25.875" style="901" bestFit="1" customWidth="1"/>
    <col min="14338" max="14338" width="17.375" style="901" customWidth="1"/>
    <col min="14339" max="14339" width="10.5" style="901" bestFit="1" customWidth="1"/>
    <col min="14340" max="14592" width="9" style="901"/>
    <col min="14593" max="14593" width="25.875" style="901" bestFit="1" customWidth="1"/>
    <col min="14594" max="14594" width="17.375" style="901" customWidth="1"/>
    <col min="14595" max="14595" width="10.5" style="901" bestFit="1" customWidth="1"/>
    <col min="14596" max="14848" width="9" style="901"/>
    <col min="14849" max="14849" width="25.875" style="901" bestFit="1" customWidth="1"/>
    <col min="14850" max="14850" width="17.375" style="901" customWidth="1"/>
    <col min="14851" max="14851" width="10.5" style="901" bestFit="1" customWidth="1"/>
    <col min="14852" max="15104" width="9" style="901"/>
    <col min="15105" max="15105" width="25.875" style="901" bestFit="1" customWidth="1"/>
    <col min="15106" max="15106" width="17.375" style="901" customWidth="1"/>
    <col min="15107" max="15107" width="10.5" style="901" bestFit="1" customWidth="1"/>
    <col min="15108" max="15360" width="9" style="901"/>
    <col min="15361" max="15361" width="25.875" style="901" bestFit="1" customWidth="1"/>
    <col min="15362" max="15362" width="17.375" style="901" customWidth="1"/>
    <col min="15363" max="15363" width="10.5" style="901" bestFit="1" customWidth="1"/>
    <col min="15364" max="15616" width="9" style="901"/>
    <col min="15617" max="15617" width="25.875" style="901" bestFit="1" customWidth="1"/>
    <col min="15618" max="15618" width="17.375" style="901" customWidth="1"/>
    <col min="15619" max="15619" width="10.5" style="901" bestFit="1" customWidth="1"/>
    <col min="15620" max="15872" width="9" style="901"/>
    <col min="15873" max="15873" width="25.875" style="901" bestFit="1" customWidth="1"/>
    <col min="15874" max="15874" width="17.375" style="901" customWidth="1"/>
    <col min="15875" max="15875" width="10.5" style="901" bestFit="1" customWidth="1"/>
    <col min="15876" max="16128" width="9" style="901"/>
    <col min="16129" max="16129" width="25.875" style="901" bestFit="1" customWidth="1"/>
    <col min="16130" max="16130" width="17.375" style="901" customWidth="1"/>
    <col min="16131" max="16131" width="10.5" style="901" bestFit="1" customWidth="1"/>
    <col min="16132" max="16384" width="9" style="901"/>
  </cols>
  <sheetData>
    <row r="1" spans="1:2">
      <c r="A1" s="901" t="s">
        <v>1160</v>
      </c>
      <c r="B1" s="2215">
        <v>6.1</v>
      </c>
    </row>
    <row r="2" spans="1:2">
      <c r="A2" s="901" t="s">
        <v>1161</v>
      </c>
      <c r="B2" s="2218">
        <v>43167.898784722223</v>
      </c>
    </row>
    <row r="3" spans="1:2">
      <c r="A3" s="901" t="s">
        <v>1162</v>
      </c>
      <c r="B3" s="2216" t="s">
        <v>874</v>
      </c>
    </row>
    <row r="4" spans="1:2">
      <c r="A4" s="901" t="s">
        <v>1163</v>
      </c>
      <c r="B4" s="2216" t="s">
        <v>1164</v>
      </c>
    </row>
    <row r="5" spans="1:2">
      <c r="A5" s="901" t="s">
        <v>1165</v>
      </c>
      <c r="B5" s="2216" t="s">
        <v>814</v>
      </c>
    </row>
    <row r="6" spans="1:2">
      <c r="A6" s="901" t="s">
        <v>1166</v>
      </c>
    </row>
    <row r="7" spans="1:2">
      <c r="A7" s="901" t="s">
        <v>1167</v>
      </c>
      <c r="B7" s="2216" t="s">
        <v>85</v>
      </c>
    </row>
    <row r="8" spans="1:2">
      <c r="A8" s="901" t="s">
        <v>1168</v>
      </c>
      <c r="B8" s="2216" t="s">
        <v>1169</v>
      </c>
    </row>
    <row r="9" spans="1:2">
      <c r="A9" s="901" t="s">
        <v>1170</v>
      </c>
      <c r="B9" s="2216" t="s">
        <v>1207</v>
      </c>
    </row>
    <row r="10" spans="1:2">
      <c r="A10" s="901" t="s">
        <v>1171</v>
      </c>
    </row>
    <row r="11" spans="1:2">
      <c r="A11" s="901" t="s">
        <v>1172</v>
      </c>
    </row>
    <row r="12" spans="1:2">
      <c r="A12" s="901" t="s">
        <v>1173</v>
      </c>
    </row>
    <row r="13" spans="1:2">
      <c r="A13" s="901" t="s">
        <v>1174</v>
      </c>
    </row>
    <row r="14" spans="1:2">
      <c r="A14" s="901" t="s">
        <v>1175</v>
      </c>
    </row>
    <row r="15" spans="1:2">
      <c r="A15" s="901" t="s">
        <v>1176</v>
      </c>
    </row>
    <row r="16" spans="1:2">
      <c r="A16" s="901" t="s">
        <v>1177</v>
      </c>
    </row>
    <row r="17" spans="1:4">
      <c r="A17" s="901" t="s">
        <v>1178</v>
      </c>
      <c r="B17" s="2216" t="s">
        <v>1208</v>
      </c>
    </row>
    <row r="18" spans="1:4">
      <c r="A18" s="901" t="s">
        <v>1179</v>
      </c>
      <c r="B18" s="2216" t="s">
        <v>873</v>
      </c>
    </row>
    <row r="19" spans="1:4">
      <c r="A19" s="901" t="s">
        <v>1180</v>
      </c>
      <c r="B19" s="2216" t="s">
        <v>189</v>
      </c>
    </row>
    <row r="20" spans="1:4">
      <c r="A20" s="901" t="s">
        <v>1181</v>
      </c>
      <c r="B20" s="2217">
        <v>2.5529999999999999E+109</v>
      </c>
    </row>
    <row r="21" spans="1:4">
      <c r="A21" s="901" t="s">
        <v>1182</v>
      </c>
      <c r="B21" s="2216" t="s">
        <v>189</v>
      </c>
    </row>
    <row r="22" spans="1:4">
      <c r="A22" s="901" t="s">
        <v>1183</v>
      </c>
      <c r="B22" s="2217">
        <v>2048592</v>
      </c>
    </row>
    <row r="23" spans="1:4">
      <c r="A23" s="901" t="s">
        <v>423</v>
      </c>
      <c r="B23" s="2215">
        <v>18.36</v>
      </c>
    </row>
    <row r="24" spans="1:4">
      <c r="A24" s="901" t="s">
        <v>383</v>
      </c>
      <c r="B24" s="2216" t="s">
        <v>434</v>
      </c>
      <c r="D24" s="901" t="s">
        <v>733</v>
      </c>
    </row>
    <row r="25" spans="1:4">
      <c r="A25" s="901" t="s">
        <v>1184</v>
      </c>
      <c r="B25" s="2216" t="s">
        <v>1211</v>
      </c>
    </row>
    <row r="26" spans="1:4">
      <c r="A26" s="901" t="s">
        <v>1185</v>
      </c>
      <c r="B26" s="2216">
        <v>0</v>
      </c>
    </row>
    <row r="27" spans="1:4">
      <c r="A27" s="901" t="s">
        <v>1186</v>
      </c>
      <c r="B27" s="2216" t="s">
        <v>1187</v>
      </c>
    </row>
    <row r="28" spans="1:4">
      <c r="A28" s="901" t="s">
        <v>1188</v>
      </c>
      <c r="B28" s="2216" t="s">
        <v>1189</v>
      </c>
    </row>
    <row r="29" spans="1:4">
      <c r="A29" s="901" t="s">
        <v>1190</v>
      </c>
    </row>
    <row r="30" spans="1:4">
      <c r="A30" s="901" t="s">
        <v>1191</v>
      </c>
    </row>
    <row r="31" spans="1:4">
      <c r="A31" s="901" t="s">
        <v>1192</v>
      </c>
    </row>
    <row r="32" spans="1:4">
      <c r="A32" s="901" t="s">
        <v>1193</v>
      </c>
      <c r="B32" s="2215"/>
    </row>
    <row r="33" spans="1:2">
      <c r="A33" s="901" t="s">
        <v>1194</v>
      </c>
      <c r="B33" s="2215"/>
    </row>
    <row r="34" spans="1:2">
      <c r="A34" s="901" t="s">
        <v>1195</v>
      </c>
      <c r="B34" s="2215"/>
    </row>
    <row r="35" spans="1:2">
      <c r="A35" s="901" t="s">
        <v>1196</v>
      </c>
      <c r="B35" s="2216">
        <v>1000000</v>
      </c>
    </row>
    <row r="36" spans="1:2">
      <c r="A36" s="901" t="s">
        <v>1197</v>
      </c>
      <c r="B36" s="2216" t="s">
        <v>1209</v>
      </c>
    </row>
    <row r="37" spans="1:2">
      <c r="A37" s="901" t="s">
        <v>1198</v>
      </c>
      <c r="B37" s="2216" t="s">
        <v>1199</v>
      </c>
    </row>
    <row r="38" spans="1:2">
      <c r="A38" s="901" t="s">
        <v>1200</v>
      </c>
      <c r="B38" s="2216" t="s">
        <v>1201</v>
      </c>
    </row>
    <row r="39" spans="1:2">
      <c r="A39" s="901" t="s">
        <v>1202</v>
      </c>
      <c r="B39" s="2216" t="s">
        <v>1210</v>
      </c>
    </row>
    <row r="40" spans="1:2">
      <c r="A40" s="901" t="s">
        <v>1203</v>
      </c>
      <c r="B40" s="2216">
        <v>5208</v>
      </c>
    </row>
    <row r="41" spans="1:2">
      <c r="A41" s="901" t="s">
        <v>1204</v>
      </c>
      <c r="B41" s="2216">
        <v>1</v>
      </c>
    </row>
    <row r="42" spans="1:2">
      <c r="A42" s="913" t="s">
        <v>1205</v>
      </c>
    </row>
    <row r="43" spans="1:2">
      <c r="A43" s="901" t="s">
        <v>1206</v>
      </c>
    </row>
  </sheetData>
  <pageMargins left="0.75" right="0.75" top="1" bottom="1" header="0.5" footer="0.5"/>
  <pageSetup orientation="portrait" r:id="rId1"/>
  <headerFooter alignWithMargins="0"/>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A13"/>
  <sheetViews>
    <sheetView workbookViewId="0">
      <selection activeCell="E11" sqref="E11"/>
    </sheetView>
  </sheetViews>
  <sheetFormatPr defaultRowHeight="12.75"/>
  <cols>
    <col min="1" max="1" width="25" style="901" bestFit="1" customWidth="1"/>
    <col min="2" max="256" width="9" style="901"/>
    <col min="257" max="257" width="25" style="901" bestFit="1" customWidth="1"/>
    <col min="258" max="512" width="9" style="901"/>
    <col min="513" max="513" width="25" style="901" bestFit="1" customWidth="1"/>
    <col min="514" max="768" width="9" style="901"/>
    <col min="769" max="769" width="25" style="901" bestFit="1" customWidth="1"/>
    <col min="770" max="1024" width="9" style="901"/>
    <col min="1025" max="1025" width="25" style="901" bestFit="1" customWidth="1"/>
    <col min="1026" max="1280" width="9" style="901"/>
    <col min="1281" max="1281" width="25" style="901" bestFit="1" customWidth="1"/>
    <col min="1282" max="1536" width="9" style="901"/>
    <col min="1537" max="1537" width="25" style="901" bestFit="1" customWidth="1"/>
    <col min="1538" max="1792" width="9" style="901"/>
    <col min="1793" max="1793" width="25" style="901" bestFit="1" customWidth="1"/>
    <col min="1794" max="2048" width="9" style="901"/>
    <col min="2049" max="2049" width="25" style="901" bestFit="1" customWidth="1"/>
    <col min="2050" max="2304" width="9" style="901"/>
    <col min="2305" max="2305" width="25" style="901" bestFit="1" customWidth="1"/>
    <col min="2306" max="2560" width="9" style="901"/>
    <col min="2561" max="2561" width="25" style="901" bestFit="1" customWidth="1"/>
    <col min="2562" max="2816" width="9" style="901"/>
    <col min="2817" max="2817" width="25" style="901" bestFit="1" customWidth="1"/>
    <col min="2818" max="3072" width="9" style="901"/>
    <col min="3073" max="3073" width="25" style="901" bestFit="1" customWidth="1"/>
    <col min="3074" max="3328" width="9" style="901"/>
    <col min="3329" max="3329" width="25" style="901" bestFit="1" customWidth="1"/>
    <col min="3330" max="3584" width="9" style="901"/>
    <col min="3585" max="3585" width="25" style="901" bestFit="1" customWidth="1"/>
    <col min="3586" max="3840" width="9" style="901"/>
    <col min="3841" max="3841" width="25" style="901" bestFit="1" customWidth="1"/>
    <col min="3842" max="4096" width="9" style="901"/>
    <col min="4097" max="4097" width="25" style="901" bestFit="1" customWidth="1"/>
    <col min="4098" max="4352" width="9" style="901"/>
    <col min="4353" max="4353" width="25" style="901" bestFit="1" customWidth="1"/>
    <col min="4354" max="4608" width="9" style="901"/>
    <col min="4609" max="4609" width="25" style="901" bestFit="1" customWidth="1"/>
    <col min="4610" max="4864" width="9" style="901"/>
    <col min="4865" max="4865" width="25" style="901" bestFit="1" customWidth="1"/>
    <col min="4866" max="5120" width="9" style="901"/>
    <col min="5121" max="5121" width="25" style="901" bestFit="1" customWidth="1"/>
    <col min="5122" max="5376" width="9" style="901"/>
    <col min="5377" max="5377" width="25" style="901" bestFit="1" customWidth="1"/>
    <col min="5378" max="5632" width="9" style="901"/>
    <col min="5633" max="5633" width="25" style="901" bestFit="1" customWidth="1"/>
    <col min="5634" max="5888" width="9" style="901"/>
    <col min="5889" max="5889" width="25" style="901" bestFit="1" customWidth="1"/>
    <col min="5890" max="6144" width="9" style="901"/>
    <col min="6145" max="6145" width="25" style="901" bestFit="1" customWidth="1"/>
    <col min="6146" max="6400" width="9" style="901"/>
    <col min="6401" max="6401" width="25" style="901" bestFit="1" customWidth="1"/>
    <col min="6402" max="6656" width="9" style="901"/>
    <col min="6657" max="6657" width="25" style="901" bestFit="1" customWidth="1"/>
    <col min="6658" max="6912" width="9" style="901"/>
    <col min="6913" max="6913" width="25" style="901" bestFit="1" customWidth="1"/>
    <col min="6914" max="7168" width="9" style="901"/>
    <col min="7169" max="7169" width="25" style="901" bestFit="1" customWidth="1"/>
    <col min="7170" max="7424" width="9" style="901"/>
    <col min="7425" max="7425" width="25" style="901" bestFit="1" customWidth="1"/>
    <col min="7426" max="7680" width="9" style="901"/>
    <col min="7681" max="7681" width="25" style="901" bestFit="1" customWidth="1"/>
    <col min="7682" max="7936" width="9" style="901"/>
    <col min="7937" max="7937" width="25" style="901" bestFit="1" customWidth="1"/>
    <col min="7938" max="8192" width="9" style="901"/>
    <col min="8193" max="8193" width="25" style="901" bestFit="1" customWidth="1"/>
    <col min="8194" max="8448" width="9" style="901"/>
    <col min="8449" max="8449" width="25" style="901" bestFit="1" customWidth="1"/>
    <col min="8450" max="8704" width="9" style="901"/>
    <col min="8705" max="8705" width="25" style="901" bestFit="1" customWidth="1"/>
    <col min="8706" max="8960" width="9" style="901"/>
    <col min="8961" max="8961" width="25" style="901" bestFit="1" customWidth="1"/>
    <col min="8962" max="9216" width="9" style="901"/>
    <col min="9217" max="9217" width="25" style="901" bestFit="1" customWidth="1"/>
    <col min="9218" max="9472" width="9" style="901"/>
    <col min="9473" max="9473" width="25" style="901" bestFit="1" customWidth="1"/>
    <col min="9474" max="9728" width="9" style="901"/>
    <col min="9729" max="9729" width="25" style="901" bestFit="1" customWidth="1"/>
    <col min="9730" max="9984" width="9" style="901"/>
    <col min="9985" max="9985" width="25" style="901" bestFit="1" customWidth="1"/>
    <col min="9986" max="10240" width="9" style="901"/>
    <col min="10241" max="10241" width="25" style="901" bestFit="1" customWidth="1"/>
    <col min="10242" max="10496" width="9" style="901"/>
    <col min="10497" max="10497" width="25" style="901" bestFit="1" customWidth="1"/>
    <col min="10498" max="10752" width="9" style="901"/>
    <col min="10753" max="10753" width="25" style="901" bestFit="1" customWidth="1"/>
    <col min="10754" max="11008" width="9" style="901"/>
    <col min="11009" max="11009" width="25" style="901" bestFit="1" customWidth="1"/>
    <col min="11010" max="11264" width="9" style="901"/>
    <col min="11265" max="11265" width="25" style="901" bestFit="1" customWidth="1"/>
    <col min="11266" max="11520" width="9" style="901"/>
    <col min="11521" max="11521" width="25" style="901" bestFit="1" customWidth="1"/>
    <col min="11522" max="11776" width="9" style="901"/>
    <col min="11777" max="11777" width="25" style="901" bestFit="1" customWidth="1"/>
    <col min="11778" max="12032" width="9" style="901"/>
    <col min="12033" max="12033" width="25" style="901" bestFit="1" customWidth="1"/>
    <col min="12034" max="12288" width="9" style="901"/>
    <col min="12289" max="12289" width="25" style="901" bestFit="1" customWidth="1"/>
    <col min="12290" max="12544" width="9" style="901"/>
    <col min="12545" max="12545" width="25" style="901" bestFit="1" customWidth="1"/>
    <col min="12546" max="12800" width="9" style="901"/>
    <col min="12801" max="12801" width="25" style="901" bestFit="1" customWidth="1"/>
    <col min="12802" max="13056" width="9" style="901"/>
    <col min="13057" max="13057" width="25" style="901" bestFit="1" customWidth="1"/>
    <col min="13058" max="13312" width="9" style="901"/>
    <col min="13313" max="13313" width="25" style="901" bestFit="1" customWidth="1"/>
    <col min="13314" max="13568" width="9" style="901"/>
    <col min="13569" max="13569" width="25" style="901" bestFit="1" customWidth="1"/>
    <col min="13570" max="13824" width="9" style="901"/>
    <col min="13825" max="13825" width="25" style="901" bestFit="1" customWidth="1"/>
    <col min="13826" max="14080" width="9" style="901"/>
    <col min="14081" max="14081" width="25" style="901" bestFit="1" customWidth="1"/>
    <col min="14082" max="14336" width="9" style="901"/>
    <col min="14337" max="14337" width="25" style="901" bestFit="1" customWidth="1"/>
    <col min="14338" max="14592" width="9" style="901"/>
    <col min="14593" max="14593" width="25" style="901" bestFit="1" customWidth="1"/>
    <col min="14594" max="14848" width="9" style="901"/>
    <col min="14849" max="14849" width="25" style="901" bestFit="1" customWidth="1"/>
    <col min="14850" max="15104" width="9" style="901"/>
    <col min="15105" max="15105" width="25" style="901" bestFit="1" customWidth="1"/>
    <col min="15106" max="15360" width="9" style="901"/>
    <col min="15361" max="15361" width="25" style="901" bestFit="1" customWidth="1"/>
    <col min="15362" max="15616" width="9" style="901"/>
    <col min="15617" max="15617" width="25" style="901" bestFit="1" customWidth="1"/>
    <col min="15618" max="15872" width="9" style="901"/>
    <col min="15873" max="15873" width="25" style="901" bestFit="1" customWidth="1"/>
    <col min="15874" max="16128" width="9" style="901"/>
    <col min="16129" max="16129" width="25" style="901" bestFit="1" customWidth="1"/>
    <col min="16130" max="16384" width="9" style="901"/>
  </cols>
  <sheetData>
    <row r="1" spans="1:1">
      <c r="A1" s="2219" t="s">
        <v>1212</v>
      </c>
    </row>
    <row r="2" spans="1:1">
      <c r="A2" s="2219" t="s">
        <v>1217</v>
      </c>
    </row>
    <row r="3" spans="1:1">
      <c r="A3" s="2219" t="s">
        <v>1218</v>
      </c>
    </row>
    <row r="4" spans="1:1">
      <c r="A4" s="2219" t="s">
        <v>1219</v>
      </c>
    </row>
    <row r="5" spans="1:1">
      <c r="A5" s="2219" t="s">
        <v>1220</v>
      </c>
    </row>
    <row r="6" spans="1:1">
      <c r="A6" s="2219" t="s">
        <v>1213</v>
      </c>
    </row>
    <row r="7" spans="1:1">
      <c r="A7" s="2219" t="s">
        <v>1221</v>
      </c>
    </row>
    <row r="8" spans="1:1">
      <c r="A8" s="2219" t="s">
        <v>1222</v>
      </c>
    </row>
    <row r="9" spans="1:1">
      <c r="A9" s="2219" t="s">
        <v>1223</v>
      </c>
    </row>
    <row r="10" spans="1:1">
      <c r="A10" s="2219" t="s">
        <v>1214</v>
      </c>
    </row>
    <row r="11" spans="1:1">
      <c r="A11" s="2219" t="s">
        <v>1224</v>
      </c>
    </row>
    <row r="12" spans="1:1">
      <c r="A12" s="2219" t="s">
        <v>1215</v>
      </c>
    </row>
    <row r="13" spans="1:1">
      <c r="A13" s="2219" t="s">
        <v>1216</v>
      </c>
    </row>
  </sheetData>
  <pageMargins left="0.75" right="0.75" top="1" bottom="1" header="0.5" footer="0.5"/>
  <headerFooter alignWithMargins="0"/>
</worksheet>
</file>

<file path=customXml/_rels/item1.xml.rels><?xml version="1.0" encoding="UTF-8" standalone="yes"?>
<Relationships xmlns="http://schemas.openxmlformats.org/package/2006/relationships">
<Relationship Id="rId1" Target="itemProps1.xml" Type="http://schemas.openxmlformats.org/officeDocument/2006/relationships/customXmlProps"/>
</Relationships>

</file>

<file path=customXml/_rels/item2.xml.rels><?xml version="1.0" encoding="UTF-8" standalone="yes"?>
<Relationships xmlns="http://schemas.openxmlformats.org/package/2006/relationships">
<Relationship Id="rId1" Target="itemProps2.xml" Type="http://schemas.openxmlformats.org/officeDocument/2006/relationships/customXmlProps"/>
</Relationships>

</file>

<file path=customXml/item1.xml><?xml version="1.0" encoding="utf-8"?>
<lk:Links xmlns:lk="thomsonreuters.linking.metadata">
  <Link>
    <GUID>ce4418b4-5096-4022-8d20-5fb9617693ce</GUID>
    <SOURCE_ALTADDRESS>$B$3:$L$18</SOURCE_ALTADDRESS>
    <SOURCETYPE>Table</SOURCETYPE>
    <SOURCE_OBJECTNAME>Linking_Range_18</SOURCE_OBJECTNAME>
    <OBJECTTYPE>Native</OBJECTTYPE>
    <SOURCE_SHEETCODE>Sheet21</SOURCE_SHEETCODE>
    <SOURCE_SHEETNAME>Valuation</SOURCE_SHEETNAME>
    <SOURCEAPPLICATION>EXCEL_SOURCE</SOURCEAPPLICATION>
    <UPDATEDAT>5/20/2015 3:38:10 PM</UPDATEDAT>
    <SOURCE_ISOUTOFDATE>False</SOURCE_ISOUTOFDATE>
    <SOURCE_WORKBOOKNAME>AEO.xls</SOURCE_WORKBOOKNAME>
    <SOURCE_WORKBOOKPATH>\\MSAD\ROOT\NA\NY\LIB\ER\RETAIL\Greenberger\Companies\AEO\Models</SOURCE_WORKBOOKPATH>
    <IMPORTEXPORTINBLACKANDWHITE>False</IMPORTEXPORTINBLACKANDWHITE>
    <IMPORTEXPORTTABLETEXTINBLACKANDWHITE>False</IMPORTEXPORTTABLETEXTINBLACKANDWHITE>
    <TABLEBACKGROUND>Existing</TABLEBACKGROUND>
    <HIDEGRIDLINES>True</HIDEGRIDLINES>
    <TARGETTYPE>Picture</TARGETTYPE>
    <TARGETAPPLICATION>METHODE_TARGET</TARGETAPPLICATION>
    <EXTRACTSOURCEMODE>CopyToClipboard</EXTRACTSOURCEMODE>
    <TARGET_BINARYFULLNAME>/MSResearch/Content/ExternalAssets/2015-05/Images/78s3xlNOO0m5jVxYUWTlTQ--.png</TARGET_BINARYFULLNAME>
    <TARGET_STORYFULLNAME>/MSResearch/Content/ExternalAssets/2015-05/Sections/20150520_033808_Linking_Range_18.xml</TARGET_STORYFULLNAME>
    <TARGET_UUID>bdc34f54-ff27-11e4-816b-9b441484c75b</TARGET_UUID>
  </Link>
  <Link>
    <GUID>ab45a5ec-4465-48f6-a473-4df7933ccee3</GUID>
    <SOURCETYPE>Chart</SOURCETYPE>
    <SOURCE_OBJECTNAME>MWA_Risk_Reward</SOURCE_OBJECTNAME>
    <SOURCE_SHEETCODE>MWRSSData</SOURCE_SHEETCODE>
    <SOURCE_SHEETNAME>MWA RR</SOURCE_SHEETNAME>
    <OBJECTTYPE>Native</OBJECTTYPE>
    <SOURCEAPPLICATION>EXCEL_SOURCE</SOURCEAPPLICATION>
    <UPDATEDAT>5/20/2015 5:39:14 PM</UPDATEDAT>
    <SOURCE_ISOUTOFDATE>False</SOURCE_ISOUTOFDATE>
    <SOURCE_WORKBOOKNAME>AEO.xls</SOURCE_WORKBOOKNAME>
    <SOURCE_WORKBOOKPATH>\\MSAD\ROOT\NA\NY\LIB\ER\RETAIL\Greenberger\Companies\AEO\Models</SOURCE_WORKBOOKPATH>
    <TRANSPARENTBACKGROUND>False</TRANSPARENTBACKGROUND>
    <TRANSPARENTPLOTAREA>False</TRANSPARENTPLOTAREA>
    <TARGETTYPE>Picture</TARGETTYPE>
    <TARGETAPPLICATION>METHODE_TARGET</TARGETAPPLICATION>
    <TABLEBACKGROUND>Existing</TABLEBACKGROUND>
    <TARGET_BINARYFULLNAME>/MSResearch/Content/ExternalAssets/2014-08/Images/ab45a5ec-4465-48f6-a473-4df7933ccee3.png</TARGET_BINARYFULLNAME>
    <TARGET_UUID>44598034-1f1c-11e4-9935-dcac4d73c9aa</TARGET_UUID>
    <TARGET_STORYFULLNAME>/MSResearch/Content/ExternalAssets/2014-08/Sections/MWA_Risk_Reward-3908.xml</TARGET_STORYFULLNAME>
    <TARGET_LOID>4.0.2099358008</TARGET_LOID>
    <HIDEGRIDLINES>False</HIDEGRIDLINES>
    <LINKSTATUS>Unknown</LINKSTATUS>
  </Link>
  <Link>
    <GUID>c9a34591-8e7f-447c-986d-6aacc17f05ef</GUID>
    <SOURCE_ALTADDRESS>$A$4:$CY$66</SOURCE_ALTADDRESS>
    <SOURCETYPE>Table</SOURCETYPE>
    <SOURCE_OBJECTNAME>Linking_Range_24</SOURCE_OBJECTNAME>
    <OBJECTTYPE>Native</OBJECTTYPE>
    <SOURCE_SHEETCODE>Sheet2</SOURCE_SHEETCODE>
    <SOURCE_SHEETNAME>sumry</SOURCE_SHEETNAME>
    <SOURCEAPPLICATION>EXCEL_SOURCE</SOURCEAPPLICATION>
    <UPDATEDAT>5/20/2015 5:46:27 PM</UPDATEDAT>
    <SOURCE_ISOUTOFDATE>False</SOURCE_ISOUTOFDATE>
    <SOURCE_WORKBOOKNAME>AEO.xls</SOURCE_WORKBOOKNAME>
    <SOURCE_WORKBOOKPATH>\\MSAD\ROOT\NA\NY\LIB\ER\RETAIL\Greenberger\Companies\AEO\Models</SOURCE_WORKBOOKPATH>
    <IMPORTEXPORTINBLACKANDWHITE>False</IMPORTEXPORTINBLACKANDWHITE>
    <IMPORTEXPORTTABLETEXTINBLACKANDWHITE>False</IMPORTEXPORTTABLETEXTINBLACKANDWHITE>
    <TABLEBACKGROUND>Existing</TABLEBACKGROUND>
    <HIDEGRIDLINES>True</HIDEGRIDLINES>
    <TARGETTYPE>Picture</TARGETTYPE>
    <TARGETAPPLICATION>METHODE_TARGET</TARGETAPPLICATION>
    <TARGET_BINARYFULLNAME>/MSResearch/Content/ExternalAssets/2014-08/Images/T8oy8FPdOUuJuDK3Ztc71w--.png</TARGET_BINARYFULLNAME>
    <TARGET_STORYFULLNAME>/MSResearch/Content/ExternalAssets/2014-08/Sections/Linking_Range_24-073.xml</TARGET_STORYFULLNAME>
    <TARGET_UUID>32af23a4-28a2-11e4-bcee-a2c607d46481</TARGET_UUID>
    <LINKSTATUS>Unknown</LINKSTATUS>
  </Link>
  <Link>
    <GUID>d9aac627-5a93-40be-b777-b6191af707cb</GUID>
    <SOURCE_ALTADDRESS>$A$5:$CY$50</SOURCE_ALTADDRESS>
    <SOURCETYPE>Table</SOURCETYPE>
    <SOURCE_OBJECTNAME>Linking_Range_1</SOURCE_OBJECTNAME>
    <OBJECTTYPE>Native</OBJECTTYPE>
    <SOURCE_SHEETCODE>Sheet2</SOURCE_SHEETCODE>
    <SOURCE_SHEETNAME>sumry</SOURCE_SHEETNAME>
    <SOURCEAPPLICATION>EXCEL_SOURCE</SOURCEAPPLICATION>
    <UPDATEDAT>5/20/2015 5:46:30 PM</UPDATEDAT>
    <SOURCE_ISOUTOFDATE>False</SOURCE_ISOUTOFDATE>
    <SOURCE_WORKBOOKNAME>AEO.xls</SOURCE_WORKBOOKNAME>
    <SOURCE_WORKBOOKPATH>\\MSAD\ROOT\NA\NY\LIB\ER\RETAIL\Greenberger\Companies\AEO\Models</SOURCE_WORKBOOKPATH>
    <IMPORTEXPORTINBLACKANDWHITE>False</IMPORTEXPORTINBLACKANDWHITE>
    <IMPORTEXPORTTABLETEXTINBLACKANDWHITE>False</IMPORTEXPORTTABLETEXTINBLACKANDWHITE>
    <TABLEBACKGROUND>Existing</TABLEBACKGROUND>
    <HIDEGRIDLINES>True</HIDEGRIDLINES>
    <TARGETTYPE>Picture</TARGETTYPE>
    <TARGETAPPLICATION>METHODE_TARGET</TARGETAPPLICATION>
    <TARGET_BINARYFULLNAME>/MSResearch/Content/ExternalAssets/2014-08/Images/d9aac627-5a93-40be-b777-b6191af707cb.png</TARGET_BINARYFULLNAME>
    <TARGET_UUID>fc94e072-1f2f-11e4-9935-dcac4d73c9aa</TARGET_UUID>
    <TARGET_STORYFULLNAME>/MSResearch/Content/ExternalAssets/2014-08/Sections/Linking_Range_1-3978.xml</TARGET_STORYFULLNAME>
    <TARGET_LOID>4.0.2100628303</TARGET_LOID>
    <TRANSPARENTBACKGROUND>False</TRANSPARENTBACKGROUND>
    <TRANSPARENTPLOTAREA>False</TRANSPARENTPLOTAREA>
    <LINKSTATUS>Unknown</LINKSTATUS>
  </Link>
  <Link>
    <GUID>7e2a0b0a-de7a-4ada-9081-6149a2f229e3</GUID>
    <SOURCE_ALTADDRESS>$A$5:$DE$50</SOURCE_ALTADDRESS>
    <SOURCETYPE>Table</SOURCETYPE>
    <SOURCE_OBJECTNAME>Linking_Range_12</SOURCE_OBJECTNAME>
    <OBJECTTYPE>Native</OBJECTTYPE>
    <SOURCE_SHEETCODE>Sheet2</SOURCE_SHEETCODE>
    <SOURCE_SHEETNAME>sumry</SOURCE_SHEETNAME>
    <SOURCEAPPLICATION>EXCEL_SOURCE</SOURCEAPPLICATION>
    <UPDATEDAT>5/20/2015 5:46:39 PM</UPDATEDAT>
    <SOURCE_ISOUTOFDATE>False</SOURCE_ISOUTOFDATE>
    <SOURCE_WORKBOOKNAME>AEO.xls</SOURCE_WORKBOOKNAME>
    <SOURCE_WORKBOOKPATH>\\MSAD\ROOT\NA\NY\LIB\ER\RETAIL\Greenberger\Companies\AEO\Models</SOURCE_WORKBOOKPATH>
    <IMPORTEXPORTINBLACKANDWHITE>False</IMPORTEXPORTINBLACKANDWHITE>
    <IMPORTEXPORTTABLETEXTINBLACKANDWHITE>False</IMPORTEXPORTTABLETEXTINBLACKANDWHITE>
    <TABLEBACKGROUND>Existing</TABLEBACKGROUND>
    <HIDEGRIDLINES>True</HIDEGRIDLINES>
    <TARGETTYPE>Picture</TARGETTYPE>
    <TARGETAPPLICATION>METHODE_TARGET</TARGETAPPLICATION>
    <EXTRACTSOURCEMODE>CopyToClipboard</EXTRACTSOURCEMODE>
    <TARGET_BINARYFULLNAME>/MSResearch/Content/ExternalAssets/2015-03/Images/IFukUQ4_rUqKAI-UwUOgbA--.png</TARGET_BINARYFULLNAME>
    <TARGET_STORYFULLNAME>/MSResearch/Content/ExternalAssets/2015-03/Sections/20150304_085844_Linking_Range_12.xml</TARGET_STORYFULLNAME>
    <TARGET_UUID>27b4615c-c2db-11e4-88af-319e7ae7f514</TARGET_UUID>
    <LINKSTATUS>Unknown</LINKSTATUS>
  </Link>
  <Link>
    <GUID>a46fe686-936e-4db5-ac92-7b3a1fc5cf8d</GUID>
    <SOURCE_ALTADDRESS>$A$5:$AV$44</SOURCE_ALTADDRESS>
    <SOURCETYPE>Table</SOURCETYPE>
    <SOURCE_OBJECTNAME>Linking_Range_25</SOURCE_OBJECTNAME>
    <OBJECTTYPE>Native</OBJECTTYPE>
    <SOURCE_SHEETCODE>Sheet11</SOURCE_SHEETCODE>
    <SOURCE_SHEETNAME>bal</SOURCE_SHEETNAME>
    <SOURCEAPPLICATION>EXCEL_SOURCE</SOURCEAPPLICATION>
    <UPDATEDAT>5/20/2015 5:47:25 PM</UPDATEDAT>
    <SOURCE_ISOUTOFDATE>False</SOURCE_ISOUTOFDATE>
    <SOURCE_WORKBOOKNAME>AEO.xls</SOURCE_WORKBOOKNAME>
    <SOURCE_WORKBOOKPATH>\\MSAD\ROOT\NA\NY\LIB\ER\RETAIL\Greenberger\Companies\AEO\Models</SOURCE_WORKBOOKPATH>
    <IMPORTEXPORTINBLACKANDWHITE>False</IMPORTEXPORTINBLACKANDWHITE>
    <IMPORTEXPORTTABLETEXTINBLACKANDWHITE>False</IMPORTEXPORTTABLETEXTINBLACKANDWHITE>
    <TABLEBACKGROUND>Existing</TABLEBACKGROUND>
    <HIDEGRIDLINES>True</HIDEGRIDLINES>
    <TARGETTYPE>Picture</TARGETTYPE>
    <TARGETAPPLICATION>METHODE_TARGET</TARGETAPPLICATION>
    <TARGET_BINARYFULLNAME>/MSResearch/Content/ExternalAssets/2014-08/Images/dd4CbMwlxUSoP9-4scQsg--.png</TARGET_BINARYFULLNAME>
    <TARGET_STORYFULLNAME>/MSResearch/Content/ExternalAssets/2014-08/Sections/Linking_Range_25-071.xml</TARGET_STORYFULLNAME>
    <TARGET_UUID>840ea986-28a2-11e4-bcee-a2c607d46481</TARGET_UUID>
    <TRANSPARENTBACKGROUND>False</TRANSPARENTBACKGROUND>
    <TRANSPARENTPLOTAREA>False</TRANSPARENTPLOTAREA>
    <LINKSTATUS>Unknown</LINKSTATUS>
  </Link>
  <Link>
    <GUID>b9b54adb-9c6d-4581-8b73-d0c30df79020</GUID>
    <SOURCE_ALTADDRESS>$A$5:$AY$44</SOURCE_ALTADDRESS>
    <SOURCETYPE>Table</SOURCETYPE>
    <SOURCE_OBJECTNAME>Linking_Range_22</SOURCE_OBJECTNAME>
    <OBJECTTYPE>Native</OBJECTTYPE>
    <SOURCE_SHEETCODE>Sheet11</SOURCE_SHEETCODE>
    <SOURCE_SHEETNAME>bal</SOURCE_SHEETNAME>
    <SOURCEAPPLICATION>EXCEL_SOURCE</SOURCEAPPLICATION>
    <UPDATEDAT>5/20/2015 5:47:27 PM</UPDATEDAT>
    <SOURCE_ISOUTOFDATE>False</SOURCE_ISOUTOFDATE>
    <SOURCE_WORKBOOKNAME>AEO.xls</SOURCE_WORKBOOKNAME>
    <SOURCE_WORKBOOKPATH>\\MSAD\ROOT\NA\NY\LIB\ER\RETAIL\Greenberger\Companies\AEO\Models</SOURCE_WORKBOOKPATH>
    <IMPORTEXPORTINBLACKANDWHITE>False</IMPORTEXPORTINBLACKANDWHITE>
    <IMPORTEXPORTTABLETEXTINBLACKANDWHITE>False</IMPORTEXPORTTABLETEXTINBLACKANDWHITE>
    <TABLEBACKGROUND>Existing</TABLEBACKGROUND>
    <HIDEGRIDLINES>True</HIDEGRIDLINES>
    <TARGETTYPE>Picture</TARGETTYPE>
    <TARGETAPPLICATION>METHODE_TARGET</TARGETAPPLICATION>
    <TARGET_BINARYFULLNAME>/MSResearch/Content/ExternalAssets/2014-08/Images/b9b54adb-9c6d-4581-8b73-d0c30df79020.png</TARGET_BINARYFULLNAME>
    <TARGET_UUID>20e210da-1f30-11e4-9935-dcac4d73c9aa</TARGET_UUID>
    <TARGET_STORYFULLNAME>/MSResearch/Content/ExternalAssets/2014-08/Sections/Linking_Range_22-3979.xml</TARGET_STORYFULLNAME>
    <TARGET_LOID>4.0.2100628483</TARGET_LOID>
    <TRANSPARENTBACKGROUND>False</TRANSPARENTBACKGROUND>
    <TRANSPARENTPLOTAREA>False</TRANSPARENTPLOTAREA>
    <EXTRACTSOURCEMODE>CopyToClipboard</EXTRACTSOURCEMODE>
    <LINKSTATUS>Unknown</LINKSTATUS>
  </Link>
  <Link>
    <GUID>f232b42b-ef81-403a-a6d3-057f6c4c3bdd</GUID>
    <SOURCE_ALTADDRESS>$A$7:$AT$58</SOURCE_ALTADDRESS>
    <SOURCETYPE>Table</SOURCETYPE>
    <SOURCE_OBJECTNAME>Linking_Range_26</SOURCE_OBJECTNAME>
    <OBJECTTYPE>Native</OBJECTTYPE>
    <SOURCE_SHEETCODE>Sheet12</SOURCE_SHEETCODE>
    <SOURCE_SHEETNAME>flow</SOURCE_SHEETNAME>
    <SOURCEAPPLICATION>EXCEL_SOURCE</SOURCEAPPLICATION>
    <UPDATEDAT>5/20/2015 5:48:00 PM</UPDATEDAT>
    <SOURCE_ISOUTOFDATE>False</SOURCE_ISOUTOFDATE>
    <SOURCE_WORKBOOKNAME>AEO.xls</SOURCE_WORKBOOKNAME>
    <SOURCE_WORKBOOKPATH>\\MSAD\ROOT\NA\NY\LIB\ER\RETAIL\Greenberger\Companies\AEO\Models</SOURCE_WORKBOOKPATH>
    <IMPORTEXPORTINBLACKANDWHITE>False</IMPORTEXPORTINBLACKANDWHITE>
    <IMPORTEXPORTTABLETEXTINBLACKANDWHITE>False</IMPORTEXPORTTABLETEXTINBLACKANDWHITE>
    <TABLEBACKGROUND>Existing</TABLEBACKGROUND>
    <HIDEGRIDLINES>True</HIDEGRIDLINES>
    <TARGETTYPE>Picture</TARGETTYPE>
    <TARGETAPPLICATION>METHODE_TARGET</TARGETAPPLICATION>
    <TARGET_BINARYFULLNAME>/MSResearch/Content/ExternalAssets/2014-08/Images/2xtnU_LQbUOnXlwkGDpYkg--.png</TARGET_BINARYFULLNAME>
    <TARGET_STORYFULLNAME>/MSResearch/Content/ExternalAssets/2014-08/Sections/Linking_Range_26-069.xml</TARGET_STORYFULLNAME>
    <TARGET_UUID>9c59a77a-28a2-11e4-bcee-a2c607d46481</TARGET_UUID>
    <LINKSTATUS>Unknown</LINKSTATUS>
  </Link>
  <Link>
    <GUID>db7b9b11-1b08-4671-baea-27b648c3af28</GUID>
    <SOURCE_ALTADDRESS>$A$8:$AS$58</SOURCE_ALTADDRESS>
    <SOURCETYPE>Table</SOURCETYPE>
    <SOURCE_OBJECTNAME>Linking_Range_23</SOURCE_OBJECTNAME>
    <OBJECTTYPE>Native</OBJECTTYPE>
    <SOURCE_SHEETCODE>Sheet12</SOURCE_SHEETCODE>
    <SOURCE_SHEETNAME>flow</SOURCE_SHEETNAME>
    <SOURCEAPPLICATION>EXCEL_SOURCE</SOURCEAPPLICATION>
    <UPDATEDAT>5/20/2015 5:48:02 PM</UPDATEDAT>
    <SOURCE_ISOUTOFDATE>False</SOURCE_ISOUTOFDATE>
    <SOURCE_WORKBOOKNAME>AEO.xls</SOURCE_WORKBOOKNAME>
    <SOURCE_WORKBOOKPATH>\\MSAD\ROOT\NA\NY\LIB\ER\RETAIL\Greenberger\Companies\AEO\Models</SOURCE_WORKBOOKPATH>
    <IMPORTEXPORTINBLACKANDWHITE>False</IMPORTEXPORTINBLACKANDWHITE>
    <IMPORTEXPORTTABLETEXTINBLACKANDWHITE>False</IMPORTEXPORTTABLETEXTINBLACKANDWHITE>
    <TABLEBACKGROUND>Existing</TABLEBACKGROUND>
    <HIDEGRIDLINES>True</HIDEGRIDLINES>
    <TARGETTYPE>Picture</TARGETTYPE>
    <TARGETAPPLICATION>METHODE_TARGET</TARGETAPPLICATION>
    <TARGET_BINARYFULLNAME>/MSResearch/Content/ExternalAssets/2014-08/Images/db7b9b11-1b08-4671-baea-27b648c3af28.png</TARGET_BINARYFULLNAME>
    <TARGET_UUID>3da0868e-1f30-11e4-9935-dcac4d73c9aa</TARGET_UUID>
    <TARGET_STORYFULLNAME>/MSResearch/Content/ExternalAssets/2014-08/Sections/Linking_Range_23-3980.xml</TARGET_STORYFULLNAME>
    <TARGET_LOID>4.0.2100628660</TARGET_LOID>
    <TRANSPARENTBACKGROUND>False</TRANSPARENTBACKGROUND>
    <TRANSPARENTPLOTAREA>False</TRANSPARENTPLOTAREA>
    <LINKSTATUS>Unknown</LINKSTATUS>
  </Link>
  <Link>
    <GUID>c5a1b71d-1e5b-4394-8dbb-170c4adb829a</GUID>
    <SOURCE_ALTADDRESS>$A$8:$AW$58</SOURCE_ALTADDRESS>
    <SOURCETYPE>Table</SOURCETYPE>
    <SOURCE_OBJECTNAME>Linking_Range_27</SOURCE_OBJECTNAME>
    <OBJECTTYPE>Native</OBJECTTYPE>
    <SOURCE_SHEETCODE>Sheet12</SOURCE_SHEETCODE>
    <SOURCE_SHEETNAME>flow</SOURCE_SHEETNAME>
    <SOURCEAPPLICATION>EXCEL_SOURCE</SOURCEAPPLICATION>
    <UPDATEDAT>5/20/2015 5:48:05 PM</UPDATEDAT>
    <SOURCE_ISOUTOFDATE>False</SOURCE_ISOUTOFDATE>
    <SOURCE_WORKBOOKNAME>AEO.xls</SOURCE_WORKBOOKNAME>
    <SOURCE_WORKBOOKPATH>\\MSAD\ROOT\NA\NY\LIB\ER\RETAIL\Greenberger\Companies\AEO\Models</SOURCE_WORKBOOKPATH>
    <IMPORTEXPORTINBLACKANDWHITE>False</IMPORTEXPORTINBLACKANDWHITE>
    <IMPORTEXPORTTABLETEXTINBLACKANDWHITE>False</IMPORTEXPORTTABLETEXTINBLACKANDWHITE>
    <TABLEBACKGROUND>Existing</TABLEBACKGROUND>
    <HIDEGRIDLINES>True</HIDEGRIDLINES>
    <TARGETTYPE>Picture</TARGETTYPE>
    <TARGETAPPLICATION>METHODE_TARGET</TARGETAPPLICATION>
    <EXTRACTSOURCEMODE>CopyToClipboard</EXTRACTSOURCEMODE>
    <TARGET_BINARYFULLNAME>/MSResearch/Content/ExternalAssets/2015-03/Images/Qty5ynDxEOefdT578xb6g--.png</TARGET_BINARYFULLNAME>
    <TARGET_STORYFULLNAME>/MSResearch/Content/ExternalAssets/2015-03/Sections/20150304_090140_Linking_Range_27.xml</TARGET_STORYFULLNAME>
    <TARGET_UUID>9036e704-c2db-11e4-88af-319e7ae7f514</TARGET_UUID>
    <LINKSTATUS>Unknown</LINKSTATUS>
  </Link>
</lk:Links>
</file>

<file path=customXml/item2.xml><?xml version="1.0" encoding="utf-8"?>
<lkmtd:Metadata xmlns:lkmtd="thomsonreuters.linking.metadatachange">
  <MetadataChanged>0</MetadataChanged>
</lkmtd:Metadata>
</file>

<file path=customXml/itemProps1.xml><?xml version="1.0" encoding="utf-8"?>
<ds:datastoreItem xmlns:ds="http://schemas.openxmlformats.org/officeDocument/2006/customXml" ds:itemID="{FF832B7F-D8FA-4652-BC44-6CE509F9C435}">
  <ds:schemaRefs>
    <ds:schemaRef ds:uri="thomsonreuters.linking.metadata"/>
  </ds:schemaRefs>
</ds:datastoreItem>
</file>

<file path=customXml/itemProps2.xml><?xml version="1.0" encoding="utf-8"?>
<ds:datastoreItem xmlns:ds="http://schemas.openxmlformats.org/officeDocument/2006/customXml" ds:itemID="{73672C43-74E3-4BA0-B354-57478584BD43}">
  <ds:schemaRefs>
    <ds:schemaRef ds:uri="thomsonreuters.linking.metadatachang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19</vt:i4>
      </vt:variant>
      <vt:variant>
        <vt:lpstr>Named Ranges</vt:lpstr>
      </vt:variant>
      <vt:variant>
        <vt:i4>135</vt:i4>
      </vt:variant>
    </vt:vector>
  </HeadingPairs>
  <TitlesOfParts>
    <vt:vector size="154" baseType="lpstr">
      <vt:lpstr>ImportantDisclosures</vt:lpstr>
      <vt:lpstr>Valuation</vt:lpstr>
      <vt:lpstr>Earnings</vt:lpstr>
      <vt:lpstr>DCF</vt:lpstr>
      <vt:lpstr>BullBaseBear</vt:lpstr>
      <vt:lpstr>sumry</vt:lpstr>
      <vt:lpstr>qtrSales</vt:lpstr>
      <vt:lpstr>qtrP&amp;L</vt:lpstr>
      <vt:lpstr>yrSales</vt:lpstr>
      <vt:lpstr>yrP&amp;L</vt:lpstr>
      <vt:lpstr>bal</vt:lpstr>
      <vt:lpstr>flow</vt:lpstr>
      <vt:lpstr>dtc</vt:lpstr>
      <vt:lpstr>work</vt:lpstr>
      <vt:lpstr>turn</vt:lpstr>
      <vt:lpstr>Inv to Sales</vt:lpstr>
      <vt:lpstr>MWA Lease</vt:lpstr>
      <vt:lpstr>IndexInformation</vt:lpstr>
      <vt:lpstr>ModPubIndex</vt:lpstr>
      <vt:lpstr>_bdm.2E87B883A9D449AAB84AABB1A73D2A13.edm</vt:lpstr>
      <vt:lpstr>flow!_bdm.3C6E6069572E4AB88577A7BD6835A9A1.edm</vt:lpstr>
      <vt:lpstr>_bdm.4B79407A1E7642E49447809D897BB676.edm</vt:lpstr>
      <vt:lpstr>flow!_bdm.5254166B3D8349FB89B7A6488D81D98D.edm</vt:lpstr>
      <vt:lpstr>sumry!_bdm.97D95071838944CB9E8962B32B9D1FED.edm</vt:lpstr>
      <vt:lpstr>_bdm.A4A2220F90284528BC3CBBE31F48ED2C.edm</vt:lpstr>
      <vt:lpstr>sumry!_bdm.B4CF035D926742C1A60C938A0B7F6BE0.edm</vt:lpstr>
      <vt:lpstr>bal!_bdm.B6B92954ABA1458DAE361AA8E29C389C.edm</vt:lpstr>
      <vt:lpstr>bal!_bdm.BC7D59E8F9424DF2A6610DDB1A4C7E39.edm</vt:lpstr>
      <vt:lpstr>flow!_bdm.D34A646FCCFB42FBBB883210FDD71A81.edm</vt:lpstr>
      <vt:lpstr>sumry!_bdm.E1249CD2C48547DC9AA9006280330566.edm</vt:lpstr>
      <vt:lpstr>sumry!_bdm.FDDF8C263A724D19AC9012BB3E473CB5.edm</vt:lpstr>
      <vt:lpstr>AdditionalInstructions</vt:lpstr>
      <vt:lpstr>ImportantDisclosures!Address</vt:lpstr>
      <vt:lpstr>ModPubIndex!ANA</vt:lpstr>
      <vt:lpstr>ImportantDisclosures!Authors</vt:lpstr>
      <vt:lpstr>IndexInformation!Authors</vt:lpstr>
      <vt:lpstr>ModPubIndex!BRO</vt:lpstr>
      <vt:lpstr>'MWA Lease'!check</vt:lpstr>
      <vt:lpstr>CopyrightStamp</vt:lpstr>
      <vt:lpstr>ModPubIndex!COU</vt:lpstr>
      <vt:lpstr>IndexInformation!CQEnd</vt:lpstr>
      <vt:lpstr>IndexInformation!Currency</vt:lpstr>
      <vt:lpstr>IndexInformation!CurrentStockPrice</vt:lpstr>
      <vt:lpstr>IndexInformation!CurrQtrEPS</vt:lpstr>
      <vt:lpstr>IndexInformation!CurrYearEPS</vt:lpstr>
      <vt:lpstr>IndexInformation!CurrYearTotalRevenue</vt:lpstr>
      <vt:lpstr>IndexInformation!CurrYearTotalRevenueActual</vt:lpstr>
      <vt:lpstr>IndexInformation!CUSIP</vt:lpstr>
      <vt:lpstr>IndexInformation!CYEnd</vt:lpstr>
      <vt:lpstr>ImportantDisclosures!Date</vt:lpstr>
      <vt:lpstr>IndexInformation!Deleted</vt:lpstr>
      <vt:lpstr>IndexInformation!Description</vt:lpstr>
      <vt:lpstr>IndexInformation!Discipline</vt:lpstr>
      <vt:lpstr>ModPubIndex!DISCIPLINE</vt:lpstr>
      <vt:lpstr>DisclosuresText</vt:lpstr>
      <vt:lpstr>IndexInformation!Distribution</vt:lpstr>
      <vt:lpstr>ModPubIndex!DOCDAT</vt:lpstr>
      <vt:lpstr>ModPubIndex!DOCTIME</vt:lpstr>
      <vt:lpstr>IndexInformation!DocType</vt:lpstr>
      <vt:lpstr>ModPubIndex!EMAIL_ALERT</vt:lpstr>
      <vt:lpstr>IndexInformation!EmailAlert</vt:lpstr>
      <vt:lpstr>IndexInformation!FiveYearGrowthRate</vt:lpstr>
      <vt:lpstr>IndexInformation!FollowingYearEPS</vt:lpstr>
      <vt:lpstr>IndexInformation!FollowingYearTotalRevenue</vt:lpstr>
      <vt:lpstr>IndexInformation!FollowingYearTotalRevenueActual</vt:lpstr>
      <vt:lpstr>ModPubIndex!HL</vt:lpstr>
      <vt:lpstr>ModPubIndex!IND</vt:lpstr>
      <vt:lpstr>ImportantDisclosures!Industry</vt:lpstr>
      <vt:lpstr>IndustryId</vt:lpstr>
      <vt:lpstr>ImportantDisclosures!IndustryRating</vt:lpstr>
      <vt:lpstr>IndexInformation!KeepVersions</vt:lpstr>
      <vt:lpstr>LanguageCode</vt:lpstr>
      <vt:lpstr>ImportantDisclosures!LastCell</vt:lpstr>
      <vt:lpstr>Linking_2</vt:lpstr>
      <vt:lpstr>Linking_3</vt:lpstr>
      <vt:lpstr>Linking_4</vt:lpstr>
      <vt:lpstr>Linking_5</vt:lpstr>
      <vt:lpstr>Linking_6</vt:lpstr>
      <vt:lpstr>Linking_7</vt:lpstr>
      <vt:lpstr>Linking_8</vt:lpstr>
      <vt:lpstr>Linking_Range_1</vt:lpstr>
      <vt:lpstr>Linking_Range_10</vt:lpstr>
      <vt:lpstr>Linking_Range_11</vt:lpstr>
      <vt:lpstr>Valuation!Linking_Range_12</vt:lpstr>
      <vt:lpstr>Linking_Range_12</vt:lpstr>
      <vt:lpstr>Valuation!Linking_Range_13</vt:lpstr>
      <vt:lpstr>Linking_Range_13</vt:lpstr>
      <vt:lpstr>Linking_Range_14</vt:lpstr>
      <vt:lpstr>Linking_Range_15</vt:lpstr>
      <vt:lpstr>Linking_Range_16</vt:lpstr>
      <vt:lpstr>Linking_Range_17</vt:lpstr>
      <vt:lpstr>Linking_Range_18</vt:lpstr>
      <vt:lpstr>Linking_Range_19</vt:lpstr>
      <vt:lpstr>Linking_Range_2</vt:lpstr>
      <vt:lpstr>Linking_Range_20</vt:lpstr>
      <vt:lpstr>Linking_Range_21</vt:lpstr>
      <vt:lpstr>Linking_Range_22</vt:lpstr>
      <vt:lpstr>Linking_Range_23</vt:lpstr>
      <vt:lpstr>Linking_Range_24</vt:lpstr>
      <vt:lpstr>Linking_Range_25</vt:lpstr>
      <vt:lpstr>Linking_Range_26</vt:lpstr>
      <vt:lpstr>Linking_Range_27</vt:lpstr>
      <vt:lpstr>Linking_Range_3</vt:lpstr>
      <vt:lpstr>Linking_Range_4</vt:lpstr>
      <vt:lpstr>Linking_Range_5</vt:lpstr>
      <vt:lpstr>Linking_Range_6</vt:lpstr>
      <vt:lpstr>Linking_Range_7</vt:lpstr>
      <vt:lpstr>Linking_Range_8</vt:lpstr>
      <vt:lpstr>Linking_Range_9</vt:lpstr>
      <vt:lpstr>IndexInformation!MacroVersion</vt:lpstr>
      <vt:lpstr>ImportantDisclosures!ModelPrice</vt:lpstr>
      <vt:lpstr>IndexInformation!Multiplier</vt:lpstr>
      <vt:lpstr>IndexInformation!NextYearEPS</vt:lpstr>
      <vt:lpstr>IndexInformation!NextYearTotalRevenue</vt:lpstr>
      <vt:lpstr>IndexInformation!NextYearTotalRevenueActual</vt:lpstr>
      <vt:lpstr>ObjectType</vt:lpstr>
      <vt:lpstr>ModPubIndex!PANA</vt:lpstr>
      <vt:lpstr>IndexInformation!PathName</vt:lpstr>
      <vt:lpstr>bal!Print_Area</vt:lpstr>
      <vt:lpstr>dtc!Print_Area</vt:lpstr>
      <vt:lpstr>Earnings!Print_Area</vt:lpstr>
      <vt:lpstr>flow!Print_Area</vt:lpstr>
      <vt:lpstr>'qtrP&amp;L'!Print_Area</vt:lpstr>
      <vt:lpstr>qtrSales!Print_Area</vt:lpstr>
      <vt:lpstr>sumry!Print_Area</vt:lpstr>
      <vt:lpstr>turn!Print_Area</vt:lpstr>
      <vt:lpstr>Valuation!Print_Area</vt:lpstr>
      <vt:lpstr>work!Print_Area</vt:lpstr>
      <vt:lpstr>'yrP&amp;L'!Print_Area</vt:lpstr>
      <vt:lpstr>yrSales!Print_Area</vt:lpstr>
      <vt:lpstr>'qtrP&amp;L'!Print_Titles</vt:lpstr>
      <vt:lpstr>ModPubIndex!PRODUCT</vt:lpstr>
      <vt:lpstr>ModPubIndex!PSYM</vt:lpstr>
      <vt:lpstr>IndexInformation!PublishDate</vt:lpstr>
      <vt:lpstr>IndexInformation!Rating</vt:lpstr>
      <vt:lpstr>ImportantDisclosures!RatingsDefined</vt:lpstr>
      <vt:lpstr>IndexInformation!ResearchTopic</vt:lpstr>
      <vt:lpstr>IndexInformation!RIC</vt:lpstr>
      <vt:lpstr>'MWA Lease'!rngAppName</vt:lpstr>
      <vt:lpstr>'MWA Lease'!rngCompany</vt:lpstr>
      <vt:lpstr>'MWA Lease'!rngTicker</vt:lpstr>
      <vt:lpstr>IndexInformation!SEDOL</vt:lpstr>
      <vt:lpstr>'MWA Lease'!SedolTicker</vt:lpstr>
      <vt:lpstr>ImportantDisclosures!SourceDefined</vt:lpstr>
      <vt:lpstr>ImportantDisclosures!StockRating</vt:lpstr>
      <vt:lpstr>IndexInformation!SubjectCode</vt:lpstr>
      <vt:lpstr>SubmitterUserId</vt:lpstr>
      <vt:lpstr>ModPubIndex!SUPPRESSED</vt:lpstr>
      <vt:lpstr>ImportantDisclosures!TargetPrice</vt:lpstr>
      <vt:lpstr>TemplateRegion</vt:lpstr>
      <vt:lpstr>ImportantDisclosures!Ticker</vt:lpstr>
      <vt:lpstr>TickerRegion</vt:lpstr>
      <vt:lpstr>IndexInformation!Tickers</vt:lpstr>
      <vt:lpstr>IndexInformation!UpdateReason</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xsi="http://www.w3.org/2001/XMLSchema-instance">
  <dcterms:created xsi:type="dcterms:W3CDTF">2014-05-21T19:44:34Z</dcterms:created>
  <dc:creator>Cassel, Lauren (Research)</dc:creator>
  <cp:lastModifiedBy>Cassel, Lauren (Research)</cp:lastModifiedBy>
  <cp:lastPrinted>2018-03-08T22:14:36Z</cp:lastPrinted>
  <dcterms:modified xsi:type="dcterms:W3CDTF">2018-03-09T02:34:19Z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name="LinkingAutoNameNumberLinking_Range_" pid="2">
    <vt:lpwstr>27</vt:lpwstr>
  </property>
  <property fmtid="{D5CDD505-2E9C-101B-9397-08002B2CF9AE}" name="ERModPubTicket" pid="3">
    <vt:lpwstr>NA</vt:lpwstr>
  </property>
  <property fmtid="{D5CDD505-2E9C-101B-9397-08002B2CF9AE}" name="ERCompanyUploadState" pid="4">
    <vt:lpwstr>P</vt:lpwstr>
  </property>
  <property fmtid="{D5CDD505-2E9C-101B-9397-08002B2CF9AE}" name="ModelId" pid="5">
    <vt:lpwstr>755193</vt:lpwstr>
  </property>
  <property fmtid="{D5CDD505-2E9C-101B-9397-08002B2CF9AE}" name="ERModPubCompanyName" pid="6">
    <vt:lpwstr>American Eagle Outfitters, Inc.</vt:lpwstr>
  </property>
  <property fmtid="{D5CDD505-2E9C-101B-9397-08002B2CF9AE}" name="MSDH34TAG" pid="7">
    <vt:lpwstr>.TEZUF76X5TAHATHESADREYAK-00-INB160+*94600-06=6333390e/-2342/-11e8/-9b95/-96f032c946f3,MD=20180308215304/-0500,ZZ=000Z-a033.</vt:lpwstr>
  </property>
</Properties>
</file>